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ctrlProps/ctrlProp4.xml" ContentType="application/vnd.ms-excel.controlproperties+xml"/>
  <Override PartName="/xl/ctrlProps/ctrlProp3.xml" ContentType="application/vnd.ms-excel.controlpropertie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/>
  <bookViews>
    <workbookView showHorizontalScroll="0" xWindow="360" yWindow="300" windowWidth="9135" windowHeight="4755"/>
  </bookViews>
  <sheets>
    <sheet name="Sammandrag" sheetId="1" r:id="rId1"/>
    <sheet name="Åker" sheetId="2" r:id="rId2"/>
    <sheet name="Skog" sheetId="28" r:id="rId3"/>
    <sheet name="I_mark" sheetId="4" r:id="rId4"/>
    <sheet name="Fakta" sheetId="5" r:id="rId5"/>
    <sheet name="Gss" sheetId="6" r:id="rId6"/>
    <sheet name="Gmb" sheetId="7" r:id="rId7"/>
    <sheet name="Gns" sheetId="8" r:id="rId8"/>
    <sheet name="Ss" sheetId="10" r:id="rId9"/>
    <sheet name="Gsk" sheetId="9" r:id="rId10"/>
    <sheet name="Ssk" sheetId="11" r:id="rId11"/>
    <sheet name="Nn" sheetId="12" r:id="rId12"/>
    <sheet name="Nö" sheetId="13" r:id="rId13"/>
    <sheet name="Norrl I" sheetId="24" r:id="rId14"/>
    <sheet name="Norrl II" sheetId="23" r:id="rId15"/>
    <sheet name="Norrl III" sheetId="22" r:id="rId16"/>
    <sheet name="Svea I" sheetId="21" r:id="rId17"/>
    <sheet name="Svea II" sheetId="20" r:id="rId18"/>
    <sheet name="Svea III" sheetId="19" r:id="rId19"/>
    <sheet name="Göta I" sheetId="18" r:id="rId20"/>
    <sheet name="Göta II" sheetId="17" r:id="rId21"/>
    <sheet name="Göta III" sheetId="16" r:id="rId22"/>
    <sheet name="Listinfo" sheetId="15" state="hidden" r:id="rId23"/>
    <sheet name="Modul1" sheetId="14" state="veryHidden" r:id="rId24"/>
  </sheets>
  <definedNames>
    <definedName name="_xlnm._FilterDatabase" localSheetId="22" hidden="1">Listinfo!$B$26:$C$30</definedName>
    <definedName name="Beståndstyp">Listinfo!$B$15:$C$20</definedName>
    <definedName name="Bet">Listinfo!$E$36</definedName>
    <definedName name="Bet.">Listinfo!$E$36</definedName>
    <definedName name="Bonitet">Listinfo!$B$5:$C$7</definedName>
    <definedName name="Ersättnbete" localSheetId="3">I_mark!$P$12:$P$48</definedName>
    <definedName name="ErsättnImp" localSheetId="3">I_mark!$Q$12:$Q$48</definedName>
    <definedName name="Ersättnåker" localSheetId="3">I_mark!$O$12:$O$48</definedName>
    <definedName name="Gmb">Gmb!$A$11:$U$18</definedName>
    <definedName name="Gmbb">Gmb!$G$21</definedName>
    <definedName name="Gmbl">Gmb!$G$20</definedName>
    <definedName name="GmbLv">Gmb!$A$34:$A$38</definedName>
    <definedName name="GmbRv">Gmb!$B$34:$B$38</definedName>
    <definedName name="Gns">Gns!$A$11:$U$18</definedName>
    <definedName name="Gnsb">Gns!$G$21</definedName>
    <definedName name="Gnsl">Gns!$G$20</definedName>
    <definedName name="GnsLv">Gns!$A$36:$A$40</definedName>
    <definedName name="GnsRv">Gns!$B$36:$B$40</definedName>
    <definedName name="Gsk">Gsk!$A$11:$U$18</definedName>
    <definedName name="Gskb">Gsk!$G$21</definedName>
    <definedName name="Gskl">Gsk!$G$20</definedName>
    <definedName name="GskLv">Gsk!$A$36:$A$40</definedName>
    <definedName name="GskRv">Gsk!$B$36:$B$40</definedName>
    <definedName name="Gss">Gss!$A$11:$U$18</definedName>
    <definedName name="Gssb">Gss!$G$21</definedName>
    <definedName name="Gssl">Gss!$G$20</definedName>
    <definedName name="GssLv">Gss!$A$36:$A$40</definedName>
    <definedName name="GssRv">Gss!$B$36:$B$40</definedName>
    <definedName name="GötaIIIKalmark">'Göta III'!$C$36</definedName>
    <definedName name="GötaIIIMassavedskog">'Göta III'!$C$21:$M$26</definedName>
    <definedName name="GötaIIIPlantskog">'Göta III'!$C$7:$M$12</definedName>
    <definedName name="GötaIIIRöjningsskog">'Göta III'!$C$14:$M$19</definedName>
    <definedName name="GötaIIIYngre_timmerskog">'Göta III'!$C$28:$M$33</definedName>
    <definedName name="GötaIIIÄldre_timmerskog">'Göta III'!$C$36</definedName>
    <definedName name="GötaIIKalmark">'Göta II'!$C$36</definedName>
    <definedName name="GötaIIMassavedskog">'Göta II'!$C$21:$M$26</definedName>
    <definedName name="GötaIIPlantskog">'Göta II'!$C$7:$M$12</definedName>
    <definedName name="GötaIIRöjningsskog">'Göta II'!$C$14:$M$19</definedName>
    <definedName name="GötaIIYngre_timmerskog">'Göta II'!$C$28:$M$33</definedName>
    <definedName name="GötaIIÄldre_timmerskog">'Göta II'!$C$36</definedName>
    <definedName name="GötaIKalmark">'Göta I'!$C$36</definedName>
    <definedName name="GötaIMassavedskog">'Göta I'!$C$21:$M$26</definedName>
    <definedName name="GötaIPlantskog">'Göta I'!$C$7:$M$12</definedName>
    <definedName name="GötaIRöjningsskog">'Göta I'!$C$14:$M$19</definedName>
    <definedName name="GötaIYngre_timmerskog">'Göta I'!$C$28:$M$33</definedName>
    <definedName name="GötaIÄldre_timmerskog">'Göta I'!$C$36</definedName>
    <definedName name="Imp">Listinfo!$E$37</definedName>
    <definedName name="Imp.">Listinfo!$E$37</definedName>
    <definedName name="Intrång" localSheetId="3">I_mark!#REF!</definedName>
    <definedName name="Kolumner">"Åker!($n$7)!$b$1:$u$1"</definedName>
    <definedName name="Markslag" localSheetId="3">I_mark!#REF!</definedName>
    <definedName name="Nn">Nn!$A$11:$U$18</definedName>
    <definedName name="Nnb">Nn!$G$21</definedName>
    <definedName name="Nnl">Nn!$G$20</definedName>
    <definedName name="NnLv">Nn!$A$36:$A$40</definedName>
    <definedName name="NnRv">Nn!$B$36:$B$40</definedName>
    <definedName name="NorrlIIIKalmark">'Norrl III'!$C$36</definedName>
    <definedName name="NorrlIIIMassavedskog">'Norrl III'!$C$21:$M$26</definedName>
    <definedName name="NorrlIIIPlantskog">'Norrl III'!$C$7:$M$12</definedName>
    <definedName name="NorrlIIIRöjningsskog">'Norrl III'!$C$14:$M$19</definedName>
    <definedName name="NorrlIIIYngre_timmerskog">'Norrl III'!$C$28:$M$33</definedName>
    <definedName name="NorrlIIIÄldre_timmerskog">'Norrl III'!$C$36</definedName>
    <definedName name="NorrlIIKalmark">'Norrl II'!$C$36</definedName>
    <definedName name="NorrlIIMassavedskog">'Norrl II'!$C$21:$M$26</definedName>
    <definedName name="NorrlIIPlantskog">'Norrl II'!$C$7:$M$12</definedName>
    <definedName name="NorrlIIRöjningsskog">'Norrl II'!$C$14:$M$19</definedName>
    <definedName name="NorrlIIYngre_timmerskog">'Norrl II'!$C$28:$M$33</definedName>
    <definedName name="NorrlIIÄldre_timmerskog">'Norrl II'!$C$36</definedName>
    <definedName name="NorrlIKalmark">'Norrl I'!$C$36</definedName>
    <definedName name="NorrlIMassavedskog">'Norrl I'!$C$21:$M$26</definedName>
    <definedName name="NorrlIPlantskog">'Norrl I'!$C$7:$M$12</definedName>
    <definedName name="NorrlIRöjningsskog">'Norrl I'!$C$14:$M$19</definedName>
    <definedName name="NorrlIYngre_timmerskog">'Norrl I'!$C$28:$M$33</definedName>
    <definedName name="NorrlIÄldre_timmerskog">'Norrl I'!$C$36</definedName>
    <definedName name="Nö">Nö!$A$11:$U$18</definedName>
    <definedName name="Nöb">Nö!$G$21</definedName>
    <definedName name="Nöl">Nö!$G$20</definedName>
    <definedName name="NöLv">Nö!$A$36:$A$40</definedName>
    <definedName name="NöRv">Nö!$B$36:$B$40</definedName>
    <definedName name="PRISLISTA" localSheetId="3">#REF!,#REF!,#REF!,#REF!,#REF!</definedName>
    <definedName name="Produktionsomr" localSheetId="3">I_mark!#REF!</definedName>
    <definedName name="Rader">"Åker!($n$7)!$a$2:$a$8"</definedName>
    <definedName name="Ss">Ss!$A$11:$U$18</definedName>
    <definedName name="Ssb">Ss!$G$21</definedName>
    <definedName name="Ssk">Ssk!$A$11:$U$18</definedName>
    <definedName name="Sskb">Ssk!$G$21</definedName>
    <definedName name="Sskl">Ssk!$G$20</definedName>
    <definedName name="SskLv">Ssk!$A$36:$A$40</definedName>
    <definedName name="SskRv">Ssk!$B$36:$B$40</definedName>
    <definedName name="Ssl">Ss!$G$20</definedName>
    <definedName name="SsLv">Ss!$A$36:$A$40</definedName>
    <definedName name="SsRv">Ss!$B$36:$B$40</definedName>
    <definedName name="SveaIIIKalmark">'Svea III'!$C$36</definedName>
    <definedName name="SveaIIIMassavedskog">'Svea III'!$C$21:$M$26</definedName>
    <definedName name="SveaIIIPlantskog">'Svea III'!$C$7:$M$12</definedName>
    <definedName name="SveaIIIRöjningsskog">'Svea III'!$C$14:$M$19</definedName>
    <definedName name="SveaIIIYngre_timmerskog">'Svea III'!$C$28:$M$33</definedName>
    <definedName name="SveaIIIÄldre_timmerskog">'Svea III'!$C$36</definedName>
    <definedName name="SveaIIKalmark">'Svea II'!$C$36</definedName>
    <definedName name="SveaIIMassavedskog">'Svea II'!$C$21:$M$26</definedName>
    <definedName name="SveaIIPlantskog">'Svea II'!$C$7:$M$12</definedName>
    <definedName name="SveaIIRöjningsskog">'Svea II'!$C$14:$M$19</definedName>
    <definedName name="SveaIIYngre_timmerskog">'Svea II'!$C$28:$M$33</definedName>
    <definedName name="SveaIIÄldre_timmerskog">'Svea II'!$C$36</definedName>
    <definedName name="SveaIKalmark">'Svea I'!$C$36</definedName>
    <definedName name="SveaIMassavedskog">'Svea I'!$C$21:$M$26</definedName>
    <definedName name="SveaIPlantskog">'Svea I'!$C$7:$M$12</definedName>
    <definedName name="SveaIRöjningsskog">'Svea I'!$C$14:$M$19</definedName>
    <definedName name="SveaIYngre_timmerskog">'Svea I'!$C$28:$M$33</definedName>
    <definedName name="SveaIÄldre_timmerskog">'Svea I'!$C$36</definedName>
    <definedName name="_xlnm.Print_Area" localSheetId="7">Gns!$A$1:$V$32</definedName>
    <definedName name="_xlnm.Print_Area" localSheetId="9">Gsk!$A$1:$V$32</definedName>
    <definedName name="_xlnm.Print_Area" localSheetId="5">Gss!$A$1:$V$32</definedName>
    <definedName name="_xlnm.Print_Area" localSheetId="11">Nn!$A$1:$V$33</definedName>
    <definedName name="_xlnm.Print_Area" localSheetId="12">Nö!$A$1:$V$32</definedName>
    <definedName name="_xlnm.Print_Area" localSheetId="2">Skog!$A$1:$L$54</definedName>
    <definedName name="_xlnm.Print_Area" localSheetId="8">Ss!$A$1:$V$33</definedName>
    <definedName name="_xlnm.Print_Area" localSheetId="10">Ssk!$A$1:$V$32</definedName>
  </definedNames>
  <calcPr calcId="125725"/>
</workbook>
</file>

<file path=xl/calcChain.xml><?xml version="1.0" encoding="utf-8"?>
<calcChain xmlns="http://schemas.openxmlformats.org/spreadsheetml/2006/main">
  <c r="O12" i="2"/>
  <c r="Q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R14" i="28"/>
  <c r="R15"/>
  <c r="K15"/>
  <c r="L15" s="1"/>
  <c r="R16"/>
  <c r="K16"/>
  <c r="L16" s="1"/>
  <c r="R17"/>
  <c r="K17"/>
  <c r="L17" s="1"/>
  <c r="R18"/>
  <c r="K18"/>
  <c r="L18" s="1"/>
  <c r="R19"/>
  <c r="K19"/>
  <c r="L19" s="1"/>
  <c r="R20"/>
  <c r="K20"/>
  <c r="L20" s="1"/>
  <c r="R21"/>
  <c r="K21"/>
  <c r="L21" s="1"/>
  <c r="R22"/>
  <c r="K22"/>
  <c r="L22" s="1"/>
  <c r="K23"/>
  <c r="L23" s="1"/>
  <c r="R24"/>
  <c r="K24"/>
  <c r="L24" s="1"/>
  <c r="R25"/>
  <c r="K25"/>
  <c r="L25" s="1"/>
  <c r="R26"/>
  <c r="K26"/>
  <c r="L26" s="1"/>
  <c r="R27"/>
  <c r="K27"/>
  <c r="L27" s="1"/>
  <c r="R28"/>
  <c r="K28"/>
  <c r="L28" s="1"/>
  <c r="R29"/>
  <c r="K29"/>
  <c r="L29" s="1"/>
  <c r="R30"/>
  <c r="K30"/>
  <c r="L30" s="1"/>
  <c r="R31"/>
  <c r="K31"/>
  <c r="L31" s="1"/>
  <c r="R32"/>
  <c r="K32"/>
  <c r="L32" s="1"/>
  <c r="K33"/>
  <c r="L33" s="1"/>
  <c r="K34"/>
  <c r="L34" s="1"/>
  <c r="K35"/>
  <c r="L35" s="1"/>
  <c r="K36"/>
  <c r="L36" s="1"/>
  <c r="K37"/>
  <c r="L37" s="1"/>
  <c r="K38"/>
  <c r="L38" s="1"/>
  <c r="K39"/>
  <c r="L39" s="1"/>
  <c r="K40"/>
  <c r="L40" s="1"/>
  <c r="K41"/>
  <c r="L41" s="1"/>
  <c r="N12" i="2"/>
  <c r="P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F13" i="1"/>
  <c r="H29"/>
  <c r="O7" i="2"/>
  <c r="O6"/>
  <c r="O5"/>
  <c r="L6" i="28"/>
  <c r="H2" i="17"/>
  <c r="G17" s="1"/>
  <c r="H2" i="16"/>
  <c r="C28" s="1"/>
  <c r="I19"/>
  <c r="H2" i="18"/>
  <c r="C28"/>
  <c r="M33"/>
  <c r="G7" i="4"/>
  <c r="G19" s="1"/>
  <c r="G12"/>
  <c r="G26"/>
  <c r="G36"/>
  <c r="G39"/>
  <c r="G41"/>
  <c r="G43"/>
  <c r="G47"/>
  <c r="H2" i="23"/>
  <c r="G17" s="1"/>
  <c r="H2" i="22"/>
  <c r="D7" s="1"/>
  <c r="H2" i="24"/>
  <c r="H7" s="1"/>
  <c r="O51" i="2"/>
  <c r="A47" i="1"/>
  <c r="A49"/>
  <c r="A45"/>
  <c r="C7" i="4"/>
  <c r="C6" i="28"/>
  <c r="C7" i="2"/>
  <c r="E4" i="4"/>
  <c r="H4" i="28"/>
  <c r="L4" i="2"/>
  <c r="H2" i="20"/>
  <c r="E7" s="1"/>
  <c r="D14" i="28"/>
  <c r="H2" i="19"/>
  <c r="D7" s="1"/>
  <c r="D15" i="28"/>
  <c r="D16"/>
  <c r="D17"/>
  <c r="D18"/>
  <c r="H2" i="21"/>
  <c r="C28" s="1"/>
  <c r="D19" i="28"/>
  <c r="D20"/>
  <c r="D21"/>
  <c r="D22"/>
  <c r="R47"/>
  <c r="K47"/>
  <c r="L47"/>
  <c r="L48"/>
  <c r="L53"/>
  <c r="E19" i="1"/>
  <c r="L49" i="28"/>
  <c r="L50"/>
  <c r="L51"/>
  <c r="L52"/>
  <c r="A2" i="1"/>
  <c r="D47" i="28"/>
  <c r="R48"/>
  <c r="K48"/>
  <c r="D48"/>
  <c r="R49"/>
  <c r="K49"/>
  <c r="Q13" i="2"/>
  <c r="Q16"/>
  <c r="Q18"/>
  <c r="Q19"/>
  <c r="V20"/>
  <c r="J20"/>
  <c r="L20"/>
  <c r="F20"/>
  <c r="H20"/>
  <c r="Q20"/>
  <c r="V21"/>
  <c r="J21"/>
  <c r="L21"/>
  <c r="F21"/>
  <c r="H21"/>
  <c r="Q21"/>
  <c r="V23"/>
  <c r="J23"/>
  <c r="L23"/>
  <c r="F23"/>
  <c r="H23"/>
  <c r="Q23"/>
  <c r="Q14"/>
  <c r="Q15"/>
  <c r="Q17"/>
  <c r="Q22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V13"/>
  <c r="J13"/>
  <c r="F13"/>
  <c r="H13"/>
  <c r="P13"/>
  <c r="V16"/>
  <c r="J16"/>
  <c r="L16"/>
  <c r="F16"/>
  <c r="H16"/>
  <c r="P16"/>
  <c r="V18"/>
  <c r="J18"/>
  <c r="L18"/>
  <c r="F18"/>
  <c r="H18"/>
  <c r="P18"/>
  <c r="V19"/>
  <c r="J19"/>
  <c r="L19"/>
  <c r="F19"/>
  <c r="H19"/>
  <c r="P19"/>
  <c r="P20"/>
  <c r="P21"/>
  <c r="P23"/>
  <c r="P14"/>
  <c r="P15"/>
  <c r="P17"/>
  <c r="P22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F12"/>
  <c r="H12"/>
  <c r="V14"/>
  <c r="V15"/>
  <c r="J15"/>
  <c r="V17"/>
  <c r="V22"/>
  <c r="J22"/>
  <c r="V24"/>
  <c r="V25"/>
  <c r="J25"/>
  <c r="V26"/>
  <c r="V27"/>
  <c r="J27"/>
  <c r="V28"/>
  <c r="V29"/>
  <c r="J29"/>
  <c r="V30"/>
  <c r="V31"/>
  <c r="J31"/>
  <c r="V32"/>
  <c r="V33"/>
  <c r="J33"/>
  <c r="V34"/>
  <c r="V35"/>
  <c r="J35"/>
  <c r="V36"/>
  <c r="V37"/>
  <c r="J37"/>
  <c r="V38"/>
  <c r="V39"/>
  <c r="J39"/>
  <c r="V40"/>
  <c r="V41"/>
  <c r="J41"/>
  <c r="V42"/>
  <c r="J14"/>
  <c r="J17"/>
  <c r="J24"/>
  <c r="J26"/>
  <c r="J28"/>
  <c r="J30"/>
  <c r="J32"/>
  <c r="J34"/>
  <c r="J36"/>
  <c r="J38"/>
  <c r="J40"/>
  <c r="J42"/>
  <c r="V12"/>
  <c r="J12"/>
  <c r="R50" i="28"/>
  <c r="K50"/>
  <c r="R51"/>
  <c r="K51"/>
  <c r="R52"/>
  <c r="K52"/>
  <c r="L14" i="2"/>
  <c r="H14"/>
  <c r="F14"/>
  <c r="L17"/>
  <c r="A2" i="28"/>
  <c r="H15" i="2"/>
  <c r="H17"/>
  <c r="F15"/>
  <c r="F17"/>
  <c r="D49" i="28"/>
  <c r="D50"/>
  <c r="D51"/>
  <c r="D5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14"/>
  <c r="I15"/>
  <c r="I16"/>
  <c r="I17"/>
  <c r="E4" i="15"/>
  <c r="E14"/>
  <c r="E26"/>
  <c r="D7" i="16"/>
  <c r="E7"/>
  <c r="F7"/>
  <c r="G7"/>
  <c r="H7"/>
  <c r="I7"/>
  <c r="J7"/>
  <c r="K7"/>
  <c r="L7"/>
  <c r="M7"/>
  <c r="C8"/>
  <c r="D8"/>
  <c r="E8"/>
  <c r="F8"/>
  <c r="G8"/>
  <c r="H8"/>
  <c r="I8"/>
  <c r="J8"/>
  <c r="K8"/>
  <c r="L8"/>
  <c r="M8"/>
  <c r="C9"/>
  <c r="D9"/>
  <c r="E9"/>
  <c r="F9"/>
  <c r="G9"/>
  <c r="H9"/>
  <c r="I9"/>
  <c r="J9"/>
  <c r="K9"/>
  <c r="L9"/>
  <c r="M9"/>
  <c r="C10"/>
  <c r="D10"/>
  <c r="E10"/>
  <c r="F10"/>
  <c r="G10"/>
  <c r="H10"/>
  <c r="I10"/>
  <c r="J10"/>
  <c r="K10"/>
  <c r="L10"/>
  <c r="M10"/>
  <c r="C11"/>
  <c r="D11"/>
  <c r="E11"/>
  <c r="F11"/>
  <c r="G11"/>
  <c r="H11"/>
  <c r="I11"/>
  <c r="J11"/>
  <c r="K11"/>
  <c r="L11"/>
  <c r="M11"/>
  <c r="C12"/>
  <c r="D12"/>
  <c r="E12"/>
  <c r="F12"/>
  <c r="G12"/>
  <c r="H12"/>
  <c r="I12"/>
  <c r="J12"/>
  <c r="K12"/>
  <c r="L12"/>
  <c r="M12"/>
  <c r="C14"/>
  <c r="D14"/>
  <c r="E14"/>
  <c r="F14"/>
  <c r="G14"/>
  <c r="H14"/>
  <c r="I14"/>
  <c r="J14"/>
  <c r="K14"/>
  <c r="L14"/>
  <c r="M14"/>
  <c r="C15"/>
  <c r="D15"/>
  <c r="E15"/>
  <c r="F15"/>
  <c r="G15"/>
  <c r="H15"/>
  <c r="I15"/>
  <c r="J15"/>
  <c r="K15"/>
  <c r="L15"/>
  <c r="M15"/>
  <c r="C16"/>
  <c r="D16"/>
  <c r="E16"/>
  <c r="F16"/>
  <c r="G16"/>
  <c r="H16"/>
  <c r="I16"/>
  <c r="J16"/>
  <c r="K16"/>
  <c r="L16"/>
  <c r="M16"/>
  <c r="C17"/>
  <c r="D17"/>
  <c r="E17"/>
  <c r="F17"/>
  <c r="G17"/>
  <c r="H17"/>
  <c r="I17"/>
  <c r="J17"/>
  <c r="K17"/>
  <c r="L17"/>
  <c r="M17"/>
  <c r="C18"/>
  <c r="D18"/>
  <c r="E18"/>
  <c r="F18"/>
  <c r="G18"/>
  <c r="H18"/>
  <c r="I18"/>
  <c r="J18"/>
  <c r="K18"/>
  <c r="L18"/>
  <c r="M18"/>
  <c r="C19"/>
  <c r="D19"/>
  <c r="E19"/>
  <c r="F19"/>
  <c r="G19"/>
  <c r="H19"/>
  <c r="J19"/>
  <c r="K19"/>
  <c r="L19"/>
  <c r="M19"/>
  <c r="C21"/>
  <c r="D21"/>
  <c r="E21"/>
  <c r="F21"/>
  <c r="G21"/>
  <c r="H21"/>
  <c r="I21"/>
  <c r="J21"/>
  <c r="K21"/>
  <c r="L21"/>
  <c r="M21"/>
  <c r="C22"/>
  <c r="D22"/>
  <c r="E22"/>
  <c r="F22"/>
  <c r="G22"/>
  <c r="H22"/>
  <c r="I22"/>
  <c r="J22"/>
  <c r="K22"/>
  <c r="L22"/>
  <c r="M22"/>
  <c r="C23"/>
  <c r="D23"/>
  <c r="E23"/>
  <c r="F23"/>
  <c r="G23"/>
  <c r="H23"/>
  <c r="I23"/>
  <c r="J23"/>
  <c r="K23"/>
  <c r="L23"/>
  <c r="M23"/>
  <c r="C24"/>
  <c r="D24"/>
  <c r="E24"/>
  <c r="F24"/>
  <c r="G24"/>
  <c r="H24"/>
  <c r="I24"/>
  <c r="J24"/>
  <c r="K24"/>
  <c r="L24"/>
  <c r="M24"/>
  <c r="C25"/>
  <c r="D25"/>
  <c r="E25"/>
  <c r="F25"/>
  <c r="G25"/>
  <c r="H25"/>
  <c r="I25"/>
  <c r="J25"/>
  <c r="K25"/>
  <c r="L25"/>
  <c r="M25"/>
  <c r="C26"/>
  <c r="D26"/>
  <c r="E26"/>
  <c r="F26"/>
  <c r="G26"/>
  <c r="H26"/>
  <c r="I26"/>
  <c r="J26"/>
  <c r="K26"/>
  <c r="L26"/>
  <c r="M26"/>
  <c r="D28"/>
  <c r="E28"/>
  <c r="F28"/>
  <c r="G28"/>
  <c r="H28"/>
  <c r="I28"/>
  <c r="J28"/>
  <c r="K28"/>
  <c r="L28"/>
  <c r="M28"/>
  <c r="C29"/>
  <c r="D29"/>
  <c r="E29"/>
  <c r="F29"/>
  <c r="G29"/>
  <c r="H29"/>
  <c r="I29"/>
  <c r="J29"/>
  <c r="K29"/>
  <c r="L29"/>
  <c r="M29"/>
  <c r="C30"/>
  <c r="D30"/>
  <c r="E30"/>
  <c r="F30"/>
  <c r="G30"/>
  <c r="H30"/>
  <c r="I30"/>
  <c r="J30"/>
  <c r="K30"/>
  <c r="L30"/>
  <c r="M30"/>
  <c r="C31"/>
  <c r="D31"/>
  <c r="E31"/>
  <c r="F31"/>
  <c r="G31"/>
  <c r="H31"/>
  <c r="I31"/>
  <c r="J31"/>
  <c r="K31"/>
  <c r="L31"/>
  <c r="M31"/>
  <c r="C32"/>
  <c r="D32"/>
  <c r="E32"/>
  <c r="F32"/>
  <c r="G32"/>
  <c r="H32"/>
  <c r="I32"/>
  <c r="J32"/>
  <c r="K32"/>
  <c r="L32"/>
  <c r="M32"/>
  <c r="C33"/>
  <c r="D33"/>
  <c r="E33"/>
  <c r="F33"/>
  <c r="G33"/>
  <c r="H33"/>
  <c r="I33"/>
  <c r="J33"/>
  <c r="K33"/>
  <c r="L33"/>
  <c r="M33"/>
  <c r="C36"/>
  <c r="E7" i="17"/>
  <c r="G7"/>
  <c r="J7"/>
  <c r="K7"/>
  <c r="M7"/>
  <c r="D8"/>
  <c r="G8"/>
  <c r="H8"/>
  <c r="J8"/>
  <c r="L8"/>
  <c r="D9"/>
  <c r="E9"/>
  <c r="G9"/>
  <c r="I9"/>
  <c r="L9"/>
  <c r="M9"/>
  <c r="D10"/>
  <c r="F10"/>
  <c r="I10"/>
  <c r="J10"/>
  <c r="L10"/>
  <c r="C11"/>
  <c r="F11"/>
  <c r="G11"/>
  <c r="I11"/>
  <c r="K11"/>
  <c r="C12"/>
  <c r="D12"/>
  <c r="F12"/>
  <c r="H12"/>
  <c r="K12"/>
  <c r="L12"/>
  <c r="C14"/>
  <c r="E14"/>
  <c r="H14"/>
  <c r="I14"/>
  <c r="K14"/>
  <c r="M14"/>
  <c r="E15"/>
  <c r="F15"/>
  <c r="H15"/>
  <c r="J15"/>
  <c r="M15"/>
  <c r="C16"/>
  <c r="E16"/>
  <c r="G16"/>
  <c r="J16"/>
  <c r="K16"/>
  <c r="M16"/>
  <c r="D17"/>
  <c r="H17"/>
  <c r="I17"/>
  <c r="K17"/>
  <c r="M17"/>
  <c r="E18"/>
  <c r="F18"/>
  <c r="H18"/>
  <c r="J18"/>
  <c r="M18"/>
  <c r="C19"/>
  <c r="E19"/>
  <c r="G19"/>
  <c r="J19"/>
  <c r="K19"/>
  <c r="M19"/>
  <c r="D21"/>
  <c r="G21"/>
  <c r="H21"/>
  <c r="J21"/>
  <c r="L21"/>
  <c r="D22"/>
  <c r="E22"/>
  <c r="G22"/>
  <c r="I22"/>
  <c r="L22"/>
  <c r="M22"/>
  <c r="D23"/>
  <c r="F23"/>
  <c r="I23"/>
  <c r="J23"/>
  <c r="L23"/>
  <c r="C24"/>
  <c r="F24"/>
  <c r="G24"/>
  <c r="J24"/>
  <c r="L24"/>
  <c r="D25"/>
  <c r="E25"/>
  <c r="G25"/>
  <c r="I25"/>
  <c r="L25"/>
  <c r="M25"/>
  <c r="D26"/>
  <c r="F26"/>
  <c r="I26"/>
  <c r="J26"/>
  <c r="L26"/>
  <c r="C28"/>
  <c r="F28"/>
  <c r="G28"/>
  <c r="I28"/>
  <c r="K28"/>
  <c r="C29"/>
  <c r="D29"/>
  <c r="F29"/>
  <c r="H29"/>
  <c r="K29"/>
  <c r="L29"/>
  <c r="C30"/>
  <c r="E30"/>
  <c r="H30"/>
  <c r="I30"/>
  <c r="K30"/>
  <c r="M30"/>
  <c r="E31"/>
  <c r="F31"/>
  <c r="H31"/>
  <c r="J31"/>
  <c r="M31"/>
  <c r="C32"/>
  <c r="E32"/>
  <c r="G32"/>
  <c r="J32"/>
  <c r="K32"/>
  <c r="M32"/>
  <c r="D33"/>
  <c r="G33"/>
  <c r="H33"/>
  <c r="J33"/>
  <c r="L33"/>
  <c r="C7" i="18"/>
  <c r="D7"/>
  <c r="E7"/>
  <c r="F7"/>
  <c r="G7"/>
  <c r="H7"/>
  <c r="I7"/>
  <c r="J7"/>
  <c r="K7"/>
  <c r="L7"/>
  <c r="M7"/>
  <c r="C8"/>
  <c r="D8"/>
  <c r="E8"/>
  <c r="F8"/>
  <c r="G8"/>
  <c r="H8"/>
  <c r="I8"/>
  <c r="J8"/>
  <c r="K8"/>
  <c r="L8"/>
  <c r="M8"/>
  <c r="C9"/>
  <c r="D9"/>
  <c r="E9"/>
  <c r="F9"/>
  <c r="G9"/>
  <c r="H9"/>
  <c r="I9"/>
  <c r="J9"/>
  <c r="K9"/>
  <c r="L9"/>
  <c r="M9"/>
  <c r="C10"/>
  <c r="D10"/>
  <c r="E10"/>
  <c r="F10"/>
  <c r="G10"/>
  <c r="H10"/>
  <c r="I10"/>
  <c r="J10"/>
  <c r="K10"/>
  <c r="L10"/>
  <c r="M10"/>
  <c r="C11"/>
  <c r="D11"/>
  <c r="E11"/>
  <c r="F11"/>
  <c r="G11"/>
  <c r="H11"/>
  <c r="I11"/>
  <c r="J11"/>
  <c r="K11"/>
  <c r="L11"/>
  <c r="M11"/>
  <c r="C12"/>
  <c r="D12"/>
  <c r="E12"/>
  <c r="F12"/>
  <c r="G12"/>
  <c r="H12"/>
  <c r="I12"/>
  <c r="J12"/>
  <c r="K12"/>
  <c r="L12"/>
  <c r="M12"/>
  <c r="C14"/>
  <c r="D14"/>
  <c r="E14"/>
  <c r="F14"/>
  <c r="G14"/>
  <c r="H14"/>
  <c r="I14"/>
  <c r="J14"/>
  <c r="K14"/>
  <c r="L14"/>
  <c r="M14"/>
  <c r="C15"/>
  <c r="D15"/>
  <c r="E15"/>
  <c r="F15"/>
  <c r="G15"/>
  <c r="H15"/>
  <c r="I15"/>
  <c r="J15"/>
  <c r="K15"/>
  <c r="L15"/>
  <c r="M15"/>
  <c r="C16"/>
  <c r="D16"/>
  <c r="E16"/>
  <c r="F16"/>
  <c r="G16"/>
  <c r="H16"/>
  <c r="I16"/>
  <c r="J16"/>
  <c r="K16"/>
  <c r="L16"/>
  <c r="M16"/>
  <c r="C17"/>
  <c r="D17"/>
  <c r="E17"/>
  <c r="F17"/>
  <c r="G17"/>
  <c r="H17"/>
  <c r="I17"/>
  <c r="J17"/>
  <c r="K17"/>
  <c r="L17"/>
  <c r="M17"/>
  <c r="C18"/>
  <c r="D18"/>
  <c r="E18"/>
  <c r="F18"/>
  <c r="G18"/>
  <c r="H18"/>
  <c r="I18"/>
  <c r="J18"/>
  <c r="K18"/>
  <c r="L18"/>
  <c r="M18"/>
  <c r="C19"/>
  <c r="D19"/>
  <c r="E19"/>
  <c r="F19"/>
  <c r="G19"/>
  <c r="H19"/>
  <c r="I19"/>
  <c r="J19"/>
  <c r="K19"/>
  <c r="L19"/>
  <c r="M19"/>
  <c r="C21"/>
  <c r="D21"/>
  <c r="E21"/>
  <c r="F21"/>
  <c r="G21"/>
  <c r="H21"/>
  <c r="I21"/>
  <c r="J21"/>
  <c r="K21"/>
  <c r="L21"/>
  <c r="M21"/>
  <c r="C22"/>
  <c r="D22"/>
  <c r="E22"/>
  <c r="F22"/>
  <c r="G22"/>
  <c r="H22"/>
  <c r="I22"/>
  <c r="J22"/>
  <c r="K22"/>
  <c r="L22"/>
  <c r="M22"/>
  <c r="C23"/>
  <c r="D23"/>
  <c r="E23"/>
  <c r="F23"/>
  <c r="G23"/>
  <c r="H23"/>
  <c r="I23"/>
  <c r="J23"/>
  <c r="K23"/>
  <c r="L23"/>
  <c r="M23"/>
  <c r="C24"/>
  <c r="D24"/>
  <c r="E24"/>
  <c r="F24"/>
  <c r="G24"/>
  <c r="H24"/>
  <c r="I24"/>
  <c r="J24"/>
  <c r="K24"/>
  <c r="L24"/>
  <c r="M24"/>
  <c r="C25"/>
  <c r="D25"/>
  <c r="E25"/>
  <c r="F25"/>
  <c r="G25"/>
  <c r="H25"/>
  <c r="I25"/>
  <c r="J25"/>
  <c r="K25"/>
  <c r="L25"/>
  <c r="M25"/>
  <c r="C26"/>
  <c r="D26"/>
  <c r="E26"/>
  <c r="F26"/>
  <c r="G26"/>
  <c r="H26"/>
  <c r="I26"/>
  <c r="J26"/>
  <c r="K26"/>
  <c r="L26"/>
  <c r="M26"/>
  <c r="D28"/>
  <c r="E28"/>
  <c r="F28"/>
  <c r="G28"/>
  <c r="H28"/>
  <c r="I28"/>
  <c r="J28"/>
  <c r="K28"/>
  <c r="L28"/>
  <c r="M28"/>
  <c r="C29"/>
  <c r="D29"/>
  <c r="E29"/>
  <c r="F29"/>
  <c r="G29"/>
  <c r="H29"/>
  <c r="I29"/>
  <c r="J29"/>
  <c r="K29"/>
  <c r="L29"/>
  <c r="M29"/>
  <c r="C30"/>
  <c r="D30"/>
  <c r="E30"/>
  <c r="F30"/>
  <c r="G30"/>
  <c r="H30"/>
  <c r="I30"/>
  <c r="J30"/>
  <c r="K30"/>
  <c r="L30"/>
  <c r="M30"/>
  <c r="C31"/>
  <c r="D31"/>
  <c r="E31"/>
  <c r="F31"/>
  <c r="G31"/>
  <c r="H31"/>
  <c r="I31"/>
  <c r="J31"/>
  <c r="K31"/>
  <c r="L31"/>
  <c r="M31"/>
  <c r="C32"/>
  <c r="D32"/>
  <c r="E32"/>
  <c r="F32"/>
  <c r="G32"/>
  <c r="H32"/>
  <c r="I32"/>
  <c r="J32"/>
  <c r="K32"/>
  <c r="L32"/>
  <c r="M32"/>
  <c r="C33"/>
  <c r="D33"/>
  <c r="E33"/>
  <c r="F33"/>
  <c r="G33"/>
  <c r="H33"/>
  <c r="I33"/>
  <c r="J33"/>
  <c r="K33"/>
  <c r="L33"/>
  <c r="C36"/>
  <c r="E7" i="19"/>
  <c r="F7"/>
  <c r="H7"/>
  <c r="J7"/>
  <c r="M7"/>
  <c r="C8"/>
  <c r="E8"/>
  <c r="G8"/>
  <c r="J8"/>
  <c r="K8"/>
  <c r="M8"/>
  <c r="D9"/>
  <c r="G9"/>
  <c r="H9"/>
  <c r="J9"/>
  <c r="L9"/>
  <c r="D10"/>
  <c r="E10"/>
  <c r="G10"/>
  <c r="I10"/>
  <c r="L10"/>
  <c r="M10"/>
  <c r="D11"/>
  <c r="F11"/>
  <c r="I11"/>
  <c r="J11"/>
  <c r="L11"/>
  <c r="C12"/>
  <c r="F12"/>
  <c r="G12"/>
  <c r="I12"/>
  <c r="K12"/>
  <c r="C14"/>
  <c r="D14"/>
  <c r="F14"/>
  <c r="H14"/>
  <c r="K14"/>
  <c r="L14"/>
  <c r="C15"/>
  <c r="E15"/>
  <c r="H15"/>
  <c r="I15"/>
  <c r="K15"/>
  <c r="M15"/>
  <c r="E16"/>
  <c r="F16"/>
  <c r="H16"/>
  <c r="J16"/>
  <c r="M16"/>
  <c r="C17"/>
  <c r="E17"/>
  <c r="G17"/>
  <c r="J17"/>
  <c r="K17"/>
  <c r="M17"/>
  <c r="D18"/>
  <c r="G18"/>
  <c r="H18"/>
  <c r="J18"/>
  <c r="L18"/>
  <c r="D19"/>
  <c r="E19"/>
  <c r="G19"/>
  <c r="J19"/>
  <c r="M19"/>
  <c r="C21"/>
  <c r="E21"/>
  <c r="G21"/>
  <c r="J21"/>
  <c r="K21"/>
  <c r="M21"/>
  <c r="D22"/>
  <c r="G22"/>
  <c r="H22"/>
  <c r="J22"/>
  <c r="L22"/>
  <c r="D23"/>
  <c r="E23"/>
  <c r="G23"/>
  <c r="I23"/>
  <c r="L23"/>
  <c r="M23"/>
  <c r="D24"/>
  <c r="F24"/>
  <c r="I24"/>
  <c r="J24"/>
  <c r="L24"/>
  <c r="C25"/>
  <c r="F25"/>
  <c r="G25"/>
  <c r="I25"/>
  <c r="K25"/>
  <c r="C26"/>
  <c r="D26"/>
  <c r="F26"/>
  <c r="H26"/>
  <c r="K26"/>
  <c r="L26"/>
  <c r="D28"/>
  <c r="F28"/>
  <c r="I28"/>
  <c r="J28"/>
  <c r="L28"/>
  <c r="N28"/>
  <c r="E29"/>
  <c r="F29"/>
  <c r="H29"/>
  <c r="J29"/>
  <c r="M29"/>
  <c r="C30"/>
  <c r="E30"/>
  <c r="G30"/>
  <c r="J30"/>
  <c r="K30"/>
  <c r="M30"/>
  <c r="D31"/>
  <c r="G31"/>
  <c r="H31"/>
  <c r="J31"/>
  <c r="L31"/>
  <c r="D32"/>
  <c r="E32"/>
  <c r="G32"/>
  <c r="I32"/>
  <c r="L32"/>
  <c r="M32"/>
  <c r="D33"/>
  <c r="F33"/>
  <c r="I33"/>
  <c r="J33"/>
  <c r="L33"/>
  <c r="C36"/>
  <c r="F7" i="20"/>
  <c r="C8"/>
  <c r="K8"/>
  <c r="H9"/>
  <c r="E10"/>
  <c r="M10"/>
  <c r="J11"/>
  <c r="G12"/>
  <c r="D14"/>
  <c r="L14"/>
  <c r="I15"/>
  <c r="F16"/>
  <c r="C17"/>
  <c r="L17"/>
  <c r="I18"/>
  <c r="F19"/>
  <c r="C21"/>
  <c r="K21"/>
  <c r="H22"/>
  <c r="E23"/>
  <c r="M23"/>
  <c r="K24"/>
  <c r="H25"/>
  <c r="E26"/>
  <c r="M26"/>
  <c r="J28"/>
  <c r="F29"/>
  <c r="C30"/>
  <c r="K30"/>
  <c r="H31"/>
  <c r="E32"/>
  <c r="M32"/>
  <c r="J33"/>
  <c r="G7" i="21"/>
  <c r="H8"/>
  <c r="L8"/>
  <c r="I9"/>
  <c r="F10"/>
  <c r="G11"/>
  <c r="K11"/>
  <c r="H12"/>
  <c r="E14"/>
  <c r="F15"/>
  <c r="J15"/>
  <c r="G16"/>
  <c r="D17"/>
  <c r="E18"/>
  <c r="I18"/>
  <c r="F19"/>
  <c r="C21"/>
  <c r="D22"/>
  <c r="H22"/>
  <c r="E23"/>
  <c r="M23"/>
  <c r="C25"/>
  <c r="G25"/>
  <c r="D26"/>
  <c r="L26"/>
  <c r="C29"/>
  <c r="G29"/>
  <c r="D30"/>
  <c r="L30"/>
  <c r="M31"/>
  <c r="F32"/>
  <c r="C33"/>
  <c r="K33"/>
  <c r="E7" i="22"/>
  <c r="M7"/>
  <c r="J8"/>
  <c r="G9"/>
  <c r="D10"/>
  <c r="L10"/>
  <c r="I11"/>
  <c r="F12"/>
  <c r="C14"/>
  <c r="K14"/>
  <c r="H15"/>
  <c r="E16"/>
  <c r="M16"/>
  <c r="J17"/>
  <c r="G18"/>
  <c r="D19"/>
  <c r="M19"/>
  <c r="J21"/>
  <c r="G22"/>
  <c r="D23"/>
  <c r="L23"/>
  <c r="I24"/>
  <c r="F25"/>
  <c r="C26"/>
  <c r="K26"/>
  <c r="I28"/>
  <c r="F29"/>
  <c r="C30"/>
  <c r="K30"/>
  <c r="H31"/>
  <c r="E32"/>
  <c r="M32"/>
  <c r="J33"/>
  <c r="D7" i="23"/>
  <c r="E7"/>
  <c r="F7"/>
  <c r="G7"/>
  <c r="H7"/>
  <c r="I7"/>
  <c r="J7"/>
  <c r="K7"/>
  <c r="L7"/>
  <c r="M7"/>
  <c r="C8"/>
  <c r="D8"/>
  <c r="E8"/>
  <c r="F8"/>
  <c r="G8"/>
  <c r="H8"/>
  <c r="I8"/>
  <c r="J8"/>
  <c r="K8"/>
  <c r="L8"/>
  <c r="M8"/>
  <c r="C9"/>
  <c r="D9"/>
  <c r="E9"/>
  <c r="F9"/>
  <c r="G9"/>
  <c r="H9"/>
  <c r="I9"/>
  <c r="J9"/>
  <c r="K9"/>
  <c r="L9"/>
  <c r="M9"/>
  <c r="C10"/>
  <c r="D10"/>
  <c r="E10"/>
  <c r="F10"/>
  <c r="G10"/>
  <c r="H10"/>
  <c r="I10"/>
  <c r="J10"/>
  <c r="K10"/>
  <c r="L10"/>
  <c r="M10"/>
  <c r="C11"/>
  <c r="D11"/>
  <c r="E11"/>
  <c r="F11"/>
  <c r="G11"/>
  <c r="H11"/>
  <c r="I11"/>
  <c r="J11"/>
  <c r="K11"/>
  <c r="L11"/>
  <c r="M11"/>
  <c r="C12"/>
  <c r="D12"/>
  <c r="E12"/>
  <c r="F12"/>
  <c r="G12"/>
  <c r="H12"/>
  <c r="I12"/>
  <c r="J12"/>
  <c r="K12"/>
  <c r="L12"/>
  <c r="M12"/>
  <c r="C14"/>
  <c r="D14"/>
  <c r="E14"/>
  <c r="F14"/>
  <c r="G14"/>
  <c r="H14"/>
  <c r="I14"/>
  <c r="J14"/>
  <c r="K14"/>
  <c r="L14"/>
  <c r="M14"/>
  <c r="C15"/>
  <c r="D15"/>
  <c r="E15"/>
  <c r="F15"/>
  <c r="G15"/>
  <c r="H15"/>
  <c r="I15"/>
  <c r="J15"/>
  <c r="K15"/>
  <c r="L15"/>
  <c r="M15"/>
  <c r="C16"/>
  <c r="D16"/>
  <c r="E16"/>
  <c r="F16"/>
  <c r="G16"/>
  <c r="H16"/>
  <c r="I16"/>
  <c r="J16"/>
  <c r="K16"/>
  <c r="L16"/>
  <c r="M16"/>
  <c r="C17"/>
  <c r="D17"/>
  <c r="E17"/>
  <c r="F17"/>
  <c r="H17"/>
  <c r="I17"/>
  <c r="J17"/>
  <c r="K17"/>
  <c r="L17"/>
  <c r="M17"/>
  <c r="C18"/>
  <c r="D18"/>
  <c r="E18"/>
  <c r="F18"/>
  <c r="G18"/>
  <c r="H18"/>
  <c r="I18"/>
  <c r="J18"/>
  <c r="K18"/>
  <c r="L18"/>
  <c r="M18"/>
  <c r="C19"/>
  <c r="D19"/>
  <c r="E19"/>
  <c r="F19"/>
  <c r="G19"/>
  <c r="H19"/>
  <c r="I19"/>
  <c r="J19"/>
  <c r="K19"/>
  <c r="L19"/>
  <c r="M19"/>
  <c r="C21"/>
  <c r="D21"/>
  <c r="E21"/>
  <c r="F21"/>
  <c r="G21"/>
  <c r="H21"/>
  <c r="I21"/>
  <c r="J21"/>
  <c r="K21"/>
  <c r="L21"/>
  <c r="M21"/>
  <c r="C22"/>
  <c r="D22"/>
  <c r="E22"/>
  <c r="F22"/>
  <c r="G22"/>
  <c r="H22"/>
  <c r="I22"/>
  <c r="J22"/>
  <c r="K22"/>
  <c r="L22"/>
  <c r="M22"/>
  <c r="C23"/>
  <c r="D23"/>
  <c r="E23"/>
  <c r="F23"/>
  <c r="G23"/>
  <c r="H23"/>
  <c r="I23"/>
  <c r="J23"/>
  <c r="K23"/>
  <c r="L23"/>
  <c r="M23"/>
  <c r="C24"/>
  <c r="D24"/>
  <c r="E24"/>
  <c r="F24"/>
  <c r="G24"/>
  <c r="I24"/>
  <c r="J24"/>
  <c r="K24"/>
  <c r="L24"/>
  <c r="M24"/>
  <c r="C25"/>
  <c r="D25"/>
  <c r="E25"/>
  <c r="F25"/>
  <c r="G25"/>
  <c r="H25"/>
  <c r="I25"/>
  <c r="J25"/>
  <c r="K25"/>
  <c r="L25"/>
  <c r="M25"/>
  <c r="C26"/>
  <c r="D26"/>
  <c r="E26"/>
  <c r="F26"/>
  <c r="G26"/>
  <c r="H26"/>
  <c r="I26"/>
  <c r="J26"/>
  <c r="K26"/>
  <c r="L26"/>
  <c r="M26"/>
  <c r="C28"/>
  <c r="D28"/>
  <c r="E28"/>
  <c r="F28"/>
  <c r="G28"/>
  <c r="H28"/>
  <c r="I28"/>
  <c r="J28"/>
  <c r="K28"/>
  <c r="L28"/>
  <c r="M28"/>
  <c r="C29"/>
  <c r="D29"/>
  <c r="E29"/>
  <c r="F29"/>
  <c r="G29"/>
  <c r="H29"/>
  <c r="I29"/>
  <c r="J29"/>
  <c r="K29"/>
  <c r="L29"/>
  <c r="M29"/>
  <c r="C30"/>
  <c r="D30"/>
  <c r="E30"/>
  <c r="F30"/>
  <c r="G30"/>
  <c r="H30"/>
  <c r="I30"/>
  <c r="J30"/>
  <c r="K30"/>
  <c r="L30"/>
  <c r="M30"/>
  <c r="C31"/>
  <c r="D31"/>
  <c r="E31"/>
  <c r="F31"/>
  <c r="G31"/>
  <c r="H31"/>
  <c r="I31"/>
  <c r="J31"/>
  <c r="K31"/>
  <c r="L31"/>
  <c r="M31"/>
  <c r="C32"/>
  <c r="D32"/>
  <c r="E32"/>
  <c r="F32"/>
  <c r="G32"/>
  <c r="H32"/>
  <c r="I32"/>
  <c r="J32"/>
  <c r="K32"/>
  <c r="L32"/>
  <c r="M32"/>
  <c r="C33"/>
  <c r="D33"/>
  <c r="E33"/>
  <c r="F33"/>
  <c r="G33"/>
  <c r="H33"/>
  <c r="I33"/>
  <c r="J33"/>
  <c r="K33"/>
  <c r="L33"/>
  <c r="M33"/>
  <c r="D7" i="24"/>
  <c r="F7"/>
  <c r="I7"/>
  <c r="J7"/>
  <c r="L7"/>
  <c r="C8"/>
  <c r="F8"/>
  <c r="G8"/>
  <c r="I8"/>
  <c r="K8"/>
  <c r="C9"/>
  <c r="D9"/>
  <c r="F9"/>
  <c r="H9"/>
  <c r="K9"/>
  <c r="L9"/>
  <c r="C10"/>
  <c r="E10"/>
  <c r="H10"/>
  <c r="I10"/>
  <c r="K10"/>
  <c r="M10"/>
  <c r="E11"/>
  <c r="F11"/>
  <c r="H11"/>
  <c r="J11"/>
  <c r="M11"/>
  <c r="C12"/>
  <c r="E12"/>
  <c r="G12"/>
  <c r="J12"/>
  <c r="K12"/>
  <c r="M12"/>
  <c r="D14"/>
  <c r="G14"/>
  <c r="H14"/>
  <c r="J14"/>
  <c r="L14"/>
  <c r="D15"/>
  <c r="E15"/>
  <c r="G15"/>
  <c r="I15"/>
  <c r="L15"/>
  <c r="M15"/>
  <c r="D16"/>
  <c r="F16"/>
  <c r="I16"/>
  <c r="J16"/>
  <c r="L16"/>
  <c r="C17"/>
  <c r="F17"/>
  <c r="G17"/>
  <c r="I17"/>
  <c r="K17"/>
  <c r="C18"/>
  <c r="D18"/>
  <c r="F18"/>
  <c r="H18"/>
  <c r="K18"/>
  <c r="L18"/>
  <c r="C19"/>
  <c r="E19"/>
  <c r="H19"/>
  <c r="I19"/>
  <c r="K19"/>
  <c r="M19"/>
  <c r="E21"/>
  <c r="F21"/>
  <c r="H21"/>
  <c r="J21"/>
  <c r="M21"/>
  <c r="C22"/>
  <c r="E22"/>
  <c r="G22"/>
  <c r="J22"/>
  <c r="K22"/>
  <c r="M22"/>
  <c r="D23"/>
  <c r="G23"/>
  <c r="H23"/>
  <c r="J23"/>
  <c r="L23"/>
  <c r="D24"/>
  <c r="E24"/>
  <c r="G24"/>
  <c r="I24"/>
  <c r="L24"/>
  <c r="M24"/>
  <c r="D25"/>
  <c r="F25"/>
  <c r="I25"/>
  <c r="J25"/>
  <c r="L25"/>
  <c r="C26"/>
  <c r="F26"/>
  <c r="G26"/>
  <c r="I26"/>
  <c r="K26"/>
  <c r="D28"/>
  <c r="E28"/>
  <c r="G28"/>
  <c r="I28"/>
  <c r="L28"/>
  <c r="M28"/>
  <c r="D29"/>
  <c r="F29"/>
  <c r="I29"/>
  <c r="J29"/>
  <c r="L29"/>
  <c r="C30"/>
  <c r="F30"/>
  <c r="G30"/>
  <c r="I30"/>
  <c r="K30"/>
  <c r="C31"/>
  <c r="D31"/>
  <c r="F31"/>
  <c r="H31"/>
  <c r="K31"/>
  <c r="L31"/>
  <c r="C32"/>
  <c r="E32"/>
  <c r="H32"/>
  <c r="I32"/>
  <c r="K32"/>
  <c r="M32"/>
  <c r="E33"/>
  <c r="F33"/>
  <c r="H33"/>
  <c r="J33"/>
  <c r="C36"/>
  <c r="A2" i="4"/>
  <c r="C6"/>
  <c r="L5" i="28"/>
  <c r="C5"/>
  <c r="R23"/>
  <c r="R33"/>
  <c r="R34"/>
  <c r="R35"/>
  <c r="R36"/>
  <c r="R37"/>
  <c r="R38"/>
  <c r="R39"/>
  <c r="R40"/>
  <c r="R41"/>
  <c r="D42"/>
  <c r="D53"/>
  <c r="A2" i="2"/>
  <c r="T5"/>
  <c r="C6"/>
  <c r="T6"/>
  <c r="L15"/>
  <c r="F22"/>
  <c r="H22"/>
  <c r="L22"/>
  <c r="F24"/>
  <c r="H24"/>
  <c r="L24"/>
  <c r="F25"/>
  <c r="H25"/>
  <c r="L25"/>
  <c r="F26"/>
  <c r="H26"/>
  <c r="L26"/>
  <c r="F27"/>
  <c r="H27"/>
  <c r="L27"/>
  <c r="F28"/>
  <c r="H28"/>
  <c r="L28"/>
  <c r="F29"/>
  <c r="H29"/>
  <c r="L29"/>
  <c r="F30"/>
  <c r="H30"/>
  <c r="L30"/>
  <c r="F31"/>
  <c r="H31"/>
  <c r="L31"/>
  <c r="F32"/>
  <c r="H32"/>
  <c r="L32"/>
  <c r="F33"/>
  <c r="H33"/>
  <c r="L33"/>
  <c r="F34"/>
  <c r="H34"/>
  <c r="L34"/>
  <c r="F35"/>
  <c r="H35"/>
  <c r="L35"/>
  <c r="F36"/>
  <c r="H36"/>
  <c r="L36"/>
  <c r="F37"/>
  <c r="H37"/>
  <c r="L37"/>
  <c r="F38"/>
  <c r="H38"/>
  <c r="L38"/>
  <c r="F39"/>
  <c r="H39"/>
  <c r="L39"/>
  <c r="F40"/>
  <c r="H40"/>
  <c r="L40"/>
  <c r="F41"/>
  <c r="H41"/>
  <c r="L41"/>
  <c r="F42"/>
  <c r="H42"/>
  <c r="L42"/>
  <c r="C36" i="1"/>
  <c r="H24" i="23"/>
  <c r="C36"/>
  <c r="G13" i="4"/>
  <c r="G20"/>
  <c r="G22"/>
  <c r="G16"/>
  <c r="M33" i="21"/>
  <c r="C7" i="16"/>
  <c r="C7" i="23"/>
  <c r="C7" i="17"/>
  <c r="G21" i="4"/>
  <c r="G17"/>
  <c r="L13" i="2"/>
  <c r="L12"/>
  <c r="P44"/>
  <c r="N45"/>
  <c r="Q44"/>
  <c r="O45"/>
  <c r="G15" i="4"/>
  <c r="O48" i="2"/>
  <c r="O49"/>
  <c r="O53"/>
  <c r="H34" i="1"/>
  <c r="G37" i="4"/>
  <c r="G35"/>
  <c r="G33"/>
  <c r="G31"/>
  <c r="G29"/>
  <c r="G27"/>
  <c r="G25"/>
  <c r="G23"/>
  <c r="G18"/>
  <c r="K14" i="28"/>
  <c r="K33" i="22" l="1"/>
  <c r="C33"/>
  <c r="F32"/>
  <c r="I31"/>
  <c r="L30"/>
  <c r="D30"/>
  <c r="G29"/>
  <c r="J28"/>
  <c r="L26"/>
  <c r="D26"/>
  <c r="G25"/>
  <c r="J24"/>
  <c r="M23"/>
  <c r="E23"/>
  <c r="H22"/>
  <c r="K21"/>
  <c r="C21"/>
  <c r="E19"/>
  <c r="H18"/>
  <c r="K17"/>
  <c r="C17"/>
  <c r="F16"/>
  <c r="I15"/>
  <c r="L14"/>
  <c r="D14"/>
  <c r="G12"/>
  <c r="J11"/>
  <c r="M10"/>
  <c r="E10"/>
  <c r="H9"/>
  <c r="K8"/>
  <c r="C8"/>
  <c r="F7"/>
  <c r="K33" i="20"/>
  <c r="C33"/>
  <c r="F32"/>
  <c r="I31"/>
  <c r="L30"/>
  <c r="D30"/>
  <c r="G29"/>
  <c r="K28"/>
  <c r="C28"/>
  <c r="F26"/>
  <c r="I25"/>
  <c r="L24"/>
  <c r="C24"/>
  <c r="F23"/>
  <c r="I22"/>
  <c r="L21"/>
  <c r="D21"/>
  <c r="G19"/>
  <c r="J18"/>
  <c r="M17"/>
  <c r="D17"/>
  <c r="G16"/>
  <c r="J15"/>
  <c r="M14"/>
  <c r="E14"/>
  <c r="H12"/>
  <c r="K11"/>
  <c r="C11"/>
  <c r="F10"/>
  <c r="I9"/>
  <c r="L8"/>
  <c r="D8"/>
  <c r="G7"/>
  <c r="G17"/>
  <c r="I19" i="22"/>
  <c r="G33" i="24"/>
  <c r="J32"/>
  <c r="M31"/>
  <c r="E31"/>
  <c r="H30"/>
  <c r="K29"/>
  <c r="C29"/>
  <c r="F28"/>
  <c r="H26"/>
  <c r="K25"/>
  <c r="C25"/>
  <c r="F24"/>
  <c r="I23"/>
  <c r="L22"/>
  <c r="D22"/>
  <c r="G21"/>
  <c r="J19"/>
  <c r="M18"/>
  <c r="E18"/>
  <c r="H17"/>
  <c r="K16"/>
  <c r="C16"/>
  <c r="F15"/>
  <c r="I14"/>
  <c r="L12"/>
  <c r="D12"/>
  <c r="G11"/>
  <c r="J10"/>
  <c r="M9"/>
  <c r="E9"/>
  <c r="H8"/>
  <c r="K7"/>
  <c r="C7"/>
  <c r="L33" i="22"/>
  <c r="D33"/>
  <c r="G32"/>
  <c r="J31"/>
  <c r="M30"/>
  <c r="E30"/>
  <c r="H29"/>
  <c r="K28"/>
  <c r="M26"/>
  <c r="E26"/>
  <c r="H25"/>
  <c r="K24"/>
  <c r="C24"/>
  <c r="F23"/>
  <c r="I22"/>
  <c r="L21"/>
  <c r="D21"/>
  <c r="F19"/>
  <c r="I18"/>
  <c r="L17"/>
  <c r="D17"/>
  <c r="G16"/>
  <c r="J15"/>
  <c r="M14"/>
  <c r="E14"/>
  <c r="H12"/>
  <c r="K11"/>
  <c r="C11"/>
  <c r="F10"/>
  <c r="I9"/>
  <c r="L8"/>
  <c r="D8"/>
  <c r="G7"/>
  <c r="J32" i="21"/>
  <c r="K29"/>
  <c r="K25"/>
  <c r="L22"/>
  <c r="M18"/>
  <c r="C16"/>
  <c r="D12"/>
  <c r="E9"/>
  <c r="L33" i="20"/>
  <c r="D33"/>
  <c r="G32"/>
  <c r="J31"/>
  <c r="M30"/>
  <c r="E30"/>
  <c r="H29"/>
  <c r="L28"/>
  <c r="D28"/>
  <c r="G26"/>
  <c r="J25"/>
  <c r="M24"/>
  <c r="D24"/>
  <c r="G23"/>
  <c r="J22"/>
  <c r="M21"/>
  <c r="E21"/>
  <c r="H19"/>
  <c r="K18"/>
  <c r="C18"/>
  <c r="E17"/>
  <c r="H16"/>
  <c r="K15"/>
  <c r="C15"/>
  <c r="F14"/>
  <c r="I12"/>
  <c r="L11"/>
  <c r="D11"/>
  <c r="G10"/>
  <c r="J9"/>
  <c r="M8"/>
  <c r="E8"/>
  <c r="H7"/>
  <c r="K33" i="19"/>
  <c r="C33"/>
  <c r="F32"/>
  <c r="I31"/>
  <c r="L30"/>
  <c r="D30"/>
  <c r="G29"/>
  <c r="K28"/>
  <c r="M26"/>
  <c r="E26"/>
  <c r="H25"/>
  <c r="K24"/>
  <c r="C24"/>
  <c r="F23"/>
  <c r="I22"/>
  <c r="L21"/>
  <c r="D21"/>
  <c r="F19"/>
  <c r="I18"/>
  <c r="L17"/>
  <c r="D17"/>
  <c r="G16"/>
  <c r="J15"/>
  <c r="M14"/>
  <c r="E14"/>
  <c r="H12"/>
  <c r="K11"/>
  <c r="C11"/>
  <c r="F10"/>
  <c r="I9"/>
  <c r="L8"/>
  <c r="D8"/>
  <c r="G7"/>
  <c r="I33" i="17"/>
  <c r="L32"/>
  <c r="D32"/>
  <c r="G31"/>
  <c r="J30"/>
  <c r="M29"/>
  <c r="E29"/>
  <c r="H28"/>
  <c r="K26"/>
  <c r="C26"/>
  <c r="F25"/>
  <c r="I24"/>
  <c r="K23"/>
  <c r="C23"/>
  <c r="F22"/>
  <c r="I21"/>
  <c r="L19"/>
  <c r="D19"/>
  <c r="G18"/>
  <c r="J17"/>
  <c r="L16"/>
  <c r="D16"/>
  <c r="G15"/>
  <c r="J14"/>
  <c r="M12"/>
  <c r="E12"/>
  <c r="H11"/>
  <c r="K10"/>
  <c r="C10"/>
  <c r="F9"/>
  <c r="I8"/>
  <c r="L7"/>
  <c r="D7"/>
  <c r="C28" i="22"/>
  <c r="M33"/>
  <c r="E33"/>
  <c r="H32"/>
  <c r="K31"/>
  <c r="C31"/>
  <c r="F30"/>
  <c r="I29"/>
  <c r="L28"/>
  <c r="D28"/>
  <c r="F26"/>
  <c r="I25"/>
  <c r="L24"/>
  <c r="D24"/>
  <c r="G23"/>
  <c r="J22"/>
  <c r="M21"/>
  <c r="E21"/>
  <c r="G19"/>
  <c r="J18"/>
  <c r="M17"/>
  <c r="E17"/>
  <c r="H16"/>
  <c r="K15"/>
  <c r="C15"/>
  <c r="F14"/>
  <c r="I12"/>
  <c r="L11"/>
  <c r="D11"/>
  <c r="G10"/>
  <c r="J9"/>
  <c r="M8"/>
  <c r="E8"/>
  <c r="H7"/>
  <c r="M33" i="20"/>
  <c r="E33"/>
  <c r="H32"/>
  <c r="K31"/>
  <c r="C31"/>
  <c r="F30"/>
  <c r="I29"/>
  <c r="M28"/>
  <c r="E28"/>
  <c r="H26"/>
  <c r="K25"/>
  <c r="C25"/>
  <c r="E24"/>
  <c r="H23"/>
  <c r="K22"/>
  <c r="C22"/>
  <c r="F21"/>
  <c r="I19"/>
  <c r="L18"/>
  <c r="D18"/>
  <c r="F17"/>
  <c r="I16"/>
  <c r="L15"/>
  <c r="D15"/>
  <c r="G14"/>
  <c r="J12"/>
  <c r="M11"/>
  <c r="E11"/>
  <c r="H10"/>
  <c r="K9"/>
  <c r="C9"/>
  <c r="F8"/>
  <c r="I7"/>
  <c r="C36"/>
  <c r="I33" i="24"/>
  <c r="L32"/>
  <c r="D32"/>
  <c r="G31"/>
  <c r="J30"/>
  <c r="M29"/>
  <c r="E29"/>
  <c r="H28"/>
  <c r="J26"/>
  <c r="M25"/>
  <c r="E25"/>
  <c r="H24"/>
  <c r="K23"/>
  <c r="C23"/>
  <c r="F22"/>
  <c r="I21"/>
  <c r="L19"/>
  <c r="D19"/>
  <c r="G18"/>
  <c r="J17"/>
  <c r="M16"/>
  <c r="E16"/>
  <c r="H15"/>
  <c r="K14"/>
  <c r="C14"/>
  <c r="F12"/>
  <c r="I11"/>
  <c r="L10"/>
  <c r="D10"/>
  <c r="G9"/>
  <c r="J8"/>
  <c r="M7"/>
  <c r="E7"/>
  <c r="C36" i="22"/>
  <c r="F33"/>
  <c r="I32"/>
  <c r="L31"/>
  <c r="D31"/>
  <c r="G30"/>
  <c r="J29"/>
  <c r="M28"/>
  <c r="E28"/>
  <c r="G26"/>
  <c r="J25"/>
  <c r="M24"/>
  <c r="E24"/>
  <c r="H23"/>
  <c r="K22"/>
  <c r="C22"/>
  <c r="F21"/>
  <c r="H19"/>
  <c r="K18"/>
  <c r="C18"/>
  <c r="F17"/>
  <c r="I16"/>
  <c r="L15"/>
  <c r="D15"/>
  <c r="G14"/>
  <c r="J12"/>
  <c r="M11"/>
  <c r="E11"/>
  <c r="H10"/>
  <c r="K9"/>
  <c r="C9"/>
  <c r="F8"/>
  <c r="I7"/>
  <c r="G33" i="21"/>
  <c r="H30"/>
  <c r="H26"/>
  <c r="I23"/>
  <c r="J19"/>
  <c r="K16"/>
  <c r="L12"/>
  <c r="M9"/>
  <c r="C7"/>
  <c r="F33" i="20"/>
  <c r="I32"/>
  <c r="L31"/>
  <c r="D31"/>
  <c r="G30"/>
  <c r="J29"/>
  <c r="N28"/>
  <c r="F28"/>
  <c r="I26"/>
  <c r="L25"/>
  <c r="D25"/>
  <c r="F24"/>
  <c r="I23"/>
  <c r="L22"/>
  <c r="D22"/>
  <c r="G21"/>
  <c r="J19"/>
  <c r="M18"/>
  <c r="E18"/>
  <c r="H17"/>
  <c r="J16"/>
  <c r="M15"/>
  <c r="E15"/>
  <c r="H14"/>
  <c r="K12"/>
  <c r="C12"/>
  <c r="F11"/>
  <c r="I10"/>
  <c r="L9"/>
  <c r="D9"/>
  <c r="G8"/>
  <c r="J7"/>
  <c r="M33" i="19"/>
  <c r="E33"/>
  <c r="H32"/>
  <c r="K31"/>
  <c r="C31"/>
  <c r="F30"/>
  <c r="I29"/>
  <c r="M28"/>
  <c r="E28"/>
  <c r="G26"/>
  <c r="J25"/>
  <c r="M24"/>
  <c r="E24"/>
  <c r="H23"/>
  <c r="K22"/>
  <c r="C22"/>
  <c r="F21"/>
  <c r="H19"/>
  <c r="K18"/>
  <c r="C18"/>
  <c r="F17"/>
  <c r="I16"/>
  <c r="L15"/>
  <c r="D15"/>
  <c r="G14"/>
  <c r="J12"/>
  <c r="M11"/>
  <c r="E11"/>
  <c r="H10"/>
  <c r="K9"/>
  <c r="C9"/>
  <c r="F8"/>
  <c r="I7"/>
  <c r="K33" i="17"/>
  <c r="C33"/>
  <c r="F32"/>
  <c r="I31"/>
  <c r="L30"/>
  <c r="D30"/>
  <c r="G29"/>
  <c r="J28"/>
  <c r="M26"/>
  <c r="E26"/>
  <c r="H25"/>
  <c r="K24"/>
  <c r="M23"/>
  <c r="E23"/>
  <c r="H22"/>
  <c r="K21"/>
  <c r="C21"/>
  <c r="F19"/>
  <c r="I18"/>
  <c r="L17"/>
  <c r="C17"/>
  <c r="F16"/>
  <c r="I15"/>
  <c r="L14"/>
  <c r="D14"/>
  <c r="G12"/>
  <c r="J11"/>
  <c r="M10"/>
  <c r="E10"/>
  <c r="H9"/>
  <c r="K8"/>
  <c r="C8"/>
  <c r="F7"/>
  <c r="I19" i="19"/>
  <c r="C28" i="24"/>
  <c r="G44" i="4"/>
  <c r="G24"/>
  <c r="H24" i="20"/>
  <c r="C7"/>
  <c r="G33" i="22"/>
  <c r="M31"/>
  <c r="H30"/>
  <c r="C29"/>
  <c r="F28"/>
  <c r="K25"/>
  <c r="F24"/>
  <c r="L22"/>
  <c r="G21"/>
  <c r="D18"/>
  <c r="G17"/>
  <c r="M15"/>
  <c r="H14"/>
  <c r="C12"/>
  <c r="I10"/>
  <c r="D9"/>
  <c r="G8"/>
  <c r="G33" i="20"/>
  <c r="M31"/>
  <c r="H30"/>
  <c r="C29"/>
  <c r="M25"/>
  <c r="G24"/>
  <c r="M22"/>
  <c r="H21"/>
  <c r="C19"/>
  <c r="I17"/>
  <c r="C16"/>
  <c r="I14"/>
  <c r="D12"/>
  <c r="G11"/>
  <c r="M9"/>
  <c r="H8"/>
  <c r="K33" i="24"/>
  <c r="F32"/>
  <c r="L30"/>
  <c r="G29"/>
  <c r="L26"/>
  <c r="G25"/>
  <c r="H22"/>
  <c r="F19"/>
  <c r="L17"/>
  <c r="G16"/>
  <c r="M14"/>
  <c r="H12"/>
  <c r="C11"/>
  <c r="F10"/>
  <c r="I9"/>
  <c r="D8"/>
  <c r="G7"/>
  <c r="H33" i="22"/>
  <c r="K32"/>
  <c r="C32"/>
  <c r="F31"/>
  <c r="I30"/>
  <c r="L29"/>
  <c r="D29"/>
  <c r="G28"/>
  <c r="I26"/>
  <c r="L25"/>
  <c r="D25"/>
  <c r="G24"/>
  <c r="J23"/>
  <c r="M22"/>
  <c r="E22"/>
  <c r="H21"/>
  <c r="K19"/>
  <c r="M18"/>
  <c r="E18"/>
  <c r="H17"/>
  <c r="K16"/>
  <c r="C16"/>
  <c r="F15"/>
  <c r="I14"/>
  <c r="L12"/>
  <c r="D12"/>
  <c r="G11"/>
  <c r="J10"/>
  <c r="M9"/>
  <c r="E9"/>
  <c r="H8"/>
  <c r="K7"/>
  <c r="C7"/>
  <c r="E31" i="21"/>
  <c r="F28"/>
  <c r="F24"/>
  <c r="G21"/>
  <c r="H17"/>
  <c r="I14"/>
  <c r="J10"/>
  <c r="K7"/>
  <c r="H33" i="20"/>
  <c r="K32"/>
  <c r="C32"/>
  <c r="F31"/>
  <c r="I30"/>
  <c r="L29"/>
  <c r="D29"/>
  <c r="H28"/>
  <c r="K26"/>
  <c r="C26"/>
  <c r="F25"/>
  <c r="I24"/>
  <c r="K23"/>
  <c r="C23"/>
  <c r="F22"/>
  <c r="I21"/>
  <c r="L19"/>
  <c r="D19"/>
  <c r="G18"/>
  <c r="J17"/>
  <c r="L16"/>
  <c r="D16"/>
  <c r="G15"/>
  <c r="J14"/>
  <c r="M12"/>
  <c r="E12"/>
  <c r="H11"/>
  <c r="K10"/>
  <c r="C10"/>
  <c r="F9"/>
  <c r="I8"/>
  <c r="L7"/>
  <c r="D7"/>
  <c r="G33" i="19"/>
  <c r="J32"/>
  <c r="M31"/>
  <c r="E31"/>
  <c r="H30"/>
  <c r="K29"/>
  <c r="C29"/>
  <c r="G28"/>
  <c r="I26"/>
  <c r="L25"/>
  <c r="D25"/>
  <c r="G24"/>
  <c r="J23"/>
  <c r="M22"/>
  <c r="E22"/>
  <c r="H21"/>
  <c r="K19"/>
  <c r="M18"/>
  <c r="E18"/>
  <c r="H17"/>
  <c r="K16"/>
  <c r="C16"/>
  <c r="F15"/>
  <c r="I14"/>
  <c r="L12"/>
  <c r="D12"/>
  <c r="G11"/>
  <c r="J10"/>
  <c r="M9"/>
  <c r="E9"/>
  <c r="H8"/>
  <c r="K7"/>
  <c r="C7"/>
  <c r="M33" i="17"/>
  <c r="E33"/>
  <c r="H32"/>
  <c r="K31"/>
  <c r="C31"/>
  <c r="F30"/>
  <c r="I29"/>
  <c r="L28"/>
  <c r="D28"/>
  <c r="G26"/>
  <c r="J25"/>
  <c r="M24"/>
  <c r="D24"/>
  <c r="G23"/>
  <c r="J22"/>
  <c r="M21"/>
  <c r="E21"/>
  <c r="H19"/>
  <c r="K18"/>
  <c r="C18"/>
  <c r="E17"/>
  <c r="H16"/>
  <c r="K15"/>
  <c r="C15"/>
  <c r="F14"/>
  <c r="I12"/>
  <c r="L11"/>
  <c r="D11"/>
  <c r="G10"/>
  <c r="J9"/>
  <c r="M8"/>
  <c r="E8"/>
  <c r="H7"/>
  <c r="G48" i="4"/>
  <c r="G28"/>
  <c r="J32" i="22"/>
  <c r="E31"/>
  <c r="K29"/>
  <c r="H26"/>
  <c r="C25"/>
  <c r="I23"/>
  <c r="D22"/>
  <c r="J19"/>
  <c r="L18"/>
  <c r="J16"/>
  <c r="E15"/>
  <c r="K12"/>
  <c r="F11"/>
  <c r="L9"/>
  <c r="J7"/>
  <c r="J32" i="20"/>
  <c r="E31"/>
  <c r="K29"/>
  <c r="G28"/>
  <c r="J26"/>
  <c r="E25"/>
  <c r="J23"/>
  <c r="E22"/>
  <c r="K19"/>
  <c r="F18"/>
  <c r="K16"/>
  <c r="F15"/>
  <c r="L12"/>
  <c r="J10"/>
  <c r="E9"/>
  <c r="K7"/>
  <c r="M33" i="24"/>
  <c r="C28" i="19"/>
  <c r="C33" i="24"/>
  <c r="I31"/>
  <c r="D30"/>
  <c r="J28"/>
  <c r="D26"/>
  <c r="J24"/>
  <c r="M23"/>
  <c r="E23"/>
  <c r="K21"/>
  <c r="C21"/>
  <c r="I18"/>
  <c r="D17"/>
  <c r="J15"/>
  <c r="E14"/>
  <c r="K11"/>
  <c r="L8"/>
  <c r="L33"/>
  <c r="D33"/>
  <c r="G32"/>
  <c r="J31"/>
  <c r="M30"/>
  <c r="E30"/>
  <c r="H29"/>
  <c r="K28"/>
  <c r="M26"/>
  <c r="E26"/>
  <c r="H25"/>
  <c r="K24"/>
  <c r="C24"/>
  <c r="F23"/>
  <c r="I22"/>
  <c r="L21"/>
  <c r="D21"/>
  <c r="G19"/>
  <c r="J18"/>
  <c r="M17"/>
  <c r="E17"/>
  <c r="H16"/>
  <c r="K15"/>
  <c r="C15"/>
  <c r="F14"/>
  <c r="I12"/>
  <c r="L11"/>
  <c r="D11"/>
  <c r="G10"/>
  <c r="J9"/>
  <c r="M8"/>
  <c r="E8"/>
  <c r="I33" i="22"/>
  <c r="L32"/>
  <c r="D32"/>
  <c r="G31"/>
  <c r="J30"/>
  <c r="M29"/>
  <c r="E29"/>
  <c r="H28"/>
  <c r="J26"/>
  <c r="M25"/>
  <c r="E25"/>
  <c r="H24"/>
  <c r="K23"/>
  <c r="C23"/>
  <c r="F22"/>
  <c r="I21"/>
  <c r="L19"/>
  <c r="C19"/>
  <c r="F18"/>
  <c r="I17"/>
  <c r="L16"/>
  <c r="D16"/>
  <c r="G15"/>
  <c r="J14"/>
  <c r="M12"/>
  <c r="E12"/>
  <c r="H11"/>
  <c r="K10"/>
  <c r="C10"/>
  <c r="F9"/>
  <c r="I8"/>
  <c r="L7"/>
  <c r="I31" i="21"/>
  <c r="J28"/>
  <c r="J24"/>
  <c r="K21"/>
  <c r="L17"/>
  <c r="M14"/>
  <c r="C11"/>
  <c r="D8"/>
  <c r="I33" i="20"/>
  <c r="L32"/>
  <c r="D32"/>
  <c r="G31"/>
  <c r="J30"/>
  <c r="M29"/>
  <c r="E29"/>
  <c r="I28"/>
  <c r="L26"/>
  <c r="D26"/>
  <c r="G25"/>
  <c r="J24"/>
  <c r="L23"/>
  <c r="D23"/>
  <c r="G22"/>
  <c r="J21"/>
  <c r="M19"/>
  <c r="E19"/>
  <c r="H18"/>
  <c r="K17"/>
  <c r="M16"/>
  <c r="E16"/>
  <c r="H15"/>
  <c r="K14"/>
  <c r="C14"/>
  <c r="F12"/>
  <c r="I11"/>
  <c r="L10"/>
  <c r="D10"/>
  <c r="G9"/>
  <c r="J8"/>
  <c r="M7"/>
  <c r="H33" i="19"/>
  <c r="K32"/>
  <c r="C32"/>
  <c r="F31"/>
  <c r="I30"/>
  <c r="L29"/>
  <c r="D29"/>
  <c r="H28"/>
  <c r="J26"/>
  <c r="M25"/>
  <c r="E25"/>
  <c r="H24"/>
  <c r="K23"/>
  <c r="C23"/>
  <c r="F22"/>
  <c r="I21"/>
  <c r="L19"/>
  <c r="C19"/>
  <c r="F18"/>
  <c r="I17"/>
  <c r="L16"/>
  <c r="D16"/>
  <c r="G15"/>
  <c r="J14"/>
  <c r="M12"/>
  <c r="E12"/>
  <c r="H11"/>
  <c r="K10"/>
  <c r="C10"/>
  <c r="F9"/>
  <c r="I8"/>
  <c r="L7"/>
  <c r="F33" i="17"/>
  <c r="I32"/>
  <c r="L31"/>
  <c r="D31"/>
  <c r="G30"/>
  <c r="J29"/>
  <c r="M28"/>
  <c r="E28"/>
  <c r="H26"/>
  <c r="K25"/>
  <c r="C25"/>
  <c r="E24"/>
  <c r="H23"/>
  <c r="K22"/>
  <c r="C22"/>
  <c r="F21"/>
  <c r="I19"/>
  <c r="L18"/>
  <c r="D18"/>
  <c r="F17"/>
  <c r="I16"/>
  <c r="L15"/>
  <c r="D15"/>
  <c r="G14"/>
  <c r="J12"/>
  <c r="M11"/>
  <c r="E11"/>
  <c r="H10"/>
  <c r="K9"/>
  <c r="C9"/>
  <c r="F8"/>
  <c r="I7"/>
  <c r="G34" i="4"/>
  <c r="G45"/>
  <c r="G40"/>
  <c r="G32"/>
  <c r="G14"/>
  <c r="L14" i="28"/>
  <c r="L42" s="1"/>
  <c r="H19" i="1" s="1"/>
  <c r="J33" i="21"/>
  <c r="F33"/>
  <c r="M32"/>
  <c r="I32"/>
  <c r="E32"/>
  <c r="L31"/>
  <c r="H31"/>
  <c r="D31"/>
  <c r="K30"/>
  <c r="G30"/>
  <c r="C30"/>
  <c r="J29"/>
  <c r="F29"/>
  <c r="M28"/>
  <c r="I28"/>
  <c r="E28"/>
  <c r="K26"/>
  <c r="G26"/>
  <c r="C26"/>
  <c r="J25"/>
  <c r="F25"/>
  <c r="M24"/>
  <c r="I24"/>
  <c r="E24"/>
  <c r="L23"/>
  <c r="H23"/>
  <c r="D23"/>
  <c r="K22"/>
  <c r="G22"/>
  <c r="C22"/>
  <c r="J21"/>
  <c r="F21"/>
  <c r="M19"/>
  <c r="I19"/>
  <c r="E19"/>
  <c r="L18"/>
  <c r="H18"/>
  <c r="D18"/>
  <c r="K17"/>
  <c r="G17"/>
  <c r="C17"/>
  <c r="J16"/>
  <c r="F16"/>
  <c r="M15"/>
  <c r="I15"/>
  <c r="E15"/>
  <c r="L14"/>
  <c r="H14"/>
  <c r="D14"/>
  <c r="K12"/>
  <c r="G12"/>
  <c r="C12"/>
  <c r="J11"/>
  <c r="F11"/>
  <c r="M10"/>
  <c r="I10"/>
  <c r="E10"/>
  <c r="L9"/>
  <c r="H9"/>
  <c r="D9"/>
  <c r="K8"/>
  <c r="G8"/>
  <c r="C8"/>
  <c r="J7"/>
  <c r="F7"/>
  <c r="C36"/>
  <c r="I33"/>
  <c r="E33"/>
  <c r="L32"/>
  <c r="H32"/>
  <c r="D32"/>
  <c r="K31"/>
  <c r="G31"/>
  <c r="C31"/>
  <c r="J30"/>
  <c r="F30"/>
  <c r="M29"/>
  <c r="I29"/>
  <c r="E29"/>
  <c r="L28"/>
  <c r="H28"/>
  <c r="D28"/>
  <c r="J26"/>
  <c r="F26"/>
  <c r="M25"/>
  <c r="I25"/>
  <c r="E25"/>
  <c r="L24"/>
  <c r="H24"/>
  <c r="D24"/>
  <c r="K23"/>
  <c r="G23"/>
  <c r="C23"/>
  <c r="J22"/>
  <c r="F22"/>
  <c r="M21"/>
  <c r="I21"/>
  <c r="E21"/>
  <c r="L19"/>
  <c r="H19"/>
  <c r="D19"/>
  <c r="K18"/>
  <c r="G18"/>
  <c r="C18"/>
  <c r="J17"/>
  <c r="F17"/>
  <c r="M16"/>
  <c r="I16"/>
  <c r="E16"/>
  <c r="L15"/>
  <c r="H15"/>
  <c r="D15"/>
  <c r="K14"/>
  <c r="G14"/>
  <c r="C14"/>
  <c r="J12"/>
  <c r="F12"/>
  <c r="M11"/>
  <c r="I11"/>
  <c r="E11"/>
  <c r="L10"/>
  <c r="H10"/>
  <c r="D10"/>
  <c r="K9"/>
  <c r="G9"/>
  <c r="C9"/>
  <c r="J8"/>
  <c r="F8"/>
  <c r="M7"/>
  <c r="I7"/>
  <c r="E7"/>
  <c r="G46" i="4"/>
  <c r="G42"/>
  <c r="G38"/>
  <c r="G30"/>
  <c r="H24" i="17"/>
  <c r="C36"/>
  <c r="L33" i="21"/>
  <c r="H33"/>
  <c r="D33"/>
  <c r="K32"/>
  <c r="G32"/>
  <c r="C32"/>
  <c r="J31"/>
  <c r="F31"/>
  <c r="M30"/>
  <c r="I30"/>
  <c r="E30"/>
  <c r="L29"/>
  <c r="H29"/>
  <c r="D29"/>
  <c r="K28"/>
  <c r="G28"/>
  <c r="M26"/>
  <c r="I26"/>
  <c r="E26"/>
  <c r="L25"/>
  <c r="H25"/>
  <c r="D25"/>
  <c r="K24"/>
  <c r="G24"/>
  <c r="C24"/>
  <c r="J23"/>
  <c r="F23"/>
  <c r="M22"/>
  <c r="I22"/>
  <c r="E22"/>
  <c r="L21"/>
  <c r="H21"/>
  <c r="D21"/>
  <c r="K19"/>
  <c r="G19"/>
  <c r="C19"/>
  <c r="J18"/>
  <c r="F18"/>
  <c r="M17"/>
  <c r="I17"/>
  <c r="E17"/>
  <c r="L16"/>
  <c r="H16"/>
  <c r="D16"/>
  <c r="K15"/>
  <c r="G15"/>
  <c r="C15"/>
  <c r="J14"/>
  <c r="F14"/>
  <c r="M12"/>
  <c r="I12"/>
  <c r="E12"/>
  <c r="L11"/>
  <c r="H11"/>
  <c r="D11"/>
  <c r="K10"/>
  <c r="G10"/>
  <c r="C10"/>
  <c r="J9"/>
  <c r="F9"/>
  <c r="M8"/>
  <c r="I8"/>
  <c r="E8"/>
  <c r="L7"/>
  <c r="H7"/>
  <c r="D7"/>
  <c r="N44" i="2"/>
  <c r="E18" i="1" s="1"/>
  <c r="E22" s="1"/>
  <c r="O44" i="2"/>
  <c r="H18" i="1" s="1"/>
  <c r="G49" i="4" l="1"/>
  <c r="H20" i="1" s="1"/>
  <c r="H26" s="1"/>
  <c r="H22" l="1"/>
  <c r="H24" s="1"/>
  <c r="H23" l="1"/>
  <c r="H27" s="1"/>
  <c r="H28" l="1"/>
  <c r="H32" s="1"/>
  <c r="H38" s="1"/>
  <c r="H39" s="1"/>
</calcChain>
</file>

<file path=xl/sharedStrings.xml><?xml version="1.0" encoding="utf-8"?>
<sst xmlns="http://schemas.openxmlformats.org/spreadsheetml/2006/main" count="646" uniqueCount="226">
  <si>
    <t>Värderings-</t>
  </si>
  <si>
    <t>SAMMANSTÄLLNING AV ERSÄTTNING VID INTRÅNG PÅ NEDANSTÅENDE FASTIGHET</t>
  </si>
  <si>
    <t>Värdetidpunkt:</t>
  </si>
  <si>
    <t>Basbelopp:</t>
  </si>
  <si>
    <t>SAMMANSTÄLLNING</t>
  </si>
  <si>
    <t>BORTTAGET INTRÅNG Kr</t>
  </si>
  <si>
    <t>NYTT INTRÅNG Kr</t>
  </si>
  <si>
    <t>DELSUMMOR</t>
  </si>
  <si>
    <t>NETTO Kr</t>
  </si>
  <si>
    <t>INDEXTILLÄGG FRÅN TILLTRÄDESDAGEN</t>
  </si>
  <si>
    <t>ERSÄTTNING FÖR FRIVILLIG ÖVERENSKOMMELSE</t>
  </si>
  <si>
    <t>TILLÄGG FÖR MINIMIERSÄTTNING</t>
  </si>
  <si>
    <t>SUMMA FÖR FASTIGHETEN  Kr</t>
  </si>
  <si>
    <t>AVGÅR ARRENDATORNS DEL Kr</t>
  </si>
  <si>
    <t>TILLKOMMER FÖR TILLFÄLLIG SKADA</t>
  </si>
  <si>
    <t>T O T A L   E R S Ä T T N I N G   T I L L   F A S T I G H E T S Ä G A R E N   K r</t>
  </si>
  <si>
    <t>Ovanstående ersättning godkännes som full ersättning för intrång av ovanstående kraftledning.</t>
  </si>
  <si>
    <t>Ort och datum</t>
  </si>
  <si>
    <t>Åker</t>
  </si>
  <si>
    <t>I N T R Å N G  I  Å K E R M A R K</t>
  </si>
  <si>
    <t>Dnr:</t>
  </si>
  <si>
    <t>Index pristidpunkten, Ip=</t>
  </si>
  <si>
    <t>Fastighet:</t>
  </si>
  <si>
    <t>Index värdetidpunkten, Iv=</t>
  </si>
  <si>
    <t>Produktionsomr:(Gss/Gmb/Gns/Gsk/Ss/Ssk/Nn/Nö)</t>
  </si>
  <si>
    <t>Stolpar och stag, beskrivning och placering</t>
  </si>
  <si>
    <t>Hindrets:</t>
  </si>
  <si>
    <t>Mark-</t>
  </si>
  <si>
    <t>Bort/</t>
  </si>
  <si>
    <t>Borttaget</t>
  </si>
  <si>
    <t>Nytt</t>
  </si>
  <si>
    <t>slag</t>
  </si>
  <si>
    <t>nytt</t>
  </si>
  <si>
    <t>längd</t>
  </si>
  <si>
    <t>bredd</t>
  </si>
  <si>
    <t>Litt</t>
  </si>
  <si>
    <t>Beskrivning</t>
  </si>
  <si>
    <t>m</t>
  </si>
  <si>
    <t>Å/B/I</t>
  </si>
  <si>
    <t>B/N</t>
  </si>
  <si>
    <t>Kronor</t>
  </si>
  <si>
    <t>Varav endast i åkermark kronor</t>
  </si>
  <si>
    <t>Beräkning av arrendatorns andel</t>
  </si>
  <si>
    <t>Nytt intrång minus borttaget intrång, kronor=</t>
  </si>
  <si>
    <t>Motsvarande årsskada, kronor=</t>
  </si>
  <si>
    <t>Kvarvarande arrendetid i kalenderår med en decimal=</t>
  </si>
  <si>
    <t>Kapitaliseringsfaktor=</t>
  </si>
  <si>
    <t>Ersättning till arrendator, kronor=</t>
  </si>
  <si>
    <t>Skog</t>
  </si>
  <si>
    <t>I N T R Å N G  I  S K O G S M A R K</t>
  </si>
  <si>
    <t>Faktor:</t>
  </si>
  <si>
    <t>Nytt intrång</t>
  </si>
  <si>
    <t>Best</t>
  </si>
  <si>
    <t>Skogsgata</t>
  </si>
  <si>
    <t>Marktyp</t>
  </si>
  <si>
    <t>Bestånd</t>
  </si>
  <si>
    <t xml:space="preserve">        Ersättning</t>
  </si>
  <si>
    <t>Trädslags-</t>
  </si>
  <si>
    <t>Areal-</t>
  </si>
  <si>
    <t>Längd</t>
  </si>
  <si>
    <t>Bredd</t>
  </si>
  <si>
    <t>Areal</t>
  </si>
  <si>
    <t>Bonitet</t>
  </si>
  <si>
    <t>Beståndstyp</t>
  </si>
  <si>
    <t>Sluten-</t>
  </si>
  <si>
    <t>blandning</t>
  </si>
  <si>
    <t>fördeln</t>
  </si>
  <si>
    <t>Nr</t>
  </si>
  <si>
    <t>Ha</t>
  </si>
  <si>
    <t>het</t>
  </si>
  <si>
    <t>Barr</t>
  </si>
  <si>
    <t>Löv</t>
  </si>
  <si>
    <t>%</t>
  </si>
  <si>
    <t>Kr/Ha</t>
  </si>
  <si>
    <t>Kr</t>
  </si>
  <si>
    <t>Total areal</t>
  </si>
  <si>
    <t xml:space="preserve">           Summa kronor</t>
  </si>
  <si>
    <t>Borttaget intrång</t>
  </si>
  <si>
    <t>(Specifikation erfordras inte, endast hälften av</t>
  </si>
  <si>
    <t xml:space="preserve">        Reduktion</t>
  </si>
  <si>
    <t>I mark</t>
  </si>
  <si>
    <t>I N T R Å N G  M E D  L E D N I N G  I  M A R K</t>
  </si>
  <si>
    <t xml:space="preserve">Ledningarnas typ (högspänning/lågspänning, area etc) </t>
  </si>
  <si>
    <t xml:space="preserve">   Lednings-</t>
  </si>
  <si>
    <t>Ersättning</t>
  </si>
  <si>
    <t xml:space="preserve">   sträckans</t>
  </si>
  <si>
    <t>Fakta</t>
  </si>
  <si>
    <t>Sammanställning av faktauppgifter som används i värderingsprotokollet</t>
  </si>
  <si>
    <t>Sammandragsbladet</t>
  </si>
  <si>
    <t>Företagsnamnet:</t>
  </si>
  <si>
    <t>Intrång i åkermark</t>
  </si>
  <si>
    <t>Index pristidpunkten:</t>
  </si>
  <si>
    <t>Index värdetidpunkten:</t>
  </si>
  <si>
    <t>Produktionsområde:</t>
  </si>
  <si>
    <t>Gss/Gmb/Gns/Gsk/ Ss/Ssk/Nn/Nö</t>
  </si>
  <si>
    <t>Intrång i skogsmark</t>
  </si>
  <si>
    <t>Prisfaktor:</t>
  </si>
  <si>
    <t>Intrång med ledning i mark</t>
  </si>
  <si>
    <t>Index vid pristidpunkten:</t>
  </si>
  <si>
    <t>Konsumentprisindex okt 1995, basår 1980</t>
  </si>
  <si>
    <t>Index vid värdetidpunkten:</t>
  </si>
  <si>
    <t>Tabell för bestämmande av ersättning för ledningsintrång i jordbruksmark</t>
  </si>
  <si>
    <t>Produktionsområde</t>
  </si>
  <si>
    <t>Gss</t>
  </si>
  <si>
    <t>Pristidpunkt</t>
  </si>
  <si>
    <t>Index vid pristidpunkten, Ip=</t>
  </si>
  <si>
    <t>Intrång i åker enligt huvudregeln (100%)</t>
  </si>
  <si>
    <t xml:space="preserve">Korrektion för längd &gt; 20 m, tillägg </t>
  </si>
  <si>
    <t>kr per meter</t>
  </si>
  <si>
    <t xml:space="preserve">Korrektion för bredd &gt;  7 m, tillägg </t>
  </si>
  <si>
    <t>Procentandelar av ersättning enligt huvudregeln ovan vid olika avstånd från fältkant samt vid olika markslag</t>
  </si>
  <si>
    <t>Åkermark</t>
  </si>
  <si>
    <t>Annan mark</t>
  </si>
  <si>
    <t>Avstånd från fältkant</t>
  </si>
  <si>
    <t>Betes-</t>
  </si>
  <si>
    <t>Impedi-</t>
  </si>
  <si>
    <t>0-1 m</t>
  </si>
  <si>
    <t>1-2 m</t>
  </si>
  <si>
    <t>2-3 m</t>
  </si>
  <si>
    <t>3-15 m</t>
  </si>
  <si>
    <t>&gt;15 m</t>
  </si>
  <si>
    <t>mark</t>
  </si>
  <si>
    <t>ment</t>
  </si>
  <si>
    <t>Ur Bilaga 7A:1 och Bilaga 7B</t>
  </si>
  <si>
    <t>Bet.</t>
  </si>
  <si>
    <t>Imp.</t>
  </si>
  <si>
    <t>Gmb</t>
  </si>
  <si>
    <t>Ur Bilaga 7A:2 och Bilaga 7B</t>
  </si>
  <si>
    <t>Gns</t>
  </si>
  <si>
    <t>Ur Bilaga 7A:3 och Bilaga 7B</t>
  </si>
  <si>
    <t>Gsk</t>
  </si>
  <si>
    <t>Ur Bilaga 7A:5 och Bilaga 7B</t>
  </si>
  <si>
    <t>Ss</t>
  </si>
  <si>
    <t>Ur Bilaga 7A:4 och Bilaga 7B</t>
  </si>
  <si>
    <t>Ssk</t>
  </si>
  <si>
    <t>Ur Bilaga 7A:6 och Bilaga 7B</t>
  </si>
  <si>
    <t>Nn</t>
  </si>
  <si>
    <t>Ur Bilaga 7A:7 och Bilaga 7B</t>
  </si>
  <si>
    <t>Nö</t>
  </si>
  <si>
    <t>Ur Bilaga 7A:8 och Bilaga 7B</t>
  </si>
  <si>
    <t>Förenklad skogsnorm för beräkning av bestående skada</t>
  </si>
  <si>
    <t xml:space="preserve">Engångsersättning i kronor per hektar vid prisfaktor </t>
  </si>
  <si>
    <t>Norrland, marktyp I (mycket god)</t>
  </si>
  <si>
    <t>Bestånds-</t>
  </si>
  <si>
    <t>Slut-</t>
  </si>
  <si>
    <t>Trädslagsblandning</t>
  </si>
  <si>
    <t>typ</t>
  </si>
  <si>
    <t>enhet</t>
  </si>
  <si>
    <t>Plant-</t>
  </si>
  <si>
    <t>skog</t>
  </si>
  <si>
    <t>Röjnings-</t>
  </si>
  <si>
    <t>Massaved-</t>
  </si>
  <si>
    <t xml:space="preserve">Yngre </t>
  </si>
  <si>
    <t>timmerskog</t>
  </si>
  <si>
    <t>Äldre tim-</t>
  </si>
  <si>
    <t>merskog och</t>
  </si>
  <si>
    <t>kalmark</t>
  </si>
  <si>
    <t>Norrland, marktyp II (medelgod)</t>
  </si>
  <si>
    <t>Norrland, marktyp III (dålig)</t>
  </si>
  <si>
    <t>Svealand, marktyp I (mycket god)</t>
  </si>
  <si>
    <t>Svealand, marktyp II (medelgod)</t>
  </si>
  <si>
    <t>Svealand, marktyp III (dålig)</t>
  </si>
  <si>
    <t>Götaland, marktyp I (mycket god)</t>
  </si>
  <si>
    <t>Götaland, marktyp II (medelgod)</t>
  </si>
  <si>
    <t>Götaland, marktyp III (dålig)</t>
  </si>
  <si>
    <t>Vald rad</t>
  </si>
  <si>
    <t>Valt innehåll</t>
  </si>
  <si>
    <t>Rad</t>
  </si>
  <si>
    <t>innehåll</t>
  </si>
  <si>
    <t>I</t>
  </si>
  <si>
    <t>II</t>
  </si>
  <si>
    <t>III</t>
  </si>
  <si>
    <t>Plantskog</t>
  </si>
  <si>
    <t>Röjningsskog</t>
  </si>
  <si>
    <t>Massavedskog</t>
  </si>
  <si>
    <t>Yngre_timmerskog</t>
  </si>
  <si>
    <t>Äldre_timmerskog</t>
  </si>
  <si>
    <t>Kalmark</t>
  </si>
  <si>
    <t>Göta/Svea/Norrl</t>
  </si>
  <si>
    <t xml:space="preserve">Geografiskt prisområde förenklad norm </t>
  </si>
  <si>
    <t>Område:(Göta/Svea/Norrl)</t>
  </si>
  <si>
    <t>kalmarksvärdet enligt nästa kolumn medräknas)</t>
  </si>
  <si>
    <t>protokoll</t>
  </si>
  <si>
    <t>OBS! NEGATIVT NETTOBELOPP</t>
  </si>
  <si>
    <t>Konsumentprisindex, basår 1980,  i oktober året före tillträdesåret</t>
  </si>
  <si>
    <t>Andel</t>
  </si>
  <si>
    <t>ÖVRIG ERSÄTTNING</t>
  </si>
  <si>
    <t>E R S Ä T T N I N G  F Ö R  Ä G D  D E L  A V  F A S T I G H E T E N  Kr</t>
  </si>
  <si>
    <t>0-1m</t>
  </si>
  <si>
    <t>Kantavstånd</t>
  </si>
  <si>
    <t>Årsränta %</t>
  </si>
  <si>
    <r>
      <t>Ersättning per m</t>
    </r>
    <r>
      <rPr>
        <i/>
        <sz val="10"/>
        <rFont val="Times New Roman"/>
        <family val="1"/>
      </rPr>
      <t>=</t>
    </r>
  </si>
  <si>
    <t>Summa</t>
  </si>
  <si>
    <t>Avstånd</t>
  </si>
  <si>
    <t>fältkant</t>
  </si>
  <si>
    <t>Summa kronor</t>
  </si>
  <si>
    <t>Konsumentprisindex, basår 1980, i månaden för tillträdet</t>
  </si>
  <si>
    <t>Ev. MOMS på ÖVRIG ERSÄTTNING ovan</t>
  </si>
  <si>
    <t>FÖRDYRAD AVVERKNING, m³sk</t>
  </si>
  <si>
    <t>Konsumentprisindex mars 2006, basår 1980</t>
  </si>
  <si>
    <t>mark-</t>
  </si>
  <si>
    <t>Ev.</t>
  </si>
  <si>
    <t>Ersättn. per m. ledn.sträcka vid pristidpunkten:</t>
  </si>
  <si>
    <r>
      <t>Vid specifikation av intrång med ledning som endast är avsedd för markägarens eget behov bör ändå specifikation göras, men ange siffran noll "</t>
    </r>
    <r>
      <rPr>
        <b/>
        <i/>
        <sz val="8"/>
        <rFont val="Times New Roman"/>
        <family val="1"/>
      </rPr>
      <t>0</t>
    </r>
    <r>
      <rPr>
        <i/>
        <sz val="8"/>
        <rFont val="Times New Roman"/>
        <family val="1"/>
      </rPr>
      <t>" under rubriken "markslag". På rader under anges lämpligen "ledningen ovan är för markägarens eget behov, ersättning lämnas inte".</t>
    </r>
  </si>
  <si>
    <t>ÅKERMARK  (1974-års åkernorm)</t>
  </si>
  <si>
    <t>SKOGSMARK  (förenklad skogsnorm)</t>
  </si>
  <si>
    <t>Kommun:</t>
  </si>
  <si>
    <t>Fastighet/-er:</t>
  </si>
  <si>
    <t>Markägare:</t>
  </si>
  <si>
    <t>Adress:</t>
  </si>
  <si>
    <t>Postadress:</t>
  </si>
  <si>
    <t>Ägd andel:</t>
  </si>
  <si>
    <t>Plus-/bankgiro nr:</t>
  </si>
  <si>
    <t>Ledning:</t>
  </si>
  <si>
    <t>Värderingsman:</t>
  </si>
  <si>
    <t>JORDKABEL  (i annan mark än skogsmark)</t>
  </si>
  <si>
    <t>1) Om ny ledning framdras parallellt med befintlig skall avståndet till fältkant alltid anges till 3-15 m oberoende av det verkliga avståndet (se; bilaga 3 till ramavtal)</t>
  </si>
  <si>
    <t>I = mkt god</t>
  </si>
  <si>
    <t>II = medelgod</t>
  </si>
  <si>
    <t>III = dålig</t>
  </si>
  <si>
    <t>SCHABLONTILLÄGG ENL. EXPROPRIATIONSLAGEN</t>
  </si>
  <si>
    <t>Göta</t>
  </si>
  <si>
    <t>(T.ex köp av skog på rot)</t>
  </si>
  <si>
    <t>ÖVRIGT INTRÅNG (bestående skada)</t>
  </si>
  <si>
    <t>Kraftringen Nät AB</t>
  </si>
  <si>
    <t xml:space="preserve"> </t>
  </si>
</sst>
</file>

<file path=xl/styles.xml><?xml version="1.0" encoding="utf-8"?>
<styleSheet xmlns="http://schemas.openxmlformats.org/spreadsheetml/2006/main">
  <numFmts count="7">
    <numFmt numFmtId="164" formatCode="#.####"/>
    <numFmt numFmtId="165" formatCode="#.###"/>
    <numFmt numFmtId="166" formatCode="0.0"/>
    <numFmt numFmtId="167" formatCode="0.000"/>
    <numFmt numFmtId="168" formatCode="0;\-0;;@"/>
    <numFmt numFmtId="169" formatCode="##,##0;\-##,##0;;@"/>
    <numFmt numFmtId="170" formatCode="#&quot; &quot;???/???"/>
  </numFmts>
  <fonts count="39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i/>
      <sz val="10"/>
      <name val="Tms Rmn"/>
      <family val="1"/>
    </font>
    <font>
      <sz val="10"/>
      <name val="Tms Rmn"/>
      <family val="1"/>
    </font>
    <font>
      <i/>
      <sz val="10"/>
      <name val="Tms Rmn"/>
    </font>
    <font>
      <sz val="8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6"/>
      <name val="Times New Roman"/>
      <family val="1"/>
    </font>
    <font>
      <b/>
      <sz val="12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i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2"/>
      <name val="Arial"/>
      <family val="2"/>
    </font>
    <font>
      <b/>
      <sz val="12"/>
      <name val="Times New Roman"/>
      <family val="1"/>
    </font>
    <font>
      <b/>
      <sz val="10"/>
      <name val="Times New Roman"/>
      <family val="1"/>
    </font>
    <font>
      <sz val="8"/>
      <name val="Times New Roman"/>
      <family val="1"/>
    </font>
    <font>
      <i/>
      <sz val="8"/>
      <name val="Times New Roman"/>
      <family val="1"/>
    </font>
    <font>
      <b/>
      <sz val="14"/>
      <name val="Times New Roman"/>
      <family val="1"/>
    </font>
    <font>
      <b/>
      <sz val="10"/>
      <name val="Arial"/>
      <family val="2"/>
    </font>
    <font>
      <sz val="12"/>
      <name val="Times New Roman"/>
      <family val="1"/>
    </font>
    <font>
      <b/>
      <sz val="14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sz val="10"/>
      <name val="Verdana"/>
      <family val="2"/>
    </font>
    <font>
      <b/>
      <sz val="11"/>
      <name val="Arial"/>
      <family val="2"/>
    </font>
    <font>
      <b/>
      <sz val="11"/>
      <name val="Arial"/>
      <family val="2"/>
    </font>
    <font>
      <b/>
      <i/>
      <sz val="8"/>
      <name val="Times New Roman"/>
      <family val="1"/>
    </font>
    <font>
      <sz val="6"/>
      <name val="Times New Roman"/>
      <family val="1"/>
    </font>
    <font>
      <b/>
      <sz val="9"/>
      <name val="Verdana"/>
      <family val="2"/>
    </font>
    <font>
      <i/>
      <sz val="7"/>
      <name val="Times New Roman"/>
      <family val="1"/>
    </font>
    <font>
      <sz val="8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8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double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0">
    <xf numFmtId="0" fontId="0" fillId="0" borderId="0" xfId="0"/>
    <xf numFmtId="0" fontId="4" fillId="0" borderId="0" xfId="0" applyFont="1"/>
    <xf numFmtId="0" fontId="6" fillId="0" borderId="0" xfId="0" applyFont="1"/>
    <xf numFmtId="0" fontId="0" fillId="0" borderId="0" xfId="0" applyBorder="1"/>
    <xf numFmtId="0" fontId="5" fillId="0" borderId="1" xfId="0" applyFont="1" applyBorder="1"/>
    <xf numFmtId="0" fontId="6" fillId="0" borderId="1" xfId="0" applyFont="1" applyBorder="1"/>
    <xf numFmtId="0" fontId="2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5" fillId="0" borderId="4" xfId="0" applyFont="1" applyBorder="1"/>
    <xf numFmtId="0" fontId="8" fillId="0" borderId="0" xfId="0" applyFont="1"/>
    <xf numFmtId="0" fontId="7" fillId="0" borderId="0" xfId="0" applyFont="1"/>
    <xf numFmtId="0" fontId="13" fillId="0" borderId="0" xfId="0" applyFont="1"/>
    <xf numFmtId="0" fontId="13" fillId="0" borderId="5" xfId="0" applyFont="1" applyBorder="1"/>
    <xf numFmtId="0" fontId="13" fillId="0" borderId="2" xfId="0" applyFont="1" applyBorder="1" applyProtection="1">
      <protection locked="0"/>
    </xf>
    <xf numFmtId="0" fontId="13" fillId="0" borderId="6" xfId="0" applyFont="1" applyBorder="1" applyProtection="1">
      <protection locked="0"/>
    </xf>
    <xf numFmtId="0" fontId="13" fillId="0" borderId="0" xfId="0" applyFont="1" applyProtection="1">
      <protection locked="0"/>
    </xf>
    <xf numFmtId="0" fontId="13" fillId="0" borderId="7" xfId="0" applyFont="1" applyBorder="1" applyProtection="1">
      <protection locked="0"/>
    </xf>
    <xf numFmtId="0" fontId="13" fillId="0" borderId="8" xfId="0" applyFont="1" applyBorder="1" applyProtection="1">
      <protection locked="0"/>
    </xf>
    <xf numFmtId="0" fontId="13" fillId="0" borderId="9" xfId="0" applyFont="1" applyBorder="1" applyProtection="1">
      <protection locked="0"/>
    </xf>
    <xf numFmtId="0" fontId="16" fillId="0" borderId="10" xfId="0" applyFont="1" applyBorder="1" applyProtection="1"/>
    <xf numFmtId="0" fontId="16" fillId="0" borderId="0" xfId="0" applyFont="1"/>
    <xf numFmtId="0" fontId="14" fillId="0" borderId="0" xfId="0" applyFont="1" applyAlignment="1">
      <alignment horizontal="right"/>
    </xf>
    <xf numFmtId="0" fontId="16" fillId="0" borderId="11" xfId="0" applyFont="1" applyBorder="1"/>
    <xf numFmtId="0" fontId="14" fillId="0" borderId="12" xfId="0" applyFont="1" applyBorder="1"/>
    <xf numFmtId="0" fontId="16" fillId="0" borderId="0" xfId="0" applyFont="1" applyBorder="1"/>
    <xf numFmtId="0" fontId="13" fillId="0" borderId="13" xfId="0" applyFont="1" applyBorder="1" applyProtection="1">
      <protection locked="0"/>
    </xf>
    <xf numFmtId="0" fontId="13" fillId="0" borderId="14" xfId="0" applyFont="1" applyBorder="1" applyProtection="1">
      <protection locked="0"/>
    </xf>
    <xf numFmtId="0" fontId="13" fillId="0" borderId="15" xfId="0" applyFont="1" applyBorder="1" applyProtection="1">
      <protection locked="0"/>
    </xf>
    <xf numFmtId="0" fontId="13" fillId="0" borderId="0" xfId="0" applyFont="1" applyBorder="1"/>
    <xf numFmtId="0" fontId="18" fillId="0" borderId="16" xfId="0" applyFont="1" applyBorder="1"/>
    <xf numFmtId="0" fontId="18" fillId="0" borderId="10" xfId="0" applyFont="1" applyBorder="1"/>
    <xf numFmtId="0" fontId="18" fillId="0" borderId="17" xfId="0" applyFont="1" applyBorder="1" applyAlignment="1">
      <alignment horizontal="right"/>
    </xf>
    <xf numFmtId="0" fontId="18" fillId="0" borderId="10" xfId="0" applyFont="1" applyBorder="1" applyAlignment="1">
      <alignment horizontal="right"/>
    </xf>
    <xf numFmtId="0" fontId="14" fillId="0" borderId="0" xfId="0" applyFont="1"/>
    <xf numFmtId="0" fontId="14" fillId="0" borderId="0" xfId="0" applyFont="1" applyBorder="1"/>
    <xf numFmtId="0" fontId="14" fillId="2" borderId="0" xfId="0" applyFont="1" applyFill="1"/>
    <xf numFmtId="0" fontId="14" fillId="2" borderId="0" xfId="0" applyFont="1" applyFill="1" applyProtection="1"/>
    <xf numFmtId="0" fontId="14" fillId="2" borderId="1" xfId="0" applyFont="1" applyFill="1" applyBorder="1"/>
    <xf numFmtId="0" fontId="14" fillId="2" borderId="18" xfId="0" applyFont="1" applyFill="1" applyBorder="1"/>
    <xf numFmtId="0" fontId="14" fillId="2" borderId="19" xfId="0" applyFont="1" applyFill="1" applyBorder="1" applyProtection="1"/>
    <xf numFmtId="0" fontId="14" fillId="2" borderId="0" xfId="0" applyFont="1" applyFill="1" applyBorder="1" applyProtection="1"/>
    <xf numFmtId="49" fontId="14" fillId="2" borderId="0" xfId="0" applyNumberFormat="1" applyFont="1" applyFill="1" applyBorder="1" applyProtection="1"/>
    <xf numFmtId="0" fontId="16" fillId="0" borderId="0" xfId="0" applyFont="1" applyProtection="1"/>
    <xf numFmtId="0" fontId="14" fillId="0" borderId="11" xfId="0" applyFont="1" applyBorder="1"/>
    <xf numFmtId="0" fontId="14" fillId="0" borderId="11" xfId="0" applyFont="1" applyBorder="1" applyAlignment="1">
      <alignment horizontal="right"/>
    </xf>
    <xf numFmtId="0" fontId="14" fillId="0" borderId="20" xfId="0" applyFont="1" applyBorder="1"/>
    <xf numFmtId="0" fontId="14" fillId="0" borderId="21" xfId="0" applyFont="1" applyBorder="1"/>
    <xf numFmtId="0" fontId="16" fillId="0" borderId="21" xfId="0" applyFont="1" applyBorder="1"/>
    <xf numFmtId="0" fontId="14" fillId="0" borderId="21" xfId="0" applyFont="1" applyBorder="1" applyAlignment="1">
      <alignment horizontal="right"/>
    </xf>
    <xf numFmtId="0" fontId="14" fillId="2" borderId="18" xfId="0" applyFont="1" applyFill="1" applyBorder="1" applyAlignment="1">
      <alignment horizontal="right"/>
    </xf>
    <xf numFmtId="0" fontId="19" fillId="2" borderId="1" xfId="0" applyFont="1" applyFill="1" applyBorder="1"/>
    <xf numFmtId="0" fontId="3" fillId="0" borderId="22" xfId="0" applyFont="1" applyBorder="1" applyProtection="1">
      <protection locked="0"/>
    </xf>
    <xf numFmtId="0" fontId="3" fillId="0" borderId="23" xfId="0" applyFont="1" applyBorder="1" applyProtection="1">
      <protection locked="0"/>
    </xf>
    <xf numFmtId="0" fontId="25" fillId="0" borderId="0" xfId="0" applyFont="1"/>
    <xf numFmtId="0" fontId="9" fillId="0" borderId="0" xfId="0" applyFont="1" applyBorder="1"/>
    <xf numFmtId="0" fontId="26" fillId="0" borderId="0" xfId="0" applyFont="1" applyBorder="1"/>
    <xf numFmtId="0" fontId="1" fillId="0" borderId="0" xfId="0" applyFont="1" applyBorder="1"/>
    <xf numFmtId="17" fontId="1" fillId="0" borderId="0" xfId="0" applyNumberFormat="1" applyFont="1" applyBorder="1"/>
    <xf numFmtId="0" fontId="1" fillId="0" borderId="0" xfId="0" applyFont="1" applyBorder="1" applyAlignment="1">
      <alignment horizontal="right"/>
    </xf>
    <xf numFmtId="0" fontId="1" fillId="0" borderId="24" xfId="0" applyFont="1" applyBorder="1"/>
    <xf numFmtId="0" fontId="0" fillId="0" borderId="24" xfId="0" applyBorder="1"/>
    <xf numFmtId="17" fontId="1" fillId="0" borderId="24" xfId="0" applyNumberFormat="1" applyFont="1" applyBorder="1"/>
    <xf numFmtId="0" fontId="13" fillId="0" borderId="25" xfId="0" applyFont="1" applyBorder="1"/>
    <xf numFmtId="0" fontId="13" fillId="0" borderId="26" xfId="0" applyFont="1" applyBorder="1"/>
    <xf numFmtId="0" fontId="0" fillId="0" borderId="27" xfId="0" applyBorder="1"/>
    <xf numFmtId="0" fontId="13" fillId="0" borderId="28" xfId="0" applyFont="1" applyBorder="1"/>
    <xf numFmtId="0" fontId="13" fillId="0" borderId="29" xfId="0" applyFont="1" applyBorder="1"/>
    <xf numFmtId="0" fontId="13" fillId="0" borderId="30" xfId="0" applyFont="1" applyBorder="1"/>
    <xf numFmtId="0" fontId="13" fillId="0" borderId="31" xfId="0" applyFont="1" applyBorder="1"/>
    <xf numFmtId="0" fontId="13" fillId="0" borderId="32" xfId="0" applyFont="1" applyBorder="1"/>
    <xf numFmtId="0" fontId="12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12" fillId="0" borderId="0" xfId="0" applyFont="1"/>
    <xf numFmtId="0" fontId="2" fillId="0" borderId="0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1" fillId="0" borderId="0" xfId="0" applyFont="1"/>
    <xf numFmtId="0" fontId="0" fillId="0" borderId="21" xfId="0" applyBorder="1"/>
    <xf numFmtId="0" fontId="1" fillId="0" borderId="27" xfId="0" applyFont="1" applyBorder="1"/>
    <xf numFmtId="0" fontId="1" fillId="0" borderId="2" xfId="0" applyFont="1" applyBorder="1"/>
    <xf numFmtId="0" fontId="0" fillId="0" borderId="33" xfId="0" applyBorder="1"/>
    <xf numFmtId="0" fontId="1" fillId="0" borderId="34" xfId="0" applyFont="1" applyBorder="1"/>
    <xf numFmtId="0" fontId="0" fillId="0" borderId="1" xfId="0" applyBorder="1"/>
    <xf numFmtId="0" fontId="0" fillId="0" borderId="3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7" fillId="0" borderId="38" xfId="0" applyFont="1" applyBorder="1"/>
    <xf numFmtId="0" fontId="7" fillId="0" borderId="33" xfId="0" applyFont="1" applyBorder="1"/>
    <xf numFmtId="0" fontId="0" fillId="0" borderId="39" xfId="0" applyBorder="1"/>
    <xf numFmtId="0" fontId="0" fillId="0" borderId="29" xfId="0" applyBorder="1"/>
    <xf numFmtId="0" fontId="7" fillId="0" borderId="40" xfId="0" applyFont="1" applyBorder="1"/>
    <xf numFmtId="0" fontId="7" fillId="0" borderId="35" xfId="0" applyFont="1" applyBorder="1"/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6" xfId="0" applyBorder="1"/>
    <xf numFmtId="0" fontId="0" fillId="0" borderId="0" xfId="0" applyAlignment="1">
      <alignment horizontal="right"/>
    </xf>
    <xf numFmtId="0" fontId="3" fillId="0" borderId="19" xfId="0" applyFont="1" applyBorder="1" applyProtection="1">
      <protection locked="0"/>
    </xf>
    <xf numFmtId="0" fontId="3" fillId="0" borderId="19" xfId="0" applyFont="1" applyBorder="1" applyAlignment="1" applyProtection="1">
      <alignment horizontal="center"/>
      <protection locked="0"/>
    </xf>
    <xf numFmtId="3" fontId="13" fillId="0" borderId="41" xfId="0" applyNumberFormat="1" applyFont="1" applyBorder="1" applyProtection="1">
      <protection hidden="1"/>
    </xf>
    <xf numFmtId="0" fontId="3" fillId="0" borderId="42" xfId="0" applyFont="1" applyBorder="1" applyAlignment="1" applyProtection="1">
      <alignment horizontal="center"/>
      <protection locked="0"/>
    </xf>
    <xf numFmtId="3" fontId="13" fillId="0" borderId="43" xfId="0" applyNumberFormat="1" applyFont="1" applyBorder="1" applyProtection="1">
      <protection hidden="1"/>
    </xf>
    <xf numFmtId="3" fontId="13" fillId="0" borderId="44" xfId="0" applyNumberFormat="1" applyFont="1" applyBorder="1" applyProtection="1">
      <protection hidden="1"/>
    </xf>
    <xf numFmtId="3" fontId="3" fillId="2" borderId="0" xfId="0" applyNumberFormat="1" applyFont="1" applyFill="1" applyProtection="1">
      <protection hidden="1"/>
    </xf>
    <xf numFmtId="3" fontId="3" fillId="2" borderId="0" xfId="0" applyNumberFormat="1" applyFont="1" applyFill="1" applyProtection="1"/>
    <xf numFmtId="3" fontId="3" fillId="2" borderId="18" xfId="0" applyNumberFormat="1" applyFont="1" applyFill="1" applyBorder="1" applyProtection="1">
      <protection locked="0"/>
    </xf>
    <xf numFmtId="3" fontId="3" fillId="2" borderId="1" xfId="0" applyNumberFormat="1" applyFont="1" applyFill="1" applyBorder="1" applyProtection="1">
      <protection hidden="1"/>
    </xf>
    <xf numFmtId="3" fontId="3" fillId="2" borderId="0" xfId="0" applyNumberFormat="1" applyFont="1" applyFill="1" applyBorder="1" applyProtection="1">
      <protection hidden="1"/>
    </xf>
    <xf numFmtId="3" fontId="3" fillId="2" borderId="21" xfId="0" applyNumberFormat="1" applyFont="1" applyFill="1" applyBorder="1" applyProtection="1">
      <protection hidden="1"/>
    </xf>
    <xf numFmtId="3" fontId="13" fillId="0" borderId="45" xfId="0" applyNumberFormat="1" applyFont="1" applyBorder="1"/>
    <xf numFmtId="3" fontId="13" fillId="0" borderId="19" xfId="0" applyNumberFormat="1" applyFont="1" applyBorder="1"/>
    <xf numFmtId="3" fontId="13" fillId="0" borderId="37" xfId="0" applyNumberFormat="1" applyFont="1" applyBorder="1"/>
    <xf numFmtId="3" fontId="13" fillId="0" borderId="0" xfId="0" applyNumberFormat="1" applyFont="1" applyBorder="1"/>
    <xf numFmtId="3" fontId="0" fillId="0" borderId="45" xfId="0" applyNumberFormat="1" applyBorder="1"/>
    <xf numFmtId="3" fontId="0" fillId="0" borderId="37" xfId="0" applyNumberFormat="1" applyBorder="1"/>
    <xf numFmtId="0" fontId="13" fillId="0" borderId="0" xfId="0" applyFont="1" applyBorder="1" applyProtection="1">
      <protection locked="0"/>
    </xf>
    <xf numFmtId="0" fontId="16" fillId="0" borderId="46" xfId="0" applyFont="1" applyBorder="1"/>
    <xf numFmtId="0" fontId="2" fillId="0" borderId="1" xfId="0" applyFont="1" applyBorder="1"/>
    <xf numFmtId="0" fontId="0" fillId="0" borderId="4" xfId="0" applyBorder="1"/>
    <xf numFmtId="0" fontId="0" fillId="0" borderId="2" xfId="0" applyBorder="1"/>
    <xf numFmtId="3" fontId="3" fillId="2" borderId="10" xfId="0" applyNumberFormat="1" applyFont="1" applyFill="1" applyBorder="1" applyProtection="1">
      <protection hidden="1"/>
    </xf>
    <xf numFmtId="0" fontId="20" fillId="0" borderId="0" xfId="0" applyFont="1" applyAlignment="1" applyProtection="1">
      <alignment horizontal="right"/>
    </xf>
    <xf numFmtId="0" fontId="19" fillId="2" borderId="10" xfId="0" applyFont="1" applyFill="1" applyBorder="1" applyProtection="1"/>
    <xf numFmtId="0" fontId="16" fillId="2" borderId="10" xfId="0" applyFont="1" applyFill="1" applyBorder="1" applyProtection="1"/>
    <xf numFmtId="0" fontId="14" fillId="0" borderId="10" xfId="0" applyFont="1" applyBorder="1" applyProtection="1"/>
    <xf numFmtId="0" fontId="14" fillId="2" borderId="10" xfId="0" applyFont="1" applyFill="1" applyBorder="1" applyProtection="1"/>
    <xf numFmtId="0" fontId="13" fillId="2" borderId="0" xfId="0" applyFont="1" applyFill="1" applyBorder="1" applyProtection="1">
      <protection locked="0"/>
    </xf>
    <xf numFmtId="0" fontId="14" fillId="0" borderId="0" xfId="0" applyFont="1" applyBorder="1" applyProtection="1"/>
    <xf numFmtId="0" fontId="0" fillId="0" borderId="0" xfId="0" applyProtection="1"/>
    <xf numFmtId="0" fontId="14" fillId="2" borderId="0" xfId="0" applyFont="1" applyFill="1" applyAlignment="1" applyProtection="1">
      <alignment horizontal="right"/>
    </xf>
    <xf numFmtId="0" fontId="14" fillId="0" borderId="0" xfId="0" applyFont="1" applyAlignment="1" applyProtection="1">
      <alignment horizontal="right"/>
    </xf>
    <xf numFmtId="0" fontId="14" fillId="2" borderId="21" xfId="0" applyFont="1" applyFill="1" applyBorder="1" applyAlignment="1" applyProtection="1">
      <alignment horizontal="right"/>
    </xf>
    <xf numFmtId="0" fontId="14" fillId="2" borderId="18" xfId="0" applyFont="1" applyFill="1" applyBorder="1" applyProtection="1"/>
    <xf numFmtId="3" fontId="3" fillId="2" borderId="18" xfId="0" applyNumberFormat="1" applyFont="1" applyFill="1" applyBorder="1" applyProtection="1"/>
    <xf numFmtId="0" fontId="14" fillId="2" borderId="1" xfId="0" applyFont="1" applyFill="1" applyBorder="1" applyProtection="1"/>
    <xf numFmtId="0" fontId="14" fillId="2" borderId="1" xfId="0" applyFont="1" applyFill="1" applyBorder="1" applyAlignment="1" applyProtection="1">
      <alignment horizontal="right"/>
    </xf>
    <xf numFmtId="0" fontId="14" fillId="2" borderId="0" xfId="0" applyFont="1" applyFill="1" applyProtection="1">
      <protection hidden="1"/>
    </xf>
    <xf numFmtId="0" fontId="14" fillId="2" borderId="0" xfId="0" applyFont="1" applyFill="1" applyBorder="1" applyAlignment="1" applyProtection="1">
      <alignment horizontal="right"/>
    </xf>
    <xf numFmtId="0" fontId="14" fillId="2" borderId="21" xfId="0" applyFont="1" applyFill="1" applyBorder="1" applyProtection="1"/>
    <xf numFmtId="0" fontId="3" fillId="2" borderId="0" xfId="0" applyFont="1" applyFill="1" applyProtection="1"/>
    <xf numFmtId="3" fontId="3" fillId="2" borderId="0" xfId="0" applyNumberFormat="1" applyFont="1" applyFill="1" applyProtection="1">
      <protection locked="0"/>
    </xf>
    <xf numFmtId="0" fontId="11" fillId="0" borderId="47" xfId="0" applyFont="1" applyBorder="1" applyAlignment="1" applyProtection="1">
      <alignment horizontal="center"/>
    </xf>
    <xf numFmtId="0" fontId="17" fillId="2" borderId="16" xfId="0" applyFont="1" applyFill="1" applyBorder="1" applyProtection="1"/>
    <xf numFmtId="0" fontId="14" fillId="0" borderId="10" xfId="0" applyFont="1" applyBorder="1" applyAlignment="1" applyProtection="1">
      <alignment horizontal="right"/>
    </xf>
    <xf numFmtId="0" fontId="14" fillId="0" borderId="2" xfId="0" applyFont="1" applyBorder="1" applyProtection="1"/>
    <xf numFmtId="0" fontId="14" fillId="0" borderId="0" xfId="0" applyFont="1" applyProtection="1"/>
    <xf numFmtId="0" fontId="13" fillId="0" borderId="48" xfId="0" applyFont="1" applyBorder="1" applyProtection="1"/>
    <xf numFmtId="0" fontId="14" fillId="0" borderId="3" xfId="0" applyFont="1" applyBorder="1" applyProtection="1"/>
    <xf numFmtId="0" fontId="14" fillId="0" borderId="1" xfId="0" applyFont="1" applyBorder="1" applyProtection="1"/>
    <xf numFmtId="0" fontId="14" fillId="0" borderId="3" xfId="0" applyFont="1" applyBorder="1" applyAlignment="1" applyProtection="1">
      <alignment horizontal="right"/>
    </xf>
    <xf numFmtId="0" fontId="14" fillId="0" borderId="2" xfId="0" applyFont="1" applyBorder="1" applyAlignment="1" applyProtection="1"/>
    <xf numFmtId="0" fontId="14" fillId="0" borderId="49" xfId="0" applyFont="1" applyBorder="1" applyProtection="1"/>
    <xf numFmtId="0" fontId="14" fillId="0" borderId="0" xfId="0" applyFont="1" applyBorder="1" applyAlignment="1" applyProtection="1">
      <alignment horizontal="center"/>
    </xf>
    <xf numFmtId="0" fontId="14" fillId="0" borderId="14" xfId="0" applyFont="1" applyBorder="1" applyAlignment="1" applyProtection="1">
      <alignment horizontal="center"/>
    </xf>
    <xf numFmtId="0" fontId="14" fillId="0" borderId="0" xfId="0" applyFont="1" applyAlignment="1" applyProtection="1">
      <alignment horizontal="center"/>
    </xf>
    <xf numFmtId="0" fontId="14" fillId="0" borderId="49" xfId="0" applyFont="1" applyBorder="1" applyAlignment="1" applyProtection="1">
      <alignment horizontal="center"/>
    </xf>
    <xf numFmtId="0" fontId="14" fillId="0" borderId="38" xfId="0" applyFont="1" applyBorder="1" applyAlignment="1" applyProtection="1">
      <alignment horizontal="center"/>
    </xf>
    <xf numFmtId="0" fontId="14" fillId="0" borderId="50" xfId="0" applyFont="1" applyBorder="1" applyAlignment="1" applyProtection="1">
      <alignment horizontal="center"/>
    </xf>
    <xf numFmtId="0" fontId="14" fillId="0" borderId="6" xfId="0" applyFont="1" applyBorder="1" applyAlignment="1" applyProtection="1">
      <alignment horizontal="center"/>
    </xf>
    <xf numFmtId="0" fontId="14" fillId="0" borderId="23" xfId="0" applyFont="1" applyBorder="1" applyAlignment="1" applyProtection="1">
      <alignment horizontal="center"/>
    </xf>
    <xf numFmtId="0" fontId="14" fillId="0" borderId="51" xfId="0" applyFont="1" applyBorder="1" applyProtection="1"/>
    <xf numFmtId="0" fontId="14" fillId="0" borderId="52" xfId="0" applyFont="1" applyBorder="1" applyProtection="1"/>
    <xf numFmtId="0" fontId="14" fillId="0" borderId="53" xfId="0" applyFont="1" applyBorder="1" applyProtection="1"/>
    <xf numFmtId="0" fontId="14" fillId="0" borderId="1" xfId="0" applyFont="1" applyBorder="1" applyAlignment="1" applyProtection="1">
      <alignment horizontal="center"/>
    </xf>
    <xf numFmtId="0" fontId="14" fillId="0" borderId="54" xfId="0" applyFont="1" applyBorder="1" applyAlignment="1" applyProtection="1">
      <alignment horizontal="center"/>
    </xf>
    <xf numFmtId="0" fontId="16" fillId="0" borderId="54" xfId="0" applyFont="1" applyBorder="1" applyAlignment="1" applyProtection="1">
      <alignment horizontal="center"/>
    </xf>
    <xf numFmtId="0" fontId="14" fillId="0" borderId="55" xfId="0" applyFont="1" applyBorder="1" applyAlignment="1" applyProtection="1">
      <alignment horizontal="center"/>
    </xf>
    <xf numFmtId="0" fontId="14" fillId="0" borderId="51" xfId="0" applyFont="1" applyBorder="1" applyAlignment="1" applyProtection="1">
      <alignment horizontal="center"/>
    </xf>
    <xf numFmtId="0" fontId="14" fillId="0" borderId="56" xfId="0" applyFont="1" applyBorder="1" applyAlignment="1" applyProtection="1">
      <alignment horizontal="center"/>
    </xf>
    <xf numFmtId="0" fontId="13" fillId="0" borderId="48" xfId="0" applyFont="1" applyBorder="1" applyProtection="1">
      <protection hidden="1"/>
    </xf>
    <xf numFmtId="9" fontId="3" fillId="0" borderId="23" xfId="0" applyNumberFormat="1" applyFont="1" applyBorder="1" applyProtection="1">
      <protection hidden="1"/>
    </xf>
    <xf numFmtId="3" fontId="13" fillId="0" borderId="57" xfId="0" applyNumberFormat="1" applyFont="1" applyBorder="1" applyProtection="1">
      <protection hidden="1"/>
    </xf>
    <xf numFmtId="3" fontId="13" fillId="0" borderId="5" xfId="0" applyNumberFormat="1" applyFont="1" applyBorder="1" applyProtection="1">
      <protection hidden="1"/>
    </xf>
    <xf numFmtId="165" fontId="13" fillId="0" borderId="0" xfId="0" applyNumberFormat="1" applyFont="1" applyProtection="1">
      <protection hidden="1"/>
    </xf>
    <xf numFmtId="0" fontId="3" fillId="0" borderId="19" xfId="0" applyFont="1" applyBorder="1" applyProtection="1"/>
    <xf numFmtId="0" fontId="3" fillId="0" borderId="45" xfId="0" applyFont="1" applyBorder="1" applyProtection="1"/>
    <xf numFmtId="0" fontId="8" fillId="0" borderId="0" xfId="0" applyFont="1" applyProtection="1"/>
    <xf numFmtId="0" fontId="7" fillId="0" borderId="0" xfId="0" applyFont="1" applyProtection="1"/>
    <xf numFmtId="0" fontId="7" fillId="0" borderId="0" xfId="0" applyFont="1" applyBorder="1" applyProtection="1"/>
    <xf numFmtId="0" fontId="15" fillId="2" borderId="16" xfId="0" applyFont="1" applyFill="1" applyBorder="1" applyProtection="1"/>
    <xf numFmtId="0" fontId="18" fillId="0" borderId="10" xfId="0" applyFont="1" applyBorder="1" applyAlignment="1" applyProtection="1">
      <alignment horizontal="right"/>
    </xf>
    <xf numFmtId="0" fontId="16" fillId="0" borderId="16" xfId="0" applyFont="1" applyBorder="1" applyProtection="1"/>
    <xf numFmtId="0" fontId="17" fillId="0" borderId="3" xfId="0" applyFont="1" applyBorder="1" applyProtection="1"/>
    <xf numFmtId="0" fontId="16" fillId="0" borderId="1" xfId="0" applyFont="1" applyBorder="1" applyProtection="1"/>
    <xf numFmtId="0" fontId="16" fillId="0" borderId="5" xfId="0" applyFont="1" applyBorder="1" applyProtection="1"/>
    <xf numFmtId="0" fontId="14" fillId="0" borderId="12" xfId="0" applyFont="1" applyBorder="1" applyAlignment="1" applyProtection="1">
      <alignment horizontal="center"/>
    </xf>
    <xf numFmtId="0" fontId="16" fillId="0" borderId="12" xfId="0" applyFont="1" applyBorder="1" applyProtection="1"/>
    <xf numFmtId="0" fontId="14" fillId="0" borderId="11" xfId="0" applyFont="1" applyBorder="1" applyAlignment="1" applyProtection="1">
      <alignment horizontal="center"/>
    </xf>
    <xf numFmtId="0" fontId="16" fillId="0" borderId="11" xfId="0" applyFont="1" applyBorder="1" applyProtection="1"/>
    <xf numFmtId="0" fontId="14" fillId="0" borderId="41" xfId="0" applyFont="1" applyBorder="1" applyAlignment="1" applyProtection="1">
      <alignment horizontal="center"/>
    </xf>
    <xf numFmtId="0" fontId="14" fillId="0" borderId="12" xfId="0" applyFont="1" applyBorder="1" applyProtection="1"/>
    <xf numFmtId="0" fontId="16" fillId="0" borderId="58" xfId="0" applyFont="1" applyBorder="1" applyProtection="1"/>
    <xf numFmtId="0" fontId="14" fillId="0" borderId="2" xfId="0" applyFont="1" applyBorder="1" applyAlignment="1" applyProtection="1">
      <alignment horizontal="center"/>
    </xf>
    <xf numFmtId="0" fontId="16" fillId="0" borderId="2" xfId="0" applyFont="1" applyBorder="1" applyProtection="1"/>
    <xf numFmtId="0" fontId="16" fillId="0" borderId="0" xfId="0" applyFont="1" applyBorder="1" applyProtection="1"/>
    <xf numFmtId="0" fontId="18" fillId="0" borderId="5" xfId="0" applyFont="1" applyBorder="1" applyAlignment="1" applyProtection="1">
      <alignment horizontal="left"/>
    </xf>
    <xf numFmtId="0" fontId="18" fillId="0" borderId="2" xfId="0" applyFont="1" applyBorder="1" applyProtection="1"/>
    <xf numFmtId="0" fontId="18" fillId="0" borderId="0" xfId="0" applyFont="1" applyBorder="1" applyProtection="1"/>
    <xf numFmtId="0" fontId="14" fillId="0" borderId="5" xfId="0" applyFont="1" applyBorder="1" applyAlignment="1" applyProtection="1">
      <alignment horizontal="left"/>
    </xf>
    <xf numFmtId="0" fontId="0" fillId="0" borderId="5" xfId="0" applyBorder="1" applyProtection="1"/>
    <xf numFmtId="0" fontId="14" fillId="0" borderId="50" xfId="0" applyFont="1" applyBorder="1" applyProtection="1"/>
    <xf numFmtId="0" fontId="14" fillId="0" borderId="3" xfId="0" applyFont="1" applyBorder="1" applyAlignment="1" applyProtection="1">
      <alignment horizontal="center"/>
    </xf>
    <xf numFmtId="0" fontId="14" fillId="0" borderId="48" xfId="0" applyFont="1" applyBorder="1" applyAlignment="1" applyProtection="1">
      <alignment horizontal="center"/>
    </xf>
    <xf numFmtId="0" fontId="14" fillId="0" borderId="59" xfId="0" applyFont="1" applyBorder="1" applyProtection="1"/>
    <xf numFmtId="0" fontId="13" fillId="0" borderId="41" xfId="0" applyFont="1" applyBorder="1" applyProtection="1">
      <protection hidden="1"/>
    </xf>
    <xf numFmtId="0" fontId="13" fillId="0" borderId="41" xfId="0" applyFont="1" applyBorder="1" applyAlignment="1" applyProtection="1">
      <alignment horizontal="right"/>
      <protection hidden="1"/>
    </xf>
    <xf numFmtId="0" fontId="13" fillId="0" borderId="60" xfId="0" applyFont="1" applyBorder="1" applyProtection="1">
      <protection hidden="1"/>
    </xf>
    <xf numFmtId="0" fontId="13" fillId="0" borderId="2" xfId="0" applyFont="1" applyBorder="1" applyProtection="1"/>
    <xf numFmtId="0" fontId="12" fillId="0" borderId="0" xfId="0" applyFont="1" applyBorder="1" applyProtection="1"/>
    <xf numFmtId="0" fontId="13" fillId="0" borderId="0" xfId="0" applyFont="1" applyBorder="1" applyProtection="1"/>
    <xf numFmtId="164" fontId="13" fillId="0" borderId="0" xfId="0" applyNumberFormat="1" applyFont="1" applyBorder="1" applyProtection="1"/>
    <xf numFmtId="0" fontId="0" fillId="0" borderId="0" xfId="0" applyBorder="1" applyProtection="1"/>
    <xf numFmtId="0" fontId="12" fillId="0" borderId="0" xfId="0" applyFont="1" applyBorder="1" applyAlignment="1" applyProtection="1">
      <alignment horizontal="right"/>
    </xf>
    <xf numFmtId="1" fontId="13" fillId="0" borderId="5" xfId="0" applyNumberFormat="1" applyFont="1" applyBorder="1" applyProtection="1"/>
    <xf numFmtId="0" fontId="18" fillId="0" borderId="61" xfId="0" applyFont="1" applyBorder="1" applyProtection="1"/>
    <xf numFmtId="0" fontId="14" fillId="0" borderId="61" xfId="0" applyFont="1" applyBorder="1" applyAlignment="1" applyProtection="1">
      <alignment horizontal="center"/>
    </xf>
    <xf numFmtId="0" fontId="16" fillId="0" borderId="61" xfId="0" applyFont="1" applyBorder="1" applyProtection="1"/>
    <xf numFmtId="0" fontId="13" fillId="0" borderId="16" xfId="0" applyFont="1" applyBorder="1" applyProtection="1"/>
    <xf numFmtId="0" fontId="18" fillId="0" borderId="17" xfId="0" applyFont="1" applyBorder="1" applyAlignment="1" applyProtection="1">
      <alignment horizontal="right"/>
    </xf>
    <xf numFmtId="0" fontId="13" fillId="0" borderId="9" xfId="0" applyFont="1" applyBorder="1" applyProtection="1">
      <protection hidden="1"/>
    </xf>
    <xf numFmtId="0" fontId="13" fillId="0" borderId="15" xfId="0" applyFont="1" applyBorder="1" applyProtection="1">
      <protection hidden="1"/>
    </xf>
    <xf numFmtId="0" fontId="18" fillId="0" borderId="0" xfId="0" applyFont="1" applyAlignment="1" applyProtection="1">
      <alignment horizontal="right"/>
    </xf>
    <xf numFmtId="0" fontId="0" fillId="0" borderId="41" xfId="0" applyBorder="1" applyProtection="1">
      <protection locked="0"/>
    </xf>
    <xf numFmtId="3" fontId="3" fillId="2" borderId="0" xfId="0" applyNumberFormat="1" applyFont="1" applyFill="1" applyBorder="1" applyProtection="1">
      <protection locked="0"/>
    </xf>
    <xf numFmtId="0" fontId="28" fillId="0" borderId="0" xfId="0" applyFont="1"/>
    <xf numFmtId="166" fontId="1" fillId="0" borderId="0" xfId="0" applyNumberFormat="1" applyFont="1"/>
    <xf numFmtId="0" fontId="0" fillId="0" borderId="62" xfId="0" applyBorder="1"/>
    <xf numFmtId="0" fontId="0" fillId="0" borderId="63" xfId="0" applyBorder="1"/>
    <xf numFmtId="0" fontId="0" fillId="0" borderId="61" xfId="0" applyBorder="1"/>
    <xf numFmtId="0" fontId="0" fillId="0" borderId="54" xfId="0" applyBorder="1"/>
    <xf numFmtId="166" fontId="0" fillId="0" borderId="1" xfId="0" applyNumberFormat="1" applyBorder="1"/>
    <xf numFmtId="166" fontId="0" fillId="0" borderId="6" xfId="0" applyNumberFormat="1" applyBorder="1"/>
    <xf numFmtId="3" fontId="0" fillId="0" borderId="0" xfId="0" applyNumberFormat="1"/>
    <xf numFmtId="3" fontId="0" fillId="0" borderId="0" xfId="0" applyNumberFormat="1" applyBorder="1"/>
    <xf numFmtId="0" fontId="0" fillId="0" borderId="6" xfId="0" applyBorder="1"/>
    <xf numFmtId="0" fontId="0" fillId="1" borderId="2" xfId="0" applyFill="1" applyBorder="1"/>
    <xf numFmtId="0" fontId="0" fillId="1" borderId="6" xfId="0" applyFill="1" applyBorder="1"/>
    <xf numFmtId="0" fontId="0" fillId="1" borderId="0" xfId="0" applyFill="1"/>
    <xf numFmtId="0" fontId="0" fillId="1" borderId="0" xfId="0" applyFill="1" applyBorder="1"/>
    <xf numFmtId="0" fontId="0" fillId="0" borderId="0" xfId="0" applyProtection="1">
      <protection hidden="1"/>
    </xf>
    <xf numFmtId="0" fontId="0" fillId="0" borderId="3" xfId="0" applyBorder="1" applyProtection="1">
      <protection hidden="1"/>
    </xf>
    <xf numFmtId="0" fontId="0" fillId="0" borderId="4" xfId="0" applyBorder="1" applyProtection="1">
      <protection hidden="1"/>
    </xf>
    <xf numFmtId="0" fontId="0" fillId="0" borderId="62" xfId="0" applyBorder="1" applyProtection="1">
      <protection hidden="1"/>
    </xf>
    <xf numFmtId="0" fontId="0" fillId="0" borderId="64" xfId="0" applyBorder="1" applyProtection="1">
      <protection hidden="1"/>
    </xf>
    <xf numFmtId="0" fontId="0" fillId="0" borderId="2" xfId="0" applyBorder="1" applyProtection="1">
      <protection hidden="1"/>
    </xf>
    <xf numFmtId="0" fontId="13" fillId="0" borderId="5" xfId="0" applyFont="1" applyBorder="1" applyProtection="1">
      <protection hidden="1"/>
    </xf>
    <xf numFmtId="0" fontId="13" fillId="0" borderId="4" xfId="0" applyFont="1" applyBorder="1" applyProtection="1">
      <protection hidden="1"/>
    </xf>
    <xf numFmtId="0" fontId="14" fillId="0" borderId="65" xfId="0" applyFont="1" applyBorder="1" applyAlignment="1" applyProtection="1">
      <alignment horizontal="center"/>
    </xf>
    <xf numFmtId="0" fontId="14" fillId="0" borderId="66" xfId="0" applyFont="1" applyBorder="1" applyAlignment="1" applyProtection="1">
      <alignment horizontal="center"/>
    </xf>
    <xf numFmtId="0" fontId="14" fillId="0" borderId="67" xfId="0" applyFont="1" applyBorder="1" applyProtection="1"/>
    <xf numFmtId="167" fontId="13" fillId="0" borderId="19" xfId="0" applyNumberFormat="1" applyFont="1" applyBorder="1" applyProtection="1">
      <protection hidden="1"/>
    </xf>
    <xf numFmtId="0" fontId="16" fillId="0" borderId="7" xfId="0" applyFont="1" applyBorder="1" applyAlignment="1" applyProtection="1">
      <alignment horizontal="center"/>
      <protection locked="0"/>
    </xf>
    <xf numFmtId="3" fontId="13" fillId="0" borderId="69" xfId="0" applyNumberFormat="1" applyFont="1" applyBorder="1" applyProtection="1">
      <protection hidden="1"/>
    </xf>
    <xf numFmtId="0" fontId="13" fillId="0" borderId="22" xfId="0" applyFont="1" applyBorder="1" applyAlignment="1" applyProtection="1">
      <alignment horizontal="left"/>
      <protection locked="0"/>
    </xf>
    <xf numFmtId="0" fontId="16" fillId="0" borderId="2" xfId="0" applyFont="1" applyBorder="1" applyAlignment="1" applyProtection="1">
      <alignment horizontal="center"/>
      <protection locked="0"/>
    </xf>
    <xf numFmtId="0" fontId="13" fillId="0" borderId="70" xfId="0" applyFont="1" applyBorder="1" applyAlignment="1" applyProtection="1">
      <alignment horizontal="left"/>
      <protection locked="0"/>
    </xf>
    <xf numFmtId="0" fontId="13" fillId="0" borderId="51" xfId="0" applyFont="1" applyBorder="1" applyAlignment="1" applyProtection="1">
      <alignment horizontal="left"/>
      <protection locked="0"/>
    </xf>
    <xf numFmtId="167" fontId="3" fillId="0" borderId="10" xfId="0" applyNumberFormat="1" applyFont="1" applyBorder="1" applyProtection="1">
      <protection hidden="1"/>
    </xf>
    <xf numFmtId="0" fontId="16" fillId="0" borderId="71" xfId="0" applyFont="1" applyBorder="1" applyAlignment="1" applyProtection="1">
      <alignment horizontal="center"/>
      <protection locked="0"/>
    </xf>
    <xf numFmtId="3" fontId="13" fillId="0" borderId="72" xfId="0" applyNumberFormat="1" applyFont="1" applyBorder="1" applyProtection="1">
      <protection hidden="1"/>
    </xf>
    <xf numFmtId="0" fontId="16" fillId="0" borderId="72" xfId="0" applyFont="1" applyBorder="1" applyAlignment="1" applyProtection="1">
      <alignment horizontal="center"/>
      <protection locked="0"/>
    </xf>
    <xf numFmtId="167" fontId="13" fillId="0" borderId="44" xfId="0" applyNumberFormat="1" applyFont="1" applyBorder="1" applyProtection="1">
      <protection hidden="1"/>
    </xf>
    <xf numFmtId="0" fontId="0" fillId="0" borderId="7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74" xfId="0" applyBorder="1" applyAlignment="1">
      <alignment horizontal="center"/>
    </xf>
    <xf numFmtId="0" fontId="0" fillId="0" borderId="75" xfId="0" applyBorder="1" applyAlignment="1">
      <alignment horizontal="center"/>
    </xf>
    <xf numFmtId="0" fontId="9" fillId="0" borderId="0" xfId="0" applyFont="1" applyAlignment="1" applyProtection="1">
      <alignment horizontal="right"/>
    </xf>
    <xf numFmtId="0" fontId="0" fillId="3" borderId="0" xfId="0" applyFill="1" applyProtection="1">
      <protection locked="0" hidden="1"/>
    </xf>
    <xf numFmtId="0" fontId="0" fillId="0" borderId="0" xfId="0" applyProtection="1">
      <protection locked="0" hidden="1"/>
    </xf>
    <xf numFmtId="0" fontId="9" fillId="0" borderId="47" xfId="0" applyFont="1" applyBorder="1" applyAlignment="1" applyProtection="1">
      <alignment horizontal="center"/>
    </xf>
    <xf numFmtId="0" fontId="9" fillId="0" borderId="50" xfId="0" applyFont="1" applyBorder="1" applyAlignment="1" applyProtection="1">
      <alignment horizontal="center"/>
    </xf>
    <xf numFmtId="0" fontId="13" fillId="2" borderId="18" xfId="0" applyFont="1" applyFill="1" applyBorder="1" applyProtection="1">
      <protection locked="0"/>
    </xf>
    <xf numFmtId="0" fontId="0" fillId="0" borderId="16" xfId="0" applyBorder="1"/>
    <xf numFmtId="0" fontId="24" fillId="0" borderId="0" xfId="0" applyFont="1" applyAlignment="1">
      <alignment horizontal="right"/>
    </xf>
    <xf numFmtId="0" fontId="30" fillId="0" borderId="0" xfId="0" applyFont="1" applyBorder="1" applyAlignment="1"/>
    <xf numFmtId="0" fontId="30" fillId="0" borderId="1" xfId="0" applyFont="1" applyBorder="1" applyAlignment="1"/>
    <xf numFmtId="0" fontId="0" fillId="0" borderId="10" xfId="0" applyBorder="1"/>
    <xf numFmtId="165" fontId="13" fillId="0" borderId="5" xfId="0" applyNumberFormat="1" applyFont="1" applyBorder="1" applyProtection="1">
      <protection hidden="1"/>
    </xf>
    <xf numFmtId="4" fontId="13" fillId="0" borderId="57" xfId="0" applyNumberFormat="1" applyFont="1" applyBorder="1" applyProtection="1">
      <protection hidden="1"/>
    </xf>
    <xf numFmtId="166" fontId="13" fillId="0" borderId="63" xfId="0" applyNumberFormat="1" applyFont="1" applyBorder="1" applyProtection="1">
      <protection locked="0"/>
    </xf>
    <xf numFmtId="166" fontId="13" fillId="0" borderId="8" xfId="0" applyNumberFormat="1" applyFont="1" applyBorder="1" applyProtection="1">
      <protection locked="0"/>
    </xf>
    <xf numFmtId="166" fontId="13" fillId="0" borderId="14" xfId="0" applyNumberFormat="1" applyFont="1" applyBorder="1" applyProtection="1">
      <protection locked="0"/>
    </xf>
    <xf numFmtId="2" fontId="13" fillId="0" borderId="41" xfId="0" applyNumberFormat="1" applyFont="1" applyBorder="1" applyProtection="1">
      <protection hidden="1"/>
    </xf>
    <xf numFmtId="0" fontId="0" fillId="0" borderId="1" xfId="0" applyBorder="1" applyProtection="1">
      <protection hidden="1"/>
    </xf>
    <xf numFmtId="0" fontId="13" fillId="0" borderId="0" xfId="0" applyFont="1" applyBorder="1" applyProtection="1">
      <protection hidden="1"/>
    </xf>
    <xf numFmtId="49" fontId="0" fillId="0" borderId="0" xfId="0" applyNumberFormat="1"/>
    <xf numFmtId="0" fontId="0" fillId="0" borderId="5" xfId="0" applyBorder="1"/>
    <xf numFmtId="0" fontId="0" fillId="3" borderId="0" xfId="0" applyFill="1"/>
    <xf numFmtId="0" fontId="13" fillId="0" borderId="5" xfId="0" applyFont="1" applyBorder="1" applyProtection="1">
      <protection locked="0"/>
    </xf>
    <xf numFmtId="3" fontId="3" fillId="0" borderId="43" xfId="0" applyNumberFormat="1" applyFont="1" applyBorder="1" applyProtection="1">
      <protection hidden="1"/>
    </xf>
    <xf numFmtId="3" fontId="13" fillId="0" borderId="22" xfId="0" applyNumberFormat="1" applyFont="1" applyBorder="1" applyProtection="1">
      <protection hidden="1"/>
    </xf>
    <xf numFmtId="3" fontId="13" fillId="0" borderId="0" xfId="0" applyNumberFormat="1" applyFont="1" applyBorder="1" applyProtection="1">
      <protection hidden="1"/>
    </xf>
    <xf numFmtId="166" fontId="0" fillId="0" borderId="41" xfId="0" applyNumberFormat="1" applyBorder="1" applyProtection="1"/>
    <xf numFmtId="166" fontId="0" fillId="0" borderId="41" xfId="0" applyNumberFormat="1" applyBorder="1" applyProtection="1">
      <protection locked="0"/>
    </xf>
    <xf numFmtId="2" fontId="3" fillId="0" borderId="23" xfId="0" applyNumberFormat="1" applyFont="1" applyBorder="1" applyProtection="1">
      <protection locked="0"/>
    </xf>
    <xf numFmtId="2" fontId="0" fillId="0" borderId="41" xfId="0" applyNumberFormat="1" applyBorder="1" applyProtection="1"/>
    <xf numFmtId="2" fontId="0" fillId="0" borderId="0" xfId="0" applyNumberFormat="1"/>
    <xf numFmtId="1" fontId="0" fillId="0" borderId="0" xfId="0" applyNumberFormat="1"/>
    <xf numFmtId="0" fontId="31" fillId="0" borderId="0" xfId="0" applyFont="1"/>
    <xf numFmtId="2" fontId="14" fillId="2" borderId="0" xfId="0" applyNumberFormat="1" applyFont="1" applyFill="1" applyProtection="1"/>
    <xf numFmtId="2" fontId="3" fillId="0" borderId="76" xfId="0" applyNumberFormat="1" applyFont="1" applyBorder="1" applyProtection="1">
      <protection locked="0"/>
    </xf>
    <xf numFmtId="0" fontId="13" fillId="0" borderId="48" xfId="0" applyNumberFormat="1" applyFont="1" applyBorder="1" applyProtection="1"/>
    <xf numFmtId="3" fontId="13" fillId="4" borderId="45" xfId="0" applyNumberFormat="1" applyFont="1" applyFill="1" applyBorder="1"/>
    <xf numFmtId="3" fontId="0" fillId="4" borderId="45" xfId="0" applyNumberFormat="1" applyFill="1" applyBorder="1"/>
    <xf numFmtId="3" fontId="13" fillId="4" borderId="19" xfId="0" applyNumberFormat="1" applyFont="1" applyFill="1" applyBorder="1"/>
    <xf numFmtId="3" fontId="26" fillId="0" borderId="45" xfId="0" applyNumberFormat="1" applyFont="1" applyBorder="1"/>
    <xf numFmtId="3" fontId="26" fillId="0" borderId="19" xfId="0" applyNumberFormat="1" applyFont="1" applyBorder="1"/>
    <xf numFmtId="0" fontId="32" fillId="0" borderId="48" xfId="0" applyFont="1" applyBorder="1" applyAlignment="1" applyProtection="1">
      <alignment horizontal="center"/>
    </xf>
    <xf numFmtId="0" fontId="33" fillId="0" borderId="48" xfId="0" applyFont="1" applyBorder="1" applyAlignment="1" applyProtection="1">
      <alignment horizontal="center"/>
    </xf>
    <xf numFmtId="4" fontId="13" fillId="2" borderId="0" xfId="0" applyNumberFormat="1" applyFont="1" applyFill="1" applyAlignment="1" applyProtection="1">
      <alignment horizontal="center"/>
    </xf>
    <xf numFmtId="3" fontId="3" fillId="0" borderId="44" xfId="0" applyNumberFormat="1" applyFont="1" applyBorder="1" applyProtection="1">
      <protection hidden="1"/>
    </xf>
    <xf numFmtId="168" fontId="3" fillId="0" borderId="0" xfId="0" applyNumberFormat="1" applyFont="1" applyProtection="1">
      <protection hidden="1"/>
    </xf>
    <xf numFmtId="3" fontId="3" fillId="0" borderId="42" xfId="0" applyNumberFormat="1" applyFont="1" applyBorder="1" applyProtection="1">
      <protection locked="0"/>
    </xf>
    <xf numFmtId="3" fontId="3" fillId="0" borderId="30" xfId="0" applyNumberFormat="1" applyFont="1" applyBorder="1" applyProtection="1">
      <protection locked="0"/>
    </xf>
    <xf numFmtId="3" fontId="2" fillId="0" borderId="0" xfId="0" applyNumberFormat="1" applyFont="1"/>
    <xf numFmtId="0" fontId="3" fillId="0" borderId="19" xfId="0" applyNumberFormat="1" applyFont="1" applyBorder="1" applyAlignment="1" applyProtection="1">
      <alignment horizontal="center"/>
      <protection locked="0"/>
    </xf>
    <xf numFmtId="0" fontId="3" fillId="0" borderId="52" xfId="0" applyNumberFormat="1" applyFont="1" applyBorder="1" applyAlignment="1" applyProtection="1">
      <alignment horizontal="center"/>
      <protection locked="0"/>
    </xf>
    <xf numFmtId="168" fontId="0" fillId="0" borderId="0" xfId="0" applyNumberFormat="1" applyProtection="1"/>
    <xf numFmtId="168" fontId="11" fillId="0" borderId="47" xfId="0" applyNumberFormat="1" applyFont="1" applyBorder="1" applyAlignment="1" applyProtection="1">
      <alignment horizontal="center"/>
    </xf>
    <xf numFmtId="168" fontId="33" fillId="0" borderId="48" xfId="0" applyNumberFormat="1" applyFont="1" applyBorder="1" applyAlignment="1" applyProtection="1">
      <alignment horizontal="center"/>
    </xf>
    <xf numFmtId="168" fontId="17" fillId="2" borderId="16" xfId="0" applyNumberFormat="1" applyFont="1" applyFill="1" applyBorder="1" applyProtection="1"/>
    <xf numFmtId="168" fontId="14" fillId="0" borderId="10" xfId="0" applyNumberFormat="1" applyFont="1" applyBorder="1" applyProtection="1"/>
    <xf numFmtId="168" fontId="14" fillId="0" borderId="10" xfId="0" applyNumberFormat="1" applyFont="1" applyBorder="1" applyAlignment="1" applyProtection="1">
      <alignment horizontal="right"/>
    </xf>
    <xf numFmtId="168" fontId="14" fillId="0" borderId="2" xfId="0" applyNumberFormat="1" applyFont="1" applyBorder="1" applyProtection="1"/>
    <xf numFmtId="168" fontId="14" fillId="0" borderId="0" xfId="0" applyNumberFormat="1" applyFont="1" applyProtection="1"/>
    <xf numFmtId="168" fontId="0" fillId="0" borderId="0" xfId="0" applyNumberFormat="1"/>
    <xf numFmtId="168" fontId="16" fillId="0" borderId="0" xfId="0" applyNumberFormat="1" applyFont="1" applyProtection="1"/>
    <xf numFmtId="168" fontId="14" fillId="0" borderId="3" xfId="0" applyNumberFormat="1" applyFont="1" applyBorder="1" applyProtection="1"/>
    <xf numFmtId="168" fontId="14" fillId="0" borderId="1" xfId="0" applyNumberFormat="1" applyFont="1" applyBorder="1" applyProtection="1"/>
    <xf numFmtId="168" fontId="14" fillId="0" borderId="1" xfId="0" applyNumberFormat="1" applyFont="1" applyBorder="1" applyAlignment="1" applyProtection="1">
      <alignment horizontal="right"/>
    </xf>
    <xf numFmtId="168" fontId="14" fillId="0" borderId="2" xfId="0" applyNumberFormat="1" applyFont="1" applyBorder="1" applyAlignment="1" applyProtection="1"/>
    <xf numFmtId="168" fontId="14" fillId="0" borderId="0" xfId="0" applyNumberFormat="1" applyFont="1" applyBorder="1" applyAlignment="1" applyProtection="1">
      <alignment horizontal="center"/>
    </xf>
    <xf numFmtId="168" fontId="14" fillId="0" borderId="50" xfId="0" applyNumberFormat="1" applyFont="1" applyBorder="1" applyAlignment="1" applyProtection="1">
      <alignment horizontal="center"/>
    </xf>
    <xf numFmtId="168" fontId="14" fillId="0" borderId="49" xfId="0" applyNumberFormat="1" applyFont="1" applyBorder="1" applyAlignment="1" applyProtection="1">
      <alignment horizontal="center"/>
    </xf>
    <xf numFmtId="168" fontId="14" fillId="0" borderId="0" xfId="0" applyNumberFormat="1" applyFont="1" applyAlignment="1">
      <alignment horizontal="center"/>
    </xf>
    <xf numFmtId="168" fontId="14" fillId="0" borderId="6" xfId="0" applyNumberFormat="1" applyFont="1" applyBorder="1" applyAlignment="1" applyProtection="1">
      <alignment horizontal="center"/>
    </xf>
    <xf numFmtId="168" fontId="14" fillId="0" borderId="51" xfId="0" applyNumberFormat="1" applyFont="1" applyBorder="1" applyProtection="1"/>
    <xf numFmtId="168" fontId="14" fillId="0" borderId="52" xfId="0" applyNumberFormat="1" applyFont="1" applyBorder="1" applyProtection="1"/>
    <xf numFmtId="168" fontId="14" fillId="0" borderId="30" xfId="0" applyNumberFormat="1" applyFont="1" applyBorder="1" applyAlignment="1" applyProtection="1">
      <alignment horizontal="center"/>
    </xf>
    <xf numFmtId="168" fontId="14" fillId="0" borderId="54" xfId="0" applyNumberFormat="1" applyFont="1" applyBorder="1" applyAlignment="1" applyProtection="1">
      <alignment horizontal="center"/>
    </xf>
    <xf numFmtId="168" fontId="16" fillId="0" borderId="59" xfId="0" applyNumberFormat="1" applyFont="1" applyBorder="1" applyAlignment="1" applyProtection="1">
      <alignment horizontal="center"/>
    </xf>
    <xf numFmtId="168" fontId="14" fillId="0" borderId="56" xfId="0" applyNumberFormat="1" applyFont="1" applyBorder="1" applyAlignment="1" applyProtection="1">
      <alignment horizontal="center"/>
    </xf>
    <xf numFmtId="168" fontId="3" fillId="0" borderId="22" xfId="0" applyNumberFormat="1" applyFont="1" applyBorder="1" applyProtection="1">
      <protection locked="0"/>
    </xf>
    <xf numFmtId="168" fontId="3" fillId="0" borderId="19" xfId="0" applyNumberFormat="1" applyFont="1" applyBorder="1" applyProtection="1">
      <protection locked="0"/>
    </xf>
    <xf numFmtId="168" fontId="3" fillId="0" borderId="19" xfId="0" applyNumberFormat="1" applyFont="1" applyBorder="1" applyProtection="1"/>
    <xf numFmtId="168" fontId="3" fillId="0" borderId="40" xfId="0" applyNumberFormat="1" applyFont="1" applyBorder="1" applyProtection="1">
      <protection locked="0"/>
    </xf>
    <xf numFmtId="168" fontId="3" fillId="0" borderId="1" xfId="0" applyNumberFormat="1" applyFont="1" applyBorder="1" applyProtection="1">
      <protection locked="0"/>
    </xf>
    <xf numFmtId="168" fontId="3" fillId="0" borderId="1" xfId="0" applyNumberFormat="1" applyFont="1" applyBorder="1" applyProtection="1"/>
    <xf numFmtId="168" fontId="14" fillId="0" borderId="20" xfId="0" applyNumberFormat="1" applyFont="1" applyBorder="1"/>
    <xf numFmtId="168" fontId="14" fillId="0" borderId="21" xfId="0" applyNumberFormat="1" applyFont="1" applyBorder="1"/>
    <xf numFmtId="168" fontId="18" fillId="0" borderId="21" xfId="0" applyNumberFormat="1" applyFont="1" applyBorder="1" applyAlignment="1">
      <alignment horizontal="right"/>
    </xf>
    <xf numFmtId="169" fontId="3" fillId="0" borderId="43" xfId="0" applyNumberFormat="1" applyFont="1" applyBorder="1" applyProtection="1">
      <protection hidden="1"/>
    </xf>
    <xf numFmtId="169" fontId="3" fillId="0" borderId="56" xfId="0" applyNumberFormat="1" applyFont="1" applyBorder="1" applyProtection="1">
      <protection hidden="1"/>
    </xf>
    <xf numFmtId="0" fontId="0" fillId="0" borderId="0" xfId="0" applyProtection="1">
      <protection locked="0"/>
    </xf>
    <xf numFmtId="0" fontId="21" fillId="0" borderId="0" xfId="0" applyFont="1" applyProtection="1"/>
    <xf numFmtId="0" fontId="27" fillId="0" borderId="0" xfId="0" applyFont="1" applyProtection="1"/>
    <xf numFmtId="0" fontId="3" fillId="0" borderId="0" xfId="0" applyFont="1" applyProtection="1"/>
    <xf numFmtId="0" fontId="22" fillId="0" borderId="0" xfId="0" applyFont="1" applyProtection="1"/>
    <xf numFmtId="0" fontId="23" fillId="0" borderId="0" xfId="0" applyFont="1" applyProtection="1"/>
    <xf numFmtId="3" fontId="0" fillId="0" borderId="41" xfId="0" applyNumberFormat="1" applyBorder="1" applyProtection="1">
      <protection locked="0"/>
    </xf>
    <xf numFmtId="0" fontId="8" fillId="0" borderId="0" xfId="0" applyFont="1" applyProtection="1">
      <protection hidden="1"/>
    </xf>
    <xf numFmtId="164" fontId="18" fillId="2" borderId="0" xfId="0" applyNumberFormat="1" applyFont="1" applyFill="1" applyBorder="1" applyAlignment="1">
      <alignment horizontal="right"/>
    </xf>
    <xf numFmtId="0" fontId="14" fillId="2" borderId="0" xfId="0" applyFont="1" applyFill="1" applyBorder="1" applyAlignment="1">
      <alignment horizontal="right"/>
    </xf>
    <xf numFmtId="0" fontId="14" fillId="2" borderId="0" xfId="0" applyFont="1" applyFill="1" applyAlignment="1">
      <alignment horizontal="right"/>
    </xf>
    <xf numFmtId="0" fontId="14" fillId="2" borderId="21" xfId="0" applyFont="1" applyFill="1" applyBorder="1" applyAlignment="1">
      <alignment horizontal="right"/>
    </xf>
    <xf numFmtId="0" fontId="14" fillId="2" borderId="21" xfId="0" applyFont="1" applyFill="1" applyBorder="1" applyProtection="1">
      <protection locked="0"/>
    </xf>
    <xf numFmtId="0" fontId="13" fillId="2" borderId="26" xfId="0" applyFont="1" applyFill="1" applyBorder="1" applyProtection="1">
      <protection locked="0"/>
    </xf>
    <xf numFmtId="0" fontId="14" fillId="2" borderId="0" xfId="0" applyFont="1" applyFill="1" applyAlignment="1" applyProtection="1">
      <alignment horizontal="right"/>
      <protection locked="0"/>
    </xf>
    <xf numFmtId="0" fontId="10" fillId="0" borderId="0" xfId="0" applyFont="1" applyProtection="1">
      <protection hidden="1"/>
    </xf>
    <xf numFmtId="168" fontId="10" fillId="0" borderId="0" xfId="0" applyNumberFormat="1" applyFont="1" applyProtection="1">
      <protection hidden="1"/>
    </xf>
    <xf numFmtId="0" fontId="3" fillId="0" borderId="0" xfId="0" applyFont="1" applyAlignment="1" applyProtection="1">
      <protection hidden="1"/>
    </xf>
    <xf numFmtId="0" fontId="3" fillId="0" borderId="1" xfId="0" applyFont="1" applyBorder="1" applyAlignment="1" applyProtection="1">
      <protection hidden="1"/>
    </xf>
    <xf numFmtId="168" fontId="3" fillId="0" borderId="1" xfId="0" applyNumberFormat="1" applyFont="1" applyBorder="1" applyProtection="1">
      <protection hidden="1"/>
    </xf>
    <xf numFmtId="0" fontId="16" fillId="0" borderId="77" xfId="0" applyFont="1" applyBorder="1" applyAlignment="1" applyProtection="1">
      <alignment horizontal="center"/>
      <protection locked="0"/>
    </xf>
    <xf numFmtId="0" fontId="14" fillId="0" borderId="63" xfId="0" applyFont="1" applyBorder="1" applyAlignment="1" applyProtection="1">
      <alignment horizontal="center"/>
    </xf>
    <xf numFmtId="0" fontId="14" fillId="0" borderId="47" xfId="0" applyFont="1" applyBorder="1" applyAlignment="1" applyProtection="1">
      <alignment horizontal="center"/>
    </xf>
    <xf numFmtId="0" fontId="16" fillId="0" borderId="47" xfId="0" applyFont="1" applyBorder="1" applyProtection="1"/>
    <xf numFmtId="0" fontId="16" fillId="0" borderId="50" xfId="0" applyFont="1" applyBorder="1" applyProtection="1"/>
    <xf numFmtId="0" fontId="35" fillId="0" borderId="50" xfId="0" applyFont="1" applyBorder="1" applyAlignment="1" applyProtection="1">
      <alignment vertical="center"/>
    </xf>
    <xf numFmtId="0" fontId="35" fillId="0" borderId="50" xfId="0" applyFont="1" applyBorder="1" applyAlignment="1" applyProtection="1">
      <alignment vertical="top"/>
    </xf>
    <xf numFmtId="0" fontId="35" fillId="0" borderId="47" xfId="0" applyFont="1" applyBorder="1" applyAlignment="1" applyProtection="1"/>
    <xf numFmtId="0" fontId="13" fillId="2" borderId="9" xfId="0" applyFont="1" applyFill="1" applyBorder="1" applyAlignment="1" applyProtection="1">
      <alignment horizontal="left"/>
      <protection locked="0"/>
    </xf>
    <xf numFmtId="0" fontId="37" fillId="2" borderId="0" xfId="0" applyFont="1" applyFill="1" applyBorder="1" applyProtection="1"/>
    <xf numFmtId="3" fontId="29" fillId="2" borderId="0" xfId="0" applyNumberFormat="1" applyFont="1" applyFill="1" applyBorder="1" applyAlignment="1" applyProtection="1">
      <alignment horizontal="right"/>
      <protection hidden="1"/>
    </xf>
    <xf numFmtId="3" fontId="26" fillId="4" borderId="45" xfId="0" applyNumberFormat="1" applyFont="1" applyFill="1" applyBorder="1"/>
    <xf numFmtId="3" fontId="26" fillId="4" borderId="19" xfId="0" applyNumberFormat="1" applyFont="1" applyFill="1" applyBorder="1"/>
    <xf numFmtId="2" fontId="0" fillId="0" borderId="41" xfId="0" applyNumberFormat="1" applyBorder="1" applyProtection="1">
      <protection locked="0"/>
    </xf>
    <xf numFmtId="0" fontId="3" fillId="0" borderId="2" xfId="0" applyFont="1" applyBorder="1" applyProtection="1">
      <protection locked="0"/>
    </xf>
    <xf numFmtId="0" fontId="3" fillId="0" borderId="68" xfId="0" applyFont="1" applyBorder="1" applyAlignment="1" applyProtection="1">
      <alignment horizontal="left"/>
      <protection locked="0"/>
    </xf>
    <xf numFmtId="0" fontId="3" fillId="2" borderId="9" xfId="0" applyFont="1" applyFill="1" applyBorder="1" applyAlignment="1" applyProtection="1">
      <alignment horizontal="left"/>
      <protection locked="0"/>
    </xf>
    <xf numFmtId="0" fontId="13" fillId="2" borderId="9" xfId="0" applyFont="1" applyFill="1" applyBorder="1" applyAlignment="1" applyProtection="1">
      <alignment horizontal="left"/>
      <protection locked="0"/>
    </xf>
    <xf numFmtId="0" fontId="36" fillId="2" borderId="0" xfId="0" applyFont="1" applyFill="1" applyAlignment="1" applyProtection="1">
      <alignment vertical="center" wrapText="1"/>
    </xf>
    <xf numFmtId="0" fontId="36" fillId="0" borderId="0" xfId="0" applyFont="1" applyAlignment="1">
      <alignment vertical="center" wrapText="1"/>
    </xf>
    <xf numFmtId="0" fontId="3" fillId="0" borderId="9" xfId="0" applyFont="1" applyBorder="1" applyAlignment="1" applyProtection="1">
      <alignment horizontal="left"/>
      <protection locked="0"/>
    </xf>
    <xf numFmtId="0" fontId="13" fillId="0" borderId="9" xfId="0" applyFont="1" applyBorder="1" applyAlignment="1" applyProtection="1">
      <alignment horizontal="left"/>
      <protection locked="0"/>
    </xf>
    <xf numFmtId="170" fontId="0" fillId="2" borderId="78" xfId="0" applyNumberFormat="1" applyFont="1" applyFill="1" applyBorder="1" applyAlignment="1" applyProtection="1">
      <alignment horizontal="left"/>
      <protection locked="0" hidden="1"/>
    </xf>
    <xf numFmtId="170" fontId="3" fillId="2" borderId="78" xfId="0" applyNumberFormat="1" applyFont="1" applyFill="1" applyBorder="1" applyAlignment="1" applyProtection="1">
      <alignment horizontal="left"/>
      <protection locked="0" hidden="1"/>
    </xf>
    <xf numFmtId="0" fontId="3" fillId="2" borderId="79" xfId="0" applyFont="1" applyFill="1" applyBorder="1" applyAlignment="1" applyProtection="1">
      <alignment horizontal="left"/>
      <protection locked="0"/>
    </xf>
    <xf numFmtId="0" fontId="13" fillId="2" borderId="79" xfId="0" applyFont="1" applyFill="1" applyBorder="1" applyAlignment="1" applyProtection="1">
      <alignment horizontal="left"/>
      <protection locked="0"/>
    </xf>
    <xf numFmtId="0" fontId="3" fillId="2" borderId="19" xfId="0" applyFont="1" applyFill="1" applyBorder="1" applyAlignment="1" applyProtection="1">
      <alignment horizontal="left"/>
      <protection locked="0"/>
    </xf>
    <xf numFmtId="0" fontId="13" fillId="2" borderId="19" xfId="0" applyFont="1" applyFill="1" applyBorder="1" applyAlignment="1" applyProtection="1">
      <alignment horizontal="left"/>
      <protection locked="0"/>
    </xf>
    <xf numFmtId="0" fontId="0" fillId="0" borderId="79" xfId="0" applyBorder="1" applyAlignment="1" applyProtection="1">
      <alignment horizontal="left"/>
      <protection locked="0"/>
    </xf>
    <xf numFmtId="3" fontId="13" fillId="2" borderId="78" xfId="0" applyNumberFormat="1" applyFont="1" applyFill="1" applyBorder="1" applyAlignment="1" applyProtection="1">
      <alignment horizontal="left"/>
      <protection hidden="1"/>
    </xf>
    <xf numFmtId="0" fontId="0" fillId="0" borderId="9" xfId="0" applyBorder="1" applyAlignment="1" applyProtection="1">
      <alignment horizontal="left"/>
      <protection locked="0"/>
    </xf>
    <xf numFmtId="0" fontId="7" fillId="0" borderId="62" xfId="0" applyFont="1" applyBorder="1" applyAlignment="1" applyProtection="1">
      <alignment horizontal="left" wrapText="1"/>
      <protection locked="0"/>
    </xf>
    <xf numFmtId="0" fontId="7" fillId="0" borderId="61" xfId="0" applyFont="1" applyBorder="1" applyAlignment="1" applyProtection="1">
      <alignment horizontal="left" wrapText="1"/>
      <protection locked="0"/>
    </xf>
    <xf numFmtId="0" fontId="7" fillId="0" borderId="64" xfId="0" applyFont="1" applyBorder="1" applyAlignment="1" applyProtection="1">
      <alignment horizontal="left" wrapText="1"/>
      <protection locked="0"/>
    </xf>
    <xf numFmtId="0" fontId="7" fillId="0" borderId="2" xfId="0" applyFont="1" applyBorder="1" applyAlignment="1" applyProtection="1">
      <alignment horizontal="left" wrapText="1"/>
      <protection locked="0"/>
    </xf>
    <xf numFmtId="0" fontId="7" fillId="0" borderId="0" xfId="0" applyFont="1" applyBorder="1" applyAlignment="1" applyProtection="1">
      <alignment horizontal="left" wrapText="1"/>
      <protection locked="0"/>
    </xf>
    <xf numFmtId="0" fontId="7" fillId="0" borderId="5" xfId="0" applyFont="1" applyBorder="1" applyAlignment="1" applyProtection="1">
      <alignment horizontal="left" wrapText="1"/>
      <protection locked="0"/>
    </xf>
    <xf numFmtId="0" fontId="7" fillId="0" borderId="3" xfId="0" applyFont="1" applyBorder="1" applyAlignment="1" applyProtection="1">
      <alignment horizontal="left" wrapText="1"/>
      <protection locked="0"/>
    </xf>
    <xf numFmtId="0" fontId="7" fillId="0" borderId="1" xfId="0" applyFont="1" applyBorder="1" applyAlignment="1" applyProtection="1">
      <alignment horizontal="left" wrapText="1"/>
      <protection locked="0"/>
    </xf>
    <xf numFmtId="0" fontId="7" fillId="0" borderId="4" xfId="0" applyFont="1" applyBorder="1" applyAlignment="1" applyProtection="1">
      <alignment horizontal="left" wrapText="1"/>
      <protection locked="0"/>
    </xf>
    <xf numFmtId="0" fontId="23" fillId="0" borderId="80" xfId="0" applyFont="1" applyBorder="1" applyAlignment="1">
      <alignment vertical="top" wrapText="1"/>
    </xf>
    <xf numFmtId="0" fontId="30" fillId="0" borderId="26" xfId="0" applyFont="1" applyBorder="1" applyAlignment="1">
      <alignment vertical="top" wrapText="1"/>
    </xf>
    <xf numFmtId="0" fontId="30" fillId="0" borderId="81" xfId="0" applyFont="1" applyBorder="1" applyAlignment="1">
      <alignment vertical="top" wrapText="1"/>
    </xf>
    <xf numFmtId="0" fontId="30" fillId="0" borderId="2" xfId="0" applyFont="1" applyBorder="1" applyAlignment="1">
      <alignment vertical="top" wrapText="1"/>
    </xf>
    <xf numFmtId="0" fontId="30" fillId="0" borderId="0" xfId="0" applyFont="1" applyBorder="1" applyAlignment="1">
      <alignment vertical="top" wrapText="1"/>
    </xf>
    <xf numFmtId="0" fontId="30" fillId="0" borderId="5" xfId="0" applyFon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14" fillId="0" borderId="61" xfId="0" applyFont="1" applyBorder="1" applyAlignment="1" applyProtection="1">
      <alignment horizontal="center"/>
    </xf>
    <xf numFmtId="0" fontId="3" fillId="0" borderId="10" xfId="0" applyFont="1" applyBorder="1" applyAlignment="1" applyProtection="1">
      <alignment horizontal="left"/>
      <protection hidden="1"/>
    </xf>
    <xf numFmtId="0" fontId="3" fillId="0" borderId="82" xfId="0" applyFont="1" applyBorder="1" applyAlignment="1" applyProtection="1">
      <alignment horizontal="left"/>
      <protection hidden="1"/>
    </xf>
    <xf numFmtId="0" fontId="13" fillId="0" borderId="26" xfId="0" applyFont="1" applyBorder="1" applyAlignment="1" applyProtection="1">
      <alignment horizontal="left" wrapText="1"/>
      <protection locked="0"/>
    </xf>
    <xf numFmtId="0" fontId="13" fillId="0" borderId="0" xfId="0" applyFont="1" applyBorder="1" applyAlignment="1" applyProtection="1">
      <alignment horizontal="left" wrapText="1"/>
      <protection locked="0"/>
    </xf>
    <xf numFmtId="0" fontId="13" fillId="0" borderId="10" xfId="0" applyFont="1" applyBorder="1" applyAlignment="1" applyProtection="1">
      <alignment horizontal="left"/>
      <protection hidden="1"/>
    </xf>
    <xf numFmtId="0" fontId="13" fillId="0" borderId="82" xfId="0" applyFont="1" applyBorder="1" applyAlignment="1" applyProtection="1">
      <alignment horizontal="left"/>
      <protection hidden="1"/>
    </xf>
    <xf numFmtId="168" fontId="13" fillId="0" borderId="10" xfId="0" applyNumberFormat="1" applyFont="1" applyBorder="1" applyAlignment="1" applyProtection="1">
      <alignment horizontal="left"/>
      <protection hidden="1"/>
    </xf>
    <xf numFmtId="168" fontId="13" fillId="0" borderId="82" xfId="0" applyNumberFormat="1" applyFont="1" applyBorder="1" applyAlignment="1" applyProtection="1">
      <alignment horizontal="left"/>
      <protection hidden="1"/>
    </xf>
    <xf numFmtId="168" fontId="7" fillId="0" borderId="62" xfId="0" applyNumberFormat="1" applyFont="1" applyBorder="1" applyAlignment="1" applyProtection="1">
      <alignment horizontal="left" wrapText="1"/>
      <protection locked="0"/>
    </xf>
    <xf numFmtId="168" fontId="0" fillId="0" borderId="61" xfId="0" applyNumberFormat="1" applyBorder="1" applyAlignment="1" applyProtection="1">
      <alignment horizontal="left" wrapText="1"/>
      <protection locked="0"/>
    </xf>
    <xf numFmtId="168" fontId="0" fillId="0" borderId="64" xfId="0" applyNumberFormat="1" applyBorder="1" applyAlignment="1" applyProtection="1">
      <alignment horizontal="left" wrapText="1"/>
      <protection locked="0"/>
    </xf>
    <xf numFmtId="168" fontId="0" fillId="0" borderId="2" xfId="0" applyNumberFormat="1" applyBorder="1" applyAlignment="1" applyProtection="1">
      <alignment horizontal="left" wrapText="1"/>
      <protection locked="0"/>
    </xf>
    <xf numFmtId="168" fontId="0" fillId="0" borderId="0" xfId="0" applyNumberFormat="1" applyAlignment="1" applyProtection="1">
      <alignment horizontal="left" wrapText="1"/>
      <protection locked="0"/>
    </xf>
    <xf numFmtId="168" fontId="0" fillId="0" borderId="5" xfId="0" applyNumberFormat="1" applyBorder="1" applyAlignment="1" applyProtection="1">
      <alignment horizontal="left" wrapText="1"/>
      <protection locked="0"/>
    </xf>
    <xf numFmtId="168" fontId="0" fillId="0" borderId="3" xfId="0" applyNumberFormat="1" applyBorder="1" applyAlignment="1" applyProtection="1">
      <alignment horizontal="left" wrapText="1"/>
      <protection locked="0"/>
    </xf>
    <xf numFmtId="168" fontId="0" fillId="0" borderId="1" xfId="0" applyNumberFormat="1" applyBorder="1" applyAlignment="1" applyProtection="1">
      <alignment horizontal="left" wrapText="1"/>
      <protection locked="0"/>
    </xf>
    <xf numFmtId="168" fontId="0" fillId="0" borderId="4" xfId="0" applyNumberFormat="1" applyBorder="1" applyAlignment="1" applyProtection="1">
      <alignment horizontal="left" wrapText="1"/>
      <protection locked="0"/>
    </xf>
    <xf numFmtId="168" fontId="14" fillId="0" borderId="83" xfId="0" applyNumberFormat="1" applyFont="1" applyBorder="1" applyAlignment="1" applyProtection="1">
      <alignment horizontal="center"/>
    </xf>
    <xf numFmtId="168" fontId="14" fillId="0" borderId="84" xfId="0" applyNumberFormat="1" applyFont="1" applyBorder="1" applyAlignment="1" applyProtection="1">
      <alignment horizontal="center"/>
    </xf>
    <xf numFmtId="168" fontId="14" fillId="0" borderId="49" xfId="0" applyNumberFormat="1" applyFont="1" applyBorder="1" applyAlignment="1" applyProtection="1">
      <alignment horizontal="center"/>
    </xf>
    <xf numFmtId="168" fontId="14" fillId="0" borderId="37" xfId="0" applyNumberFormat="1" applyFont="1" applyBorder="1" applyAlignment="1" applyProtection="1">
      <alignment horizontal="center"/>
    </xf>
    <xf numFmtId="0" fontId="24" fillId="0" borderId="80" xfId="0" applyNumberFormat="1" applyFont="1" applyBorder="1" applyAlignment="1">
      <alignment vertical="center" wrapText="1"/>
    </xf>
    <xf numFmtId="0" fontId="24" fillId="0" borderId="26" xfId="0" applyNumberFormat="1" applyFont="1" applyBorder="1" applyAlignment="1">
      <alignment vertical="center" wrapText="1"/>
    </xf>
    <xf numFmtId="0" fontId="24" fillId="0" borderId="81" xfId="0" applyNumberFormat="1" applyFont="1" applyBorder="1" applyAlignment="1">
      <alignment vertical="center" wrapText="1"/>
    </xf>
    <xf numFmtId="0" fontId="24" fillId="0" borderId="2" xfId="0" applyNumberFormat="1" applyFont="1" applyBorder="1" applyAlignment="1">
      <alignment vertical="center" wrapText="1"/>
    </xf>
    <xf numFmtId="0" fontId="24" fillId="0" borderId="0" xfId="0" applyNumberFormat="1" applyFont="1" applyBorder="1" applyAlignment="1">
      <alignment vertical="center" wrapText="1"/>
    </xf>
    <xf numFmtId="0" fontId="24" fillId="0" borderId="5" xfId="0" applyNumberFormat="1" applyFont="1" applyBorder="1" applyAlignment="1">
      <alignment vertical="center" wrapText="1"/>
    </xf>
    <xf numFmtId="0" fontId="24" fillId="0" borderId="3" xfId="0" applyNumberFormat="1" applyFont="1" applyBorder="1" applyAlignment="1">
      <alignment vertical="center" wrapText="1"/>
    </xf>
    <xf numFmtId="0" fontId="24" fillId="0" borderId="1" xfId="0" applyNumberFormat="1" applyFont="1" applyBorder="1" applyAlignment="1">
      <alignment vertical="center" wrapText="1"/>
    </xf>
    <xf numFmtId="0" fontId="24" fillId="0" borderId="4" xfId="0" applyNumberFormat="1" applyFont="1" applyBorder="1" applyAlignment="1">
      <alignment vertical="center" wrapText="1"/>
    </xf>
    <xf numFmtId="0" fontId="21" fillId="0" borderId="12" xfId="0" applyFont="1" applyBorder="1" applyAlignment="1" applyProtection="1">
      <protection locked="0"/>
    </xf>
    <xf numFmtId="0" fontId="21" fillId="0" borderId="11" xfId="0" applyFont="1" applyBorder="1" applyAlignment="1" applyProtection="1">
      <protection locked="0"/>
    </xf>
    <xf numFmtId="0" fontId="21" fillId="0" borderId="58" xfId="0" applyFont="1" applyBorder="1" applyAlignment="1" applyProtection="1">
      <protection locked="0"/>
    </xf>
    <xf numFmtId="17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14" fillId="0" borderId="62" xfId="0" applyFont="1" applyBorder="1" applyAlignment="1" applyProtection="1">
      <alignment horizontal="center"/>
      <protection hidden="1"/>
    </xf>
    <xf numFmtId="0" fontId="0" fillId="0" borderId="64" xfId="0" applyBorder="1"/>
    <xf numFmtId="0" fontId="14" fillId="0" borderId="64" xfId="0" applyFont="1" applyBorder="1" applyAlignment="1" applyProtection="1">
      <alignment horizontal="center"/>
      <protection hidden="1"/>
    </xf>
  </cellXfs>
  <cellStyles count="1">
    <cellStyle name="Normal" xfId="0" builtinId="0"/>
  </cellStyles>
  <dxfs count="8">
    <dxf>
      <fill>
        <patternFill patternType="lightHorizontal">
          <bgColor indexed="65"/>
        </patternFill>
      </fill>
    </dxf>
    <dxf>
      <fill>
        <patternFill patternType="lightHorizontal"/>
      </fill>
    </dxf>
    <dxf>
      <fill>
        <patternFill patternType="lightHorizontal"/>
      </fill>
    </dxf>
    <dxf>
      <fill>
        <patternFill patternType="lightHorizontal"/>
      </fill>
    </dxf>
    <dxf>
      <fill>
        <patternFill patternType="lightHorizontal"/>
      </fill>
    </dxf>
    <dxf>
      <fill>
        <patternFill patternType="lightHorizontal"/>
      </fill>
    </dxf>
    <dxf>
      <fill>
        <patternFill patternType="lightHorizontal"/>
      </fill>
    </dxf>
    <dxf>
      <fill>
        <patternFill patternType="lightHorizontal"/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Drop" dropLines="6" dropStyle="combo" dx="16" fmlaLink="Listinfo!$D$26" fmlaRange="Listinfo!$C$27:$C$31" noThreeD="1" sel="0" val="0"/>
</file>

<file path=xl/ctrlProps/ctrlProp3.xml><?xml version="1.0" encoding="utf-8"?>
<formControlPr xmlns="http://schemas.microsoft.com/office/spreadsheetml/2009/9/main" objectType="Drop" dropLines="6" dropStyle="combo" dx="16" fmlaLink="Listinfo!$D$14" fmlaRange="Listinfo!$C$15:$C$20" noThreeD="1" sel="6" val="0"/>
</file>

<file path=xl/ctrlProps/ctrlProp4.xml><?xml version="1.0" encoding="utf-8"?>
<formControlPr xmlns="http://schemas.microsoft.com/office/spreadsheetml/2009/9/main" objectType="Drop" dropLines="4" dropStyle="combo" dx="16" fmlaLink="Listinfo!$D$4" fmlaRange="Listinfo!$C$5:$C$8" noThreeD="1" sel="2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333375</xdr:colOff>
      <xdr:row>41</xdr:row>
      <xdr:rowOff>333375</xdr:rowOff>
    </xdr:from>
    <xdr:to>
      <xdr:col>9</xdr:col>
      <xdr:colOff>38100</xdr:colOff>
      <xdr:row>49</xdr:row>
      <xdr:rowOff>152400</xdr:rowOff>
    </xdr:to>
    <xdr:pic>
      <xdr:nvPicPr>
        <xdr:cNvPr id="1036" name="Bildobjekt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057525" y="8067675"/>
          <a:ext cx="2943225" cy="2257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Blad1"/>
  <dimension ref="A1:J49"/>
  <sheetViews>
    <sheetView showGridLines="0" showZeros="0" tabSelected="1" topLeftCell="A13" zoomScaleNormal="100" workbookViewId="0">
      <selection activeCell="H27" sqref="H27"/>
    </sheetView>
  </sheetViews>
  <sheetFormatPr defaultRowHeight="12.75"/>
  <cols>
    <col min="1" max="1" width="11.7109375" customWidth="1"/>
    <col min="2" max="2" width="20.42578125" customWidth="1"/>
    <col min="3" max="3" width="8.7109375" customWidth="1"/>
    <col min="4" max="4" width="8.140625" customWidth="1"/>
    <col min="5" max="5" width="10.28515625" customWidth="1"/>
    <col min="6" max="6" width="12" customWidth="1"/>
    <col min="7" max="7" width="4.5703125" customWidth="1"/>
    <col min="8" max="8" width="13.5703125" customWidth="1"/>
    <col min="9" max="9" width="0" hidden="1" customWidth="1"/>
  </cols>
  <sheetData>
    <row r="1" spans="1:8" ht="15.75" customHeight="1">
      <c r="A1" s="44"/>
      <c r="B1" s="44"/>
      <c r="C1" s="44"/>
      <c r="D1" s="44"/>
      <c r="E1" s="44"/>
      <c r="F1" s="44"/>
      <c r="G1" s="125"/>
      <c r="H1" s="273" t="s">
        <v>0</v>
      </c>
    </row>
    <row r="2" spans="1:8" ht="20.25" customHeight="1">
      <c r="A2" s="364" t="str">
        <f>IF(Fakta!C5=0,"",Fakta!C5)</f>
        <v>Kraftringen Nät AB</v>
      </c>
      <c r="B2" s="44"/>
      <c r="C2" s="44"/>
      <c r="D2" s="44"/>
      <c r="E2" s="44"/>
      <c r="F2" s="270"/>
      <c r="G2" s="44"/>
      <c r="H2" s="274" t="s">
        <v>182</v>
      </c>
    </row>
    <row r="3" spans="1:8" ht="15.75" customHeight="1">
      <c r="A3" s="44">
        <v>0</v>
      </c>
      <c r="B3" s="44"/>
      <c r="C3" s="44"/>
      <c r="D3" s="44"/>
      <c r="E3" s="44"/>
      <c r="F3" s="44"/>
      <c r="G3" s="44"/>
      <c r="H3" s="311"/>
    </row>
    <row r="4" spans="1:8" ht="16.5" customHeight="1" thickBot="1">
      <c r="A4" s="126" t="s">
        <v>1</v>
      </c>
      <c r="B4" s="127"/>
      <c r="C4" s="127"/>
      <c r="D4" s="127"/>
      <c r="E4" s="128"/>
      <c r="F4" s="129"/>
      <c r="G4" s="127"/>
      <c r="H4" s="127"/>
    </row>
    <row r="5" spans="1:8" ht="16.5" customHeight="1" thickTop="1">
      <c r="A5" s="365" t="s">
        <v>206</v>
      </c>
      <c r="B5" s="401"/>
      <c r="C5" s="402"/>
      <c r="D5" s="370"/>
      <c r="E5" s="133" t="s">
        <v>212</v>
      </c>
      <c r="F5" s="405"/>
      <c r="G5" s="405"/>
      <c r="H5" s="405"/>
    </row>
    <row r="6" spans="1:8" ht="15" customHeight="1">
      <c r="A6" s="366" t="s">
        <v>207</v>
      </c>
      <c r="B6" s="403"/>
      <c r="C6" s="404"/>
      <c r="D6" s="130"/>
      <c r="E6" s="371"/>
      <c r="F6" s="407"/>
      <c r="G6" s="407"/>
      <c r="H6" s="407"/>
    </row>
    <row r="7" spans="1:8" ht="15" customHeight="1">
      <c r="B7" s="394"/>
      <c r="C7" s="394"/>
      <c r="D7" s="130"/>
      <c r="E7" s="133" t="s">
        <v>213</v>
      </c>
      <c r="F7" s="397"/>
      <c r="G7" s="407"/>
      <c r="H7" s="407"/>
    </row>
    <row r="8" spans="1:8" ht="15" customHeight="1">
      <c r="A8" s="367" t="s">
        <v>208</v>
      </c>
      <c r="B8" s="393"/>
      <c r="C8" s="394"/>
      <c r="D8" s="130"/>
      <c r="E8" s="357"/>
      <c r="F8" s="397"/>
      <c r="G8" s="407"/>
      <c r="H8" s="407"/>
    </row>
    <row r="9" spans="1:8" ht="15" customHeight="1">
      <c r="A9" s="367"/>
      <c r="B9" s="385" t="s">
        <v>225</v>
      </c>
      <c r="C9" s="385"/>
      <c r="D9" s="130"/>
      <c r="E9" s="357"/>
      <c r="F9" s="407"/>
      <c r="G9" s="407"/>
      <c r="H9" s="407"/>
    </row>
    <row r="10" spans="1:8" ht="15" customHeight="1">
      <c r="B10" s="394" t="s">
        <v>225</v>
      </c>
      <c r="C10" s="394"/>
      <c r="D10" s="130"/>
      <c r="E10" s="133" t="s">
        <v>20</v>
      </c>
      <c r="F10" s="397"/>
      <c r="G10" s="407"/>
      <c r="H10" s="407"/>
    </row>
    <row r="11" spans="1:8" ht="15" customHeight="1">
      <c r="A11" s="367" t="s">
        <v>209</v>
      </c>
      <c r="B11" s="397"/>
      <c r="C11" s="398"/>
      <c r="D11" s="130"/>
      <c r="E11" s="133" t="s">
        <v>214</v>
      </c>
      <c r="F11" s="397"/>
      <c r="G11" s="407"/>
      <c r="H11" s="407"/>
    </row>
    <row r="12" spans="1:8" ht="15" customHeight="1">
      <c r="A12" s="367" t="s">
        <v>210</v>
      </c>
      <c r="B12" s="393"/>
      <c r="C12" s="394"/>
      <c r="D12" s="130"/>
      <c r="E12" s="134" t="s">
        <v>2</v>
      </c>
      <c r="F12" s="397">
        <v>2015</v>
      </c>
      <c r="G12" s="407"/>
      <c r="H12" s="407"/>
    </row>
    <row r="13" spans="1:8" ht="15" customHeight="1" thickBot="1">
      <c r="A13" s="368" t="s">
        <v>211</v>
      </c>
      <c r="B13" s="399">
        <v>1</v>
      </c>
      <c r="C13" s="400"/>
      <c r="D13" s="369"/>
      <c r="E13" s="135" t="s">
        <v>3</v>
      </c>
      <c r="F13" s="406">
        <f>Fakta!C7</f>
        <v>44500</v>
      </c>
      <c r="G13" s="406"/>
      <c r="H13" s="406"/>
    </row>
    <row r="14" spans="1:8" ht="13.5" thickTop="1">
      <c r="A14" s="37"/>
      <c r="B14" s="37"/>
      <c r="C14" s="37"/>
      <c r="D14" s="37"/>
      <c r="E14" s="37"/>
      <c r="F14" s="37"/>
      <c r="G14" s="37"/>
      <c r="H14" s="37"/>
    </row>
    <row r="15" spans="1:8" ht="13.5">
      <c r="A15" s="52" t="s">
        <v>4</v>
      </c>
      <c r="B15" s="39"/>
      <c r="C15" s="39"/>
      <c r="D15" s="39"/>
      <c r="E15" s="39"/>
      <c r="F15" s="39"/>
      <c r="G15" s="39"/>
      <c r="H15" s="39"/>
    </row>
    <row r="16" spans="1:8" ht="6" customHeight="1">
      <c r="A16" s="37"/>
      <c r="B16" s="37"/>
      <c r="C16" s="37"/>
      <c r="D16" s="37"/>
      <c r="E16" s="37"/>
      <c r="F16" s="37"/>
      <c r="G16" s="37"/>
      <c r="H16" s="37"/>
    </row>
    <row r="17" spans="1:10" ht="15" customHeight="1">
      <c r="A17" s="40"/>
      <c r="B17" s="40"/>
      <c r="C17" s="40"/>
      <c r="D17" s="40"/>
      <c r="E17" s="51" t="s">
        <v>5</v>
      </c>
      <c r="F17" s="40"/>
      <c r="G17" s="40"/>
      <c r="H17" s="51" t="s">
        <v>6</v>
      </c>
    </row>
    <row r="18" spans="1:10" ht="15" customHeight="1">
      <c r="A18" s="38" t="s">
        <v>204</v>
      </c>
      <c r="B18" s="38"/>
      <c r="C18" s="38"/>
      <c r="D18" s="38"/>
      <c r="E18" s="107">
        <f ca="1">Åker!$N$44</f>
        <v>0</v>
      </c>
      <c r="F18" s="38"/>
      <c r="G18" s="38"/>
      <c r="H18" s="107">
        <f ca="1">Åker!$O$44</f>
        <v>0</v>
      </c>
      <c r="J18" s="236"/>
    </row>
    <row r="19" spans="1:10" ht="15" customHeight="1">
      <c r="A19" s="38" t="s">
        <v>205</v>
      </c>
      <c r="B19" s="38"/>
      <c r="C19" s="38"/>
      <c r="D19" s="38"/>
      <c r="E19" s="107">
        <f>Skog!$L$53</f>
        <v>0</v>
      </c>
      <c r="F19" s="38"/>
      <c r="G19" s="38"/>
      <c r="H19" s="107">
        <f ca="1">Skog!$L$42</f>
        <v>0</v>
      </c>
      <c r="J19" s="236"/>
    </row>
    <row r="20" spans="1:10" ht="15" customHeight="1">
      <c r="A20" s="38" t="s">
        <v>215</v>
      </c>
      <c r="B20" s="44"/>
      <c r="C20" s="38"/>
      <c r="D20" s="38"/>
      <c r="E20" s="108"/>
      <c r="F20" s="38"/>
      <c r="G20" s="38"/>
      <c r="H20" s="107">
        <f>I_mark!$G$49</f>
        <v>0</v>
      </c>
      <c r="J20" s="236"/>
    </row>
    <row r="21" spans="1:10" ht="15" customHeight="1">
      <c r="A21" s="136" t="s">
        <v>223</v>
      </c>
      <c r="B21" s="275"/>
      <c r="C21" s="136"/>
      <c r="D21" s="136"/>
      <c r="E21" s="137"/>
      <c r="F21" s="136"/>
      <c r="G21" s="136"/>
      <c r="H21" s="109">
        <v>0</v>
      </c>
      <c r="J21" s="236"/>
    </row>
    <row r="22" spans="1:10" ht="20.100000000000001" customHeight="1">
      <c r="A22" s="138"/>
      <c r="B22" s="138"/>
      <c r="C22" s="138"/>
      <c r="D22" s="139" t="s">
        <v>7</v>
      </c>
      <c r="E22" s="110">
        <f ca="1">SUM(E18:E21)</f>
        <v>0</v>
      </c>
      <c r="F22" s="138"/>
      <c r="G22" s="138"/>
      <c r="H22" s="110">
        <f ca="1">SUM(H18:H21)</f>
        <v>0</v>
      </c>
      <c r="J22" s="236"/>
    </row>
    <row r="23" spans="1:10" ht="20.100000000000001" customHeight="1">
      <c r="A23" s="42"/>
      <c r="B23" s="42"/>
      <c r="C23" s="141"/>
      <c r="D23" s="141"/>
      <c r="E23" s="42"/>
      <c r="F23" s="132"/>
      <c r="G23" s="141" t="s">
        <v>8</v>
      </c>
      <c r="H23" s="111">
        <f ca="1">IF(H22-E22&lt;0,0,H22-E22)</f>
        <v>0</v>
      </c>
    </row>
    <row r="24" spans="1:10" ht="15" customHeight="1">
      <c r="A24" s="42"/>
      <c r="B24" s="42"/>
      <c r="C24" s="42"/>
      <c r="D24" s="42"/>
      <c r="E24" s="42"/>
      <c r="F24" s="42"/>
      <c r="G24" s="42"/>
      <c r="H24" s="387" t="str">
        <f ca="1">IF(H22-E22&lt;0,I24," ")</f>
        <v xml:space="preserve"> </v>
      </c>
      <c r="I24" t="s">
        <v>183</v>
      </c>
    </row>
    <row r="25" spans="1:10" ht="15" customHeight="1">
      <c r="A25" s="42"/>
      <c r="B25" s="42"/>
      <c r="C25" s="42" t="s">
        <v>9</v>
      </c>
      <c r="D25" s="42"/>
      <c r="E25" s="42"/>
      <c r="F25" s="42"/>
      <c r="G25" s="42"/>
      <c r="H25" s="227"/>
    </row>
    <row r="26" spans="1:10" ht="15" customHeight="1">
      <c r="A26" s="42"/>
      <c r="B26" s="42"/>
      <c r="C26" s="38" t="s">
        <v>220</v>
      </c>
      <c r="D26" s="38"/>
      <c r="E26" s="38"/>
      <c r="F26" s="38"/>
      <c r="G26" s="38"/>
      <c r="H26" s="107">
        <f ca="1">ROUND((H18*66%+H19+H20+H21)*25%,0)</f>
        <v>0</v>
      </c>
      <c r="J26" s="236"/>
    </row>
    <row r="27" spans="1:10" ht="15" customHeight="1">
      <c r="A27" s="38"/>
      <c r="B27" s="38"/>
      <c r="C27" s="38" t="s">
        <v>10</v>
      </c>
      <c r="D27" s="38"/>
      <c r="E27" s="38"/>
      <c r="F27" s="38"/>
      <c r="G27" s="38"/>
      <c r="H27" s="107">
        <f ca="1">ROUND(IF((H23+H25+H26)*0.15&gt;F13*0.2,F13*0.2,(H23+H25+H26)*0.15),0)</f>
        <v>0</v>
      </c>
    </row>
    <row r="28" spans="1:10" ht="15" customHeight="1">
      <c r="A28" s="38"/>
      <c r="B28" s="38"/>
      <c r="C28" s="38" t="s">
        <v>11</v>
      </c>
      <c r="D28" s="38"/>
      <c r="E28" s="38"/>
      <c r="F28" s="38"/>
      <c r="G28" s="38"/>
      <c r="H28" s="107">
        <f ca="1">ROUND(IF((H23+H25+H26+H27)&lt;F13*3%,F13*3%-(H23+H25+H26+H27),0),0)</f>
        <v>1335</v>
      </c>
    </row>
    <row r="29" spans="1:10" ht="15" customHeight="1">
      <c r="A29" s="38"/>
      <c r="B29" s="38"/>
      <c r="C29" s="38" t="s">
        <v>198</v>
      </c>
      <c r="D29" s="38"/>
      <c r="E29" s="38"/>
      <c r="F29" s="313">
        <v>0</v>
      </c>
      <c r="G29" s="303"/>
      <c r="H29" s="144">
        <f>ROUND(IF(F29&gt;0,300+F29*100,0),0)</f>
        <v>0</v>
      </c>
    </row>
    <row r="30" spans="1:10" ht="15" customHeight="1">
      <c r="A30" s="38"/>
      <c r="B30" s="38"/>
      <c r="C30" s="38" t="s">
        <v>186</v>
      </c>
      <c r="D30" s="38"/>
      <c r="G30" s="133" t="s">
        <v>222</v>
      </c>
      <c r="H30" s="144"/>
    </row>
    <row r="31" spans="1:10" ht="15" customHeight="1">
      <c r="A31" s="38"/>
      <c r="B31" s="38"/>
      <c r="C31" s="38" t="s">
        <v>197</v>
      </c>
      <c r="D31" s="38"/>
      <c r="E31" s="38"/>
      <c r="F31" s="38"/>
      <c r="G31" s="38"/>
      <c r="H31" s="144"/>
    </row>
    <row r="32" spans="1:10" ht="15" customHeight="1" thickBot="1">
      <c r="A32" s="38"/>
      <c r="B32" s="38"/>
      <c r="C32" s="142" t="s">
        <v>12</v>
      </c>
      <c r="D32" s="142"/>
      <c r="E32" s="142"/>
      <c r="F32" s="142"/>
      <c r="G32" s="142"/>
      <c r="H32" s="112">
        <f ca="1">SUM(H23:H31)</f>
        <v>1335</v>
      </c>
    </row>
    <row r="33" spans="1:8" ht="13.5" thickTop="1">
      <c r="A33" s="38"/>
      <c r="B33" s="38"/>
      <c r="C33" s="38"/>
      <c r="D33" s="38"/>
      <c r="E33" s="38"/>
      <c r="F33" s="38"/>
      <c r="G33" s="38"/>
      <c r="H33" s="143"/>
    </row>
    <row r="34" spans="1:8">
      <c r="A34" s="38"/>
      <c r="B34" s="38"/>
      <c r="C34" s="38" t="s">
        <v>13</v>
      </c>
      <c r="D34" s="38"/>
      <c r="E34" s="38"/>
      <c r="F34" s="38"/>
      <c r="G34" s="38"/>
      <c r="H34" s="107">
        <f>Åker!$O$53</f>
        <v>0</v>
      </c>
    </row>
    <row r="35" spans="1:8">
      <c r="A35" s="38"/>
      <c r="B35" s="38"/>
      <c r="C35" s="38" t="s">
        <v>14</v>
      </c>
      <c r="D35" s="38"/>
      <c r="E35" s="38"/>
      <c r="F35" s="38"/>
      <c r="G35" s="38"/>
      <c r="H35" s="144"/>
    </row>
    <row r="36" spans="1:8">
      <c r="A36" s="38"/>
      <c r="B36" s="38"/>
      <c r="C36" s="140" t="str">
        <f>IF(H35=0,"(Tillfällig skada regleras separat)","")</f>
        <v>(Tillfällig skada regleras separat)</v>
      </c>
      <c r="D36" s="38"/>
      <c r="E36" s="38"/>
      <c r="F36" s="38"/>
      <c r="G36" s="38"/>
      <c r="H36" s="108"/>
    </row>
    <row r="37" spans="1:8">
      <c r="A37" s="38"/>
      <c r="B37" s="38"/>
      <c r="C37" s="132"/>
      <c r="D37" s="38"/>
      <c r="E37" s="38"/>
      <c r="F37" s="38"/>
      <c r="G37" s="38"/>
      <c r="H37" s="143"/>
    </row>
    <row r="38" spans="1:8" ht="15.75" customHeight="1" thickBot="1">
      <c r="A38" s="129" t="s">
        <v>15</v>
      </c>
      <c r="B38" s="129"/>
      <c r="C38" s="129"/>
      <c r="D38" s="129"/>
      <c r="E38" s="129"/>
      <c r="F38" s="129"/>
      <c r="G38" s="129"/>
      <c r="H38" s="124">
        <f ca="1">H32-H34+H35</f>
        <v>1335</v>
      </c>
    </row>
    <row r="39" spans="1:8" ht="15.75" customHeight="1" thickTop="1" thickBot="1">
      <c r="A39" s="129" t="s">
        <v>187</v>
      </c>
      <c r="B39" s="129"/>
      <c r="C39" s="129"/>
      <c r="D39" s="129"/>
      <c r="E39" s="129"/>
      <c r="F39" s="129"/>
      <c r="G39" s="129"/>
      <c r="H39" s="124">
        <f ca="1">ROUND(IF(B13="",H38,H38*B13),0)</f>
        <v>1335</v>
      </c>
    </row>
    <row r="40" spans="1:8" ht="13.5" thickTop="1">
      <c r="A40" s="38"/>
      <c r="B40" s="38"/>
      <c r="C40" s="38"/>
      <c r="D40" s="38"/>
      <c r="E40" s="38"/>
      <c r="F40" s="38"/>
      <c r="G40" s="38"/>
      <c r="H40" s="38"/>
    </row>
    <row r="41" spans="1:8">
      <c r="A41" s="38" t="s">
        <v>16</v>
      </c>
      <c r="B41" s="38"/>
      <c r="C41" s="38"/>
      <c r="D41" s="38"/>
      <c r="E41" s="38"/>
      <c r="F41" s="38"/>
      <c r="G41" s="38"/>
      <c r="H41" s="38"/>
    </row>
    <row r="42" spans="1:8" ht="39.950000000000003" customHeight="1">
      <c r="A42" s="41"/>
      <c r="B42" s="41"/>
      <c r="C42" s="41"/>
      <c r="D42" s="38"/>
      <c r="E42" s="395"/>
      <c r="F42" s="396"/>
      <c r="G42" s="396"/>
      <c r="H42" s="396"/>
    </row>
    <row r="43" spans="1:8" ht="8.25" customHeight="1">
      <c r="A43" s="386" t="s">
        <v>17</v>
      </c>
      <c r="B43" s="42"/>
      <c r="C43" s="42"/>
      <c r="D43" s="42"/>
      <c r="E43" s="396"/>
      <c r="F43" s="396"/>
      <c r="G43" s="396"/>
      <c r="H43" s="396"/>
    </row>
    <row r="44" spans="1:8" ht="39.950000000000003" customHeight="1">
      <c r="A44" s="41"/>
      <c r="B44" s="41"/>
      <c r="C44" s="41"/>
      <c r="D44" s="42"/>
      <c r="E44" s="396"/>
      <c r="F44" s="396"/>
      <c r="G44" s="396"/>
      <c r="H44" s="396"/>
    </row>
    <row r="45" spans="1:8" ht="8.25" customHeight="1">
      <c r="A45" s="386" t="str">
        <f>IF(B8="","Fastighetsägare",B8)</f>
        <v>Fastighetsägare</v>
      </c>
      <c r="B45" s="42"/>
      <c r="C45" s="42"/>
      <c r="D45" s="42"/>
      <c r="E45" s="396"/>
      <c r="F45" s="396"/>
      <c r="G45" s="396"/>
      <c r="H45" s="396"/>
    </row>
    <row r="46" spans="1:8" ht="39.950000000000003" customHeight="1">
      <c r="A46" s="41"/>
      <c r="B46" s="41"/>
      <c r="C46" s="41"/>
      <c r="D46" s="42"/>
      <c r="E46" s="396"/>
      <c r="F46" s="396"/>
      <c r="G46" s="396"/>
      <c r="H46" s="396"/>
    </row>
    <row r="47" spans="1:8" ht="8.25" customHeight="1">
      <c r="A47" s="386" t="str">
        <f>IF(B9="","Fastighetsägare",B9)</f>
        <v xml:space="preserve"> </v>
      </c>
      <c r="B47" s="42"/>
      <c r="C47" s="42"/>
      <c r="D47" s="42"/>
      <c r="E47" s="396"/>
      <c r="F47" s="396"/>
      <c r="G47" s="396"/>
      <c r="H47" s="396"/>
    </row>
    <row r="48" spans="1:8" ht="39.950000000000003" customHeight="1">
      <c r="A48" s="41"/>
      <c r="B48" s="41"/>
      <c r="C48" s="41"/>
      <c r="D48" s="43"/>
      <c r="E48" s="396"/>
      <c r="F48" s="396"/>
      <c r="G48" s="396"/>
      <c r="H48" s="396"/>
    </row>
    <row r="49" spans="1:8" ht="8.25" customHeight="1">
      <c r="A49" s="386" t="str">
        <f>IF(B10="","Fastighetsägare",B10)</f>
        <v xml:space="preserve"> </v>
      </c>
      <c r="B49" s="42"/>
      <c r="C49" s="42"/>
      <c r="D49" s="43"/>
      <c r="E49" s="42"/>
      <c r="F49" s="42"/>
      <c r="G49" s="42"/>
      <c r="H49" s="42"/>
    </row>
  </sheetData>
  <sheetProtection password="836F" sheet="1"/>
  <protectedRanges>
    <protectedRange sqref="A45 A47 A49" name="Område3"/>
    <protectedRange sqref="F29" name="Område1"/>
    <protectedRange sqref="E42:H48" name="Område2"/>
  </protectedRanges>
  <mergeCells count="18">
    <mergeCell ref="B5:C5"/>
    <mergeCell ref="B6:C6"/>
    <mergeCell ref="B7:C7"/>
    <mergeCell ref="F5:H5"/>
    <mergeCell ref="F13:H13"/>
    <mergeCell ref="F9:H9"/>
    <mergeCell ref="F6:H6"/>
    <mergeCell ref="F7:H7"/>
    <mergeCell ref="F8:H8"/>
    <mergeCell ref="F10:H10"/>
    <mergeCell ref="F11:H11"/>
    <mergeCell ref="F12:H12"/>
    <mergeCell ref="B8:C8"/>
    <mergeCell ref="B10:C10"/>
    <mergeCell ref="E42:H48"/>
    <mergeCell ref="B11:C11"/>
    <mergeCell ref="B12:C12"/>
    <mergeCell ref="B13:C13"/>
  </mergeCells>
  <phoneticPr fontId="30" type="noConversion"/>
  <pageMargins left="0.77" right="0.27559055118110237" top="0.47244094488188981" bottom="0.48" header="0.39370078740157483" footer="0.4"/>
  <pageSetup paperSize="9" scale="99" orientation="portrait" r:id="rId1"/>
  <headerFooter alignWithMargins="0"/>
  <ignoredErrors>
    <ignoredError sqref="H29" unlockedFormula="1"/>
  </ignoredError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Blad10"/>
  <dimension ref="A1:V40"/>
  <sheetViews>
    <sheetView zoomScaleNormal="75" workbookViewId="0">
      <selection activeCell="M15" sqref="M15"/>
    </sheetView>
  </sheetViews>
  <sheetFormatPr defaultRowHeight="12.75"/>
  <cols>
    <col min="1" max="21" width="6.28515625" customWidth="1"/>
    <col min="22" max="22" width="1.42578125" customWidth="1"/>
  </cols>
  <sheetData>
    <row r="1" spans="1:22" ht="4.5" customHeight="1">
      <c r="A1" s="55"/>
      <c r="U1">
        <v>1996</v>
      </c>
    </row>
    <row r="3" spans="1:22" ht="15.75">
      <c r="A3" s="56" t="s">
        <v>101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2" ht="20.100000000000001" customHeight="1">
      <c r="A4" s="56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2">
      <c r="A5" s="58" t="s">
        <v>102</v>
      </c>
      <c r="B5" s="3"/>
      <c r="C5" s="3"/>
      <c r="D5" s="58" t="s">
        <v>130</v>
      </c>
      <c r="E5" s="3"/>
      <c r="F5" s="3"/>
      <c r="G5" s="58" t="s">
        <v>104</v>
      </c>
      <c r="H5" s="3"/>
      <c r="I5" s="463">
        <v>38777</v>
      </c>
      <c r="J5" s="463"/>
      <c r="K5" s="3"/>
      <c r="M5" s="3"/>
      <c r="N5" s="3"/>
      <c r="O5" s="3"/>
      <c r="P5" s="60" t="s">
        <v>105</v>
      </c>
      <c r="Q5" s="466">
        <v>282.89</v>
      </c>
      <c r="R5" s="466"/>
      <c r="S5" s="3"/>
      <c r="T5" s="3"/>
      <c r="U5" s="3"/>
    </row>
    <row r="6" spans="1:22">
      <c r="A6" s="61"/>
      <c r="B6" s="62"/>
      <c r="C6" s="62"/>
      <c r="D6" s="61"/>
      <c r="E6" s="62"/>
      <c r="F6" s="62"/>
      <c r="G6" s="61"/>
      <c r="H6" s="62"/>
      <c r="I6" s="63"/>
      <c r="J6" s="62"/>
      <c r="K6" s="62"/>
      <c r="L6" s="61"/>
      <c r="M6" s="62"/>
      <c r="N6" s="62"/>
      <c r="O6" s="62"/>
      <c r="P6" s="62"/>
      <c r="Q6" s="61"/>
      <c r="R6" s="62"/>
      <c r="S6" s="62"/>
      <c r="T6" s="62"/>
      <c r="U6" s="62"/>
    </row>
    <row r="7" spans="1:22">
      <c r="A7" s="58"/>
      <c r="B7" s="3"/>
      <c r="C7" s="3"/>
      <c r="D7" s="58"/>
      <c r="E7" s="3"/>
      <c r="F7" s="3"/>
      <c r="G7" s="58"/>
      <c r="H7" s="3"/>
      <c r="I7" s="59"/>
      <c r="J7" s="3"/>
      <c r="K7" s="3"/>
      <c r="L7" s="58"/>
      <c r="M7" s="3"/>
      <c r="N7" s="3"/>
      <c r="O7" s="3"/>
      <c r="P7" s="3"/>
      <c r="Q7" s="58"/>
      <c r="R7" s="3"/>
      <c r="S7" s="3"/>
      <c r="T7" s="3"/>
      <c r="U7" s="3"/>
    </row>
    <row r="8" spans="1:22">
      <c r="A8" s="58" t="s">
        <v>106</v>
      </c>
      <c r="B8" s="3"/>
      <c r="C8" s="3"/>
      <c r="D8" s="58"/>
      <c r="E8" s="3"/>
      <c r="F8" s="3"/>
      <c r="G8" s="58"/>
      <c r="H8" s="3"/>
      <c r="I8" s="59"/>
      <c r="J8" s="3"/>
      <c r="K8" s="3"/>
      <c r="L8" s="58"/>
      <c r="M8" s="3"/>
      <c r="N8" s="3"/>
      <c r="O8" s="3"/>
      <c r="P8" s="3"/>
      <c r="Q8" s="58"/>
      <c r="R8" s="3"/>
      <c r="S8" s="3"/>
      <c r="T8" s="3"/>
      <c r="U8" s="3"/>
    </row>
    <row r="9" spans="1:22" ht="13.5" thickBot="1">
      <c r="A9" s="58"/>
      <c r="B9" s="3"/>
      <c r="C9" s="3"/>
      <c r="D9" s="58"/>
      <c r="E9" s="3"/>
      <c r="F9" s="3"/>
      <c r="G9" s="58"/>
      <c r="H9" s="3"/>
      <c r="I9" s="59"/>
      <c r="J9" s="3"/>
      <c r="K9" s="3"/>
      <c r="L9" s="58"/>
      <c r="M9" s="3"/>
      <c r="N9" s="3"/>
      <c r="O9" s="3"/>
      <c r="P9" s="3"/>
      <c r="Q9" s="58"/>
      <c r="R9" s="3"/>
      <c r="S9" s="3"/>
      <c r="T9" s="3"/>
      <c r="U9" s="3"/>
    </row>
    <row r="10" spans="1:22" ht="13.5" thickTop="1">
      <c r="A10" s="64"/>
      <c r="B10" s="65" t="s">
        <v>59</v>
      </c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6"/>
    </row>
    <row r="11" spans="1:22">
      <c r="A11" s="67" t="s">
        <v>60</v>
      </c>
      <c r="B11" s="68">
        <v>1</v>
      </c>
      <c r="C11" s="68">
        <v>2</v>
      </c>
      <c r="D11" s="68">
        <v>3</v>
      </c>
      <c r="E11" s="68">
        <v>4</v>
      </c>
      <c r="F11" s="68">
        <v>5</v>
      </c>
      <c r="G11" s="68">
        <v>6</v>
      </c>
      <c r="H11" s="68">
        <v>7</v>
      </c>
      <c r="I11" s="68">
        <v>8</v>
      </c>
      <c r="J11" s="68">
        <v>9</v>
      </c>
      <c r="K11" s="68">
        <v>10</v>
      </c>
      <c r="L11" s="68">
        <v>11</v>
      </c>
      <c r="M11" s="68">
        <v>12</v>
      </c>
      <c r="N11" s="68">
        <v>13</v>
      </c>
      <c r="O11" s="68">
        <v>14</v>
      </c>
      <c r="P11" s="68">
        <v>15</v>
      </c>
      <c r="Q11" s="68">
        <v>16</v>
      </c>
      <c r="R11" s="68">
        <v>17</v>
      </c>
      <c r="S11" s="68">
        <v>18</v>
      </c>
      <c r="T11" s="68">
        <v>19</v>
      </c>
      <c r="U11" s="69">
        <v>20</v>
      </c>
      <c r="V11" s="66"/>
    </row>
    <row r="12" spans="1:22" ht="18" customHeight="1">
      <c r="A12" s="70">
        <v>1</v>
      </c>
      <c r="B12" s="309">
        <v>8879</v>
      </c>
      <c r="C12" s="117">
        <v>9767</v>
      </c>
      <c r="D12" s="117">
        <v>10655</v>
      </c>
      <c r="E12" s="117">
        <v>11543</v>
      </c>
      <c r="F12" s="309">
        <v>12505</v>
      </c>
      <c r="G12" s="117">
        <v>13380</v>
      </c>
      <c r="H12" s="117">
        <v>14256</v>
      </c>
      <c r="I12" s="117">
        <v>15131</v>
      </c>
      <c r="J12" s="117">
        <v>16006</v>
      </c>
      <c r="K12" s="117">
        <v>16882</v>
      </c>
      <c r="L12" s="117">
        <v>17873</v>
      </c>
      <c r="M12" s="117">
        <v>18607</v>
      </c>
      <c r="N12" s="117">
        <v>19341</v>
      </c>
      <c r="O12" s="117">
        <v>20076</v>
      </c>
      <c r="P12" s="117">
        <v>20810</v>
      </c>
      <c r="Q12" s="307">
        <v>21545</v>
      </c>
      <c r="R12" s="307">
        <v>21545</v>
      </c>
      <c r="S12" s="117">
        <v>23014</v>
      </c>
      <c r="T12" s="117">
        <v>23748</v>
      </c>
      <c r="U12" s="307">
        <v>25635</v>
      </c>
      <c r="V12" s="66"/>
    </row>
    <row r="13" spans="1:22" ht="18" customHeight="1">
      <c r="A13" s="70">
        <v>2</v>
      </c>
      <c r="B13" s="117"/>
      <c r="C13" s="117">
        <v>10353</v>
      </c>
      <c r="D13" s="117">
        <v>11294</v>
      </c>
      <c r="E13" s="117">
        <v>12235</v>
      </c>
      <c r="F13" s="117">
        <v>13005</v>
      </c>
      <c r="G13" s="117">
        <v>13918</v>
      </c>
      <c r="H13" s="117">
        <v>14831</v>
      </c>
      <c r="I13" s="117">
        <v>15731</v>
      </c>
      <c r="J13" s="117">
        <v>16644</v>
      </c>
      <c r="K13" s="117">
        <v>17495</v>
      </c>
      <c r="L13" s="117">
        <v>18245</v>
      </c>
      <c r="M13" s="117">
        <v>18995</v>
      </c>
      <c r="N13" s="117">
        <v>19744</v>
      </c>
      <c r="O13" s="117">
        <v>20494</v>
      </c>
      <c r="P13" s="117">
        <v>21244</v>
      </c>
      <c r="Q13" s="117">
        <v>21994</v>
      </c>
      <c r="R13" s="117">
        <v>22744</v>
      </c>
      <c r="S13" s="117">
        <v>23493</v>
      </c>
      <c r="T13" s="117">
        <v>24243</v>
      </c>
      <c r="U13" s="307">
        <v>26661</v>
      </c>
      <c r="V13" s="66"/>
    </row>
    <row r="14" spans="1:22" ht="18" customHeight="1">
      <c r="A14" s="70">
        <v>3</v>
      </c>
      <c r="B14" s="117"/>
      <c r="C14" s="117"/>
      <c r="D14" s="117">
        <v>11933</v>
      </c>
      <c r="E14" s="117">
        <v>12928</v>
      </c>
      <c r="F14" s="117">
        <v>13505</v>
      </c>
      <c r="G14" s="117">
        <v>14456</v>
      </c>
      <c r="H14" s="117">
        <v>15394</v>
      </c>
      <c r="I14" s="117">
        <v>16344</v>
      </c>
      <c r="J14" s="117">
        <v>17282</v>
      </c>
      <c r="K14" s="117">
        <v>18232</v>
      </c>
      <c r="L14" s="117">
        <v>18617</v>
      </c>
      <c r="M14" s="117">
        <v>19382</v>
      </c>
      <c r="N14" s="117">
        <v>20147</v>
      </c>
      <c r="O14" s="117">
        <v>20912</v>
      </c>
      <c r="P14" s="117">
        <v>21678</v>
      </c>
      <c r="Q14" s="117">
        <v>22443</v>
      </c>
      <c r="R14" s="117">
        <v>23208</v>
      </c>
      <c r="S14" s="117">
        <v>23973</v>
      </c>
      <c r="T14" s="117">
        <v>24738</v>
      </c>
      <c r="U14" s="388">
        <v>25503</v>
      </c>
      <c r="V14" s="66"/>
    </row>
    <row r="15" spans="1:22" ht="18" customHeight="1">
      <c r="A15" s="70">
        <v>4</v>
      </c>
      <c r="B15" s="117"/>
      <c r="C15" s="117"/>
      <c r="D15" s="117"/>
      <c r="E15" s="117">
        <v>13620</v>
      </c>
      <c r="F15" s="117">
        <v>14006</v>
      </c>
      <c r="G15" s="117">
        <v>14981</v>
      </c>
      <c r="H15" s="117">
        <v>15969</v>
      </c>
      <c r="I15" s="117">
        <v>16944</v>
      </c>
      <c r="J15" s="307">
        <v>17932</v>
      </c>
      <c r="K15" s="307">
        <v>18908</v>
      </c>
      <c r="L15" s="117">
        <v>18990</v>
      </c>
      <c r="M15" s="117">
        <v>19770</v>
      </c>
      <c r="N15" s="117">
        <v>20550</v>
      </c>
      <c r="O15" s="117">
        <v>21331</v>
      </c>
      <c r="P15" s="117">
        <v>22111</v>
      </c>
      <c r="Q15" s="117">
        <v>22891</v>
      </c>
      <c r="R15" s="117">
        <v>23672</v>
      </c>
      <c r="S15" s="117">
        <v>24452</v>
      </c>
      <c r="T15" s="117">
        <v>25233</v>
      </c>
      <c r="U15" s="117">
        <v>26013</v>
      </c>
      <c r="V15" s="66"/>
    </row>
    <row r="16" spans="1:22" ht="18" customHeight="1">
      <c r="A16" s="70">
        <v>5</v>
      </c>
      <c r="B16" s="117"/>
      <c r="C16" s="117"/>
      <c r="D16" s="117"/>
      <c r="E16" s="117"/>
      <c r="F16" s="117">
        <v>14506</v>
      </c>
      <c r="G16" s="117">
        <v>15519</v>
      </c>
      <c r="H16" s="117">
        <v>16537</v>
      </c>
      <c r="I16" s="117">
        <v>17557</v>
      </c>
      <c r="J16" s="307">
        <v>17770</v>
      </c>
      <c r="K16" s="307">
        <v>18566</v>
      </c>
      <c r="L16" s="117">
        <v>19362</v>
      </c>
      <c r="M16" s="117">
        <v>20158</v>
      </c>
      <c r="N16" s="117">
        <v>20953</v>
      </c>
      <c r="O16" s="117">
        <v>21749</v>
      </c>
      <c r="P16" s="117">
        <v>22545</v>
      </c>
      <c r="Q16" s="117">
        <v>23340</v>
      </c>
      <c r="R16" s="117">
        <v>24136</v>
      </c>
      <c r="S16" s="117">
        <v>24932</v>
      </c>
      <c r="T16" s="117">
        <v>25727</v>
      </c>
      <c r="U16" s="117">
        <v>26523</v>
      </c>
      <c r="V16" s="66"/>
    </row>
    <row r="17" spans="1:22" ht="18" customHeight="1">
      <c r="A17" s="70">
        <v>6</v>
      </c>
      <c r="B17" s="117"/>
      <c r="C17" s="117"/>
      <c r="D17" s="117"/>
      <c r="E17" s="117"/>
      <c r="F17" s="117"/>
      <c r="G17" s="117">
        <v>16056</v>
      </c>
      <c r="H17" s="117">
        <v>17019</v>
      </c>
      <c r="I17" s="117">
        <v>17566</v>
      </c>
      <c r="J17" s="117">
        <v>18112</v>
      </c>
      <c r="K17" s="117">
        <v>18923</v>
      </c>
      <c r="L17" s="117">
        <v>19734</v>
      </c>
      <c r="M17" s="117">
        <v>20545</v>
      </c>
      <c r="N17" s="117">
        <v>21356</v>
      </c>
      <c r="O17" s="117">
        <v>22167</v>
      </c>
      <c r="P17" s="117">
        <v>22978</v>
      </c>
      <c r="Q17" s="117">
        <v>23789</v>
      </c>
      <c r="R17" s="117">
        <v>24600</v>
      </c>
      <c r="S17" s="117">
        <v>25411</v>
      </c>
      <c r="T17" s="117">
        <v>26222</v>
      </c>
      <c r="U17" s="117">
        <v>27054</v>
      </c>
      <c r="V17" s="66"/>
    </row>
    <row r="18" spans="1:22" ht="18" customHeight="1" thickBot="1">
      <c r="A18" s="71">
        <v>7</v>
      </c>
      <c r="B18" s="118"/>
      <c r="C18" s="118"/>
      <c r="D18" s="118"/>
      <c r="E18" s="118"/>
      <c r="F18" s="118"/>
      <c r="G18" s="118"/>
      <c r="H18" s="117">
        <v>17682</v>
      </c>
      <c r="I18" s="117">
        <v>18068</v>
      </c>
      <c r="J18" s="117">
        <v>18454</v>
      </c>
      <c r="K18" s="117">
        <v>19280</v>
      </c>
      <c r="L18" s="117">
        <v>20107</v>
      </c>
      <c r="M18" s="117">
        <v>20933</v>
      </c>
      <c r="N18" s="117">
        <v>21759</v>
      </c>
      <c r="O18" s="117">
        <v>22585</v>
      </c>
      <c r="P18" s="117">
        <v>23412</v>
      </c>
      <c r="Q18" s="117">
        <v>24238</v>
      </c>
      <c r="R18" s="117">
        <v>25064</v>
      </c>
      <c r="S18" s="117">
        <v>25891</v>
      </c>
      <c r="T18" s="117">
        <v>26717</v>
      </c>
      <c r="U18" s="117">
        <v>27584</v>
      </c>
      <c r="V18" s="66"/>
    </row>
    <row r="19" spans="1:22" ht="13.5" thickTop="1">
      <c r="A19" s="65"/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</row>
    <row r="20" spans="1:22">
      <c r="A20" s="13"/>
      <c r="B20" s="13"/>
      <c r="C20" s="13"/>
      <c r="D20" s="13"/>
      <c r="E20" s="13"/>
      <c r="F20" s="72" t="s">
        <v>107</v>
      </c>
      <c r="G20" s="73">
        <v>765</v>
      </c>
      <c r="H20" s="74" t="s">
        <v>108</v>
      </c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</row>
    <row r="21" spans="1:22">
      <c r="A21" s="13"/>
      <c r="B21" s="13"/>
      <c r="C21" s="13"/>
      <c r="D21" s="13"/>
      <c r="E21" s="13"/>
      <c r="F21" s="72" t="s">
        <v>109</v>
      </c>
      <c r="G21" s="73">
        <v>510</v>
      </c>
      <c r="H21" s="74" t="s">
        <v>108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spans="1:22">
      <c r="A22" s="13"/>
      <c r="B22" s="13"/>
      <c r="C22" s="13"/>
      <c r="D22" s="13"/>
      <c r="E22" s="13"/>
      <c r="F22" s="72"/>
      <c r="G22" s="73"/>
      <c r="H22" s="74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</row>
    <row r="23" spans="1:22">
      <c r="A23" s="3"/>
      <c r="B23" s="3"/>
      <c r="C23" s="3"/>
      <c r="D23" s="3"/>
      <c r="E23" s="3"/>
      <c r="F23" s="75"/>
      <c r="G23" s="76"/>
      <c r="H23" s="77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>
      <c r="A24" s="78" t="s">
        <v>110</v>
      </c>
    </row>
    <row r="25" spans="1:22" ht="13.5" thickBot="1">
      <c r="A25" s="79"/>
      <c r="B25" s="79"/>
      <c r="C25" s="79"/>
      <c r="D25" s="79"/>
      <c r="E25" s="79"/>
      <c r="F25" s="79"/>
      <c r="G25" s="79"/>
    </row>
    <row r="26" spans="1:22" ht="18" customHeight="1" thickTop="1">
      <c r="A26" s="80" t="s">
        <v>111</v>
      </c>
      <c r="F26" s="81" t="s">
        <v>112</v>
      </c>
      <c r="G26" s="82"/>
    </row>
    <row r="27" spans="1:22" ht="18" customHeight="1">
      <c r="A27" s="83" t="s">
        <v>113</v>
      </c>
      <c r="B27" s="84"/>
      <c r="C27" s="84"/>
      <c r="D27" s="84"/>
      <c r="E27" s="84"/>
      <c r="F27" s="85"/>
      <c r="G27" s="86"/>
    </row>
    <row r="28" spans="1:22" ht="18" customHeight="1">
      <c r="A28" s="87"/>
      <c r="B28" s="88"/>
      <c r="C28" s="88"/>
      <c r="D28" s="88"/>
      <c r="F28" s="89" t="s">
        <v>114</v>
      </c>
      <c r="G28" s="90" t="s">
        <v>115</v>
      </c>
    </row>
    <row r="29" spans="1:22" ht="18" customHeight="1">
      <c r="A29" s="91" t="s">
        <v>116</v>
      </c>
      <c r="B29" s="92" t="s">
        <v>117</v>
      </c>
      <c r="C29" s="92" t="s">
        <v>118</v>
      </c>
      <c r="D29" s="92" t="s">
        <v>119</v>
      </c>
      <c r="E29" s="92" t="s">
        <v>120</v>
      </c>
      <c r="F29" s="93" t="s">
        <v>121</v>
      </c>
      <c r="G29" s="94" t="s">
        <v>122</v>
      </c>
    </row>
    <row r="30" spans="1:22" ht="18" customHeight="1" thickBot="1">
      <c r="A30" s="95">
        <v>20</v>
      </c>
      <c r="B30" s="96">
        <v>25</v>
      </c>
      <c r="C30" s="96">
        <v>30</v>
      </c>
      <c r="D30" s="96">
        <v>100</v>
      </c>
      <c r="E30" s="96">
        <v>100</v>
      </c>
      <c r="F30" s="97">
        <v>15</v>
      </c>
      <c r="G30" s="98">
        <v>10</v>
      </c>
    </row>
    <row r="31" spans="1:22" ht="13.5" thickTop="1">
      <c r="A31" s="99"/>
      <c r="B31" s="99"/>
      <c r="C31" s="99"/>
      <c r="D31" s="99"/>
      <c r="E31" s="99"/>
      <c r="F31" s="99"/>
      <c r="G31" s="99"/>
    </row>
    <row r="32" spans="1:22">
      <c r="U32" s="100" t="s">
        <v>131</v>
      </c>
    </row>
    <row r="34" spans="1:5">
      <c r="A34" s="12"/>
    </row>
    <row r="35" spans="1:5" hidden="1"/>
    <row r="36" spans="1:5" hidden="1">
      <c r="A36">
        <v>0</v>
      </c>
      <c r="B36">
        <v>0.2</v>
      </c>
      <c r="D36" t="s">
        <v>124</v>
      </c>
      <c r="E36">
        <v>0.15</v>
      </c>
    </row>
    <row r="37" spans="1:5" hidden="1">
      <c r="A37">
        <v>1</v>
      </c>
      <c r="B37">
        <v>0.25</v>
      </c>
      <c r="D37" t="s">
        <v>125</v>
      </c>
      <c r="E37">
        <v>0.1</v>
      </c>
    </row>
    <row r="38" spans="1:5" hidden="1">
      <c r="A38">
        <v>2</v>
      </c>
      <c r="B38">
        <v>0.3</v>
      </c>
    </row>
    <row r="39" spans="1:5" hidden="1">
      <c r="A39">
        <v>3</v>
      </c>
      <c r="B39">
        <v>1</v>
      </c>
    </row>
    <row r="40" spans="1:5" hidden="1">
      <c r="A40">
        <v>14.99</v>
      </c>
      <c r="B40">
        <v>1</v>
      </c>
    </row>
  </sheetData>
  <sheetProtection password="836F" sheet="1" objects="1" scenarios="1"/>
  <mergeCells count="2">
    <mergeCell ref="I5:J5"/>
    <mergeCell ref="Q5:R5"/>
  </mergeCells>
  <phoneticPr fontId="30" type="noConversion"/>
  <pageMargins left="0.59055118110236227" right="0.59055118110236227" top="0.78740157480314965" bottom="0.51181102362204722" header="0.51181102362204722" footer="0.31496062992125984"/>
  <pageSetup paperSize="9" orientation="landscape" horizontalDpi="300" verticalDpi="300" r:id="rId1"/>
  <headerFooter alignWithMargins="0">
    <oddHeader>&amp;L&amp;"Times New Roman,Normal"2007-11-06</oddHeader>
    <oddFooter>&amp;L&amp;8*\&amp;F\&amp;A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codeName="Blad12"/>
  <dimension ref="A1:V40"/>
  <sheetViews>
    <sheetView topLeftCell="A11" zoomScaleNormal="75" workbookViewId="0">
      <selection activeCell="O16" sqref="O16"/>
    </sheetView>
  </sheetViews>
  <sheetFormatPr defaultRowHeight="12.75"/>
  <cols>
    <col min="1" max="21" width="6.28515625" customWidth="1"/>
    <col min="22" max="22" width="1.42578125" customWidth="1"/>
  </cols>
  <sheetData>
    <row r="1" spans="1:22" ht="5.25" customHeight="1">
      <c r="A1" s="55"/>
      <c r="U1">
        <v>1996</v>
      </c>
    </row>
    <row r="3" spans="1:22" ht="15.75">
      <c r="A3" s="56" t="s">
        <v>101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2" ht="20.100000000000001" customHeight="1">
      <c r="A4" s="56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2">
      <c r="A5" s="58" t="s">
        <v>102</v>
      </c>
      <c r="B5" s="3"/>
      <c r="C5" s="3"/>
      <c r="D5" s="58" t="s">
        <v>134</v>
      </c>
      <c r="E5" s="3"/>
      <c r="F5" s="3"/>
      <c r="G5" s="58" t="s">
        <v>104</v>
      </c>
      <c r="H5" s="3"/>
      <c r="I5" s="463">
        <v>38777</v>
      </c>
      <c r="J5" s="463"/>
      <c r="K5" s="3"/>
      <c r="M5" s="3"/>
      <c r="N5" s="3"/>
      <c r="O5" s="3"/>
      <c r="P5" s="60" t="s">
        <v>105</v>
      </c>
      <c r="Q5" s="466">
        <v>282.89</v>
      </c>
      <c r="R5" s="466"/>
      <c r="S5" s="3"/>
      <c r="T5" s="3"/>
      <c r="U5" s="3"/>
    </row>
    <row r="6" spans="1:22">
      <c r="A6" s="61"/>
      <c r="B6" s="62"/>
      <c r="C6" s="62"/>
      <c r="D6" s="61"/>
      <c r="E6" s="62"/>
      <c r="F6" s="62"/>
      <c r="G6" s="61"/>
      <c r="H6" s="62"/>
      <c r="I6" s="63"/>
      <c r="J6" s="62"/>
      <c r="K6" s="62"/>
      <c r="L6" s="61"/>
      <c r="M6" s="62"/>
      <c r="N6" s="62"/>
      <c r="O6" s="62"/>
      <c r="P6" s="62"/>
      <c r="Q6" s="61"/>
      <c r="R6" s="62"/>
      <c r="S6" s="62"/>
      <c r="T6" s="62"/>
      <c r="U6" s="62"/>
    </row>
    <row r="7" spans="1:22">
      <c r="A7" s="58"/>
      <c r="B7" s="3"/>
      <c r="C7" s="3"/>
      <c r="D7" s="58"/>
      <c r="E7" s="3"/>
      <c r="F7" s="3"/>
      <c r="G7" s="58"/>
      <c r="H7" s="3"/>
      <c r="I7" s="59"/>
      <c r="J7" s="3"/>
      <c r="K7" s="3"/>
      <c r="L7" s="58"/>
      <c r="M7" s="3"/>
      <c r="N7" s="3"/>
      <c r="O7" s="3"/>
      <c r="P7" s="3"/>
      <c r="Q7" s="58"/>
      <c r="R7" s="3"/>
      <c r="S7" s="3"/>
      <c r="T7" s="3"/>
      <c r="U7" s="3"/>
    </row>
    <row r="8" spans="1:22">
      <c r="A8" s="58" t="s">
        <v>106</v>
      </c>
      <c r="B8" s="3"/>
      <c r="C8" s="3"/>
      <c r="D8" s="58"/>
      <c r="E8" s="3"/>
      <c r="F8" s="3"/>
      <c r="G8" s="58"/>
      <c r="H8" s="3"/>
      <c r="I8" s="59"/>
      <c r="J8" s="3"/>
      <c r="K8" s="3"/>
      <c r="L8" s="58"/>
      <c r="M8" s="3"/>
      <c r="N8" s="3"/>
      <c r="O8" s="3"/>
      <c r="P8" s="3"/>
      <c r="Q8" s="58"/>
      <c r="R8" s="3"/>
      <c r="S8" s="3"/>
      <c r="T8" s="3"/>
      <c r="U8" s="3"/>
    </row>
    <row r="9" spans="1:22" ht="13.5" thickBot="1">
      <c r="A9" s="58"/>
      <c r="B9" s="3"/>
      <c r="C9" s="3"/>
      <c r="D9" s="58"/>
      <c r="E9" s="3"/>
      <c r="F9" s="3"/>
      <c r="G9" s="58"/>
      <c r="H9" s="3"/>
      <c r="I9" s="59"/>
      <c r="J9" s="3"/>
      <c r="K9" s="3"/>
      <c r="L9" s="58"/>
      <c r="M9" s="3"/>
      <c r="N9" s="3"/>
      <c r="O9" s="3"/>
      <c r="P9" s="3"/>
      <c r="Q9" s="58"/>
      <c r="R9" s="3"/>
      <c r="S9" s="3"/>
      <c r="T9" s="3"/>
      <c r="U9" s="3"/>
    </row>
    <row r="10" spans="1:22" ht="13.5" thickTop="1">
      <c r="A10" s="64"/>
      <c r="B10" s="65" t="s">
        <v>59</v>
      </c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6"/>
    </row>
    <row r="11" spans="1:22">
      <c r="A11" s="67" t="s">
        <v>60</v>
      </c>
      <c r="B11" s="68">
        <v>1</v>
      </c>
      <c r="C11" s="68">
        <v>2</v>
      </c>
      <c r="D11" s="68">
        <v>3</v>
      </c>
      <c r="E11" s="68">
        <v>4</v>
      </c>
      <c r="F11" s="68">
        <v>5</v>
      </c>
      <c r="G11" s="68">
        <v>6</v>
      </c>
      <c r="H11" s="68">
        <v>7</v>
      </c>
      <c r="I11" s="68">
        <v>8</v>
      </c>
      <c r="J11" s="68">
        <v>9</v>
      </c>
      <c r="K11" s="68">
        <v>10</v>
      </c>
      <c r="L11" s="68">
        <v>11</v>
      </c>
      <c r="M11" s="68">
        <v>12</v>
      </c>
      <c r="N11" s="68">
        <v>13</v>
      </c>
      <c r="O11" s="68">
        <v>14</v>
      </c>
      <c r="P11" s="68">
        <v>15</v>
      </c>
      <c r="Q11" s="68">
        <v>16</v>
      </c>
      <c r="R11" s="68">
        <v>17</v>
      </c>
      <c r="S11" s="68">
        <v>18</v>
      </c>
      <c r="T11" s="68">
        <v>19</v>
      </c>
      <c r="U11" s="69">
        <v>20</v>
      </c>
      <c r="V11" s="66"/>
    </row>
    <row r="12" spans="1:22" ht="18" customHeight="1">
      <c r="A12" s="70">
        <v>1</v>
      </c>
      <c r="B12" s="309">
        <v>9086</v>
      </c>
      <c r="C12" s="117">
        <v>9995</v>
      </c>
      <c r="D12" s="117">
        <v>10903</v>
      </c>
      <c r="E12" s="117">
        <v>11812</v>
      </c>
      <c r="F12" s="309">
        <v>12629</v>
      </c>
      <c r="G12" s="117">
        <v>13513</v>
      </c>
      <c r="H12" s="117">
        <v>14397</v>
      </c>
      <c r="I12" s="117">
        <v>15281</v>
      </c>
      <c r="J12" s="117">
        <v>16165</v>
      </c>
      <c r="K12" s="117">
        <v>17049</v>
      </c>
      <c r="L12" s="117">
        <v>18231</v>
      </c>
      <c r="M12" s="117">
        <v>18981</v>
      </c>
      <c r="N12" s="117">
        <v>19730</v>
      </c>
      <c r="O12" s="117">
        <v>20479</v>
      </c>
      <c r="P12" s="117">
        <v>21228</v>
      </c>
      <c r="Q12" s="307">
        <v>21977</v>
      </c>
      <c r="R12" s="307">
        <v>21977</v>
      </c>
      <c r="S12" s="117">
        <v>23476</v>
      </c>
      <c r="T12" s="117">
        <v>24225</v>
      </c>
      <c r="U12" s="117">
        <v>25889</v>
      </c>
      <c r="V12" s="66"/>
    </row>
    <row r="13" spans="1:22" ht="18" customHeight="1">
      <c r="A13" s="70">
        <v>2</v>
      </c>
      <c r="B13" s="117"/>
      <c r="C13" s="117">
        <v>10594</v>
      </c>
      <c r="D13" s="117">
        <v>11557</v>
      </c>
      <c r="E13" s="117">
        <v>12521</v>
      </c>
      <c r="F13" s="117">
        <v>13134</v>
      </c>
      <c r="G13" s="117">
        <v>14056</v>
      </c>
      <c r="H13" s="117">
        <v>14978</v>
      </c>
      <c r="I13" s="117">
        <v>15887</v>
      </c>
      <c r="J13" s="117">
        <v>16809</v>
      </c>
      <c r="K13" s="117">
        <v>17846</v>
      </c>
      <c r="L13" s="117">
        <v>18611</v>
      </c>
      <c r="M13" s="117">
        <v>19376</v>
      </c>
      <c r="N13" s="117">
        <v>20141</v>
      </c>
      <c r="O13" s="117">
        <v>20906</v>
      </c>
      <c r="P13" s="117">
        <v>21670</v>
      </c>
      <c r="Q13" s="117">
        <v>22435</v>
      </c>
      <c r="R13" s="117">
        <v>23200</v>
      </c>
      <c r="S13" s="117">
        <v>23965</v>
      </c>
      <c r="T13" s="117">
        <v>24730</v>
      </c>
      <c r="U13" s="307">
        <v>26925</v>
      </c>
      <c r="V13" s="66"/>
    </row>
    <row r="14" spans="1:22" ht="18" customHeight="1">
      <c r="A14" s="70">
        <v>3</v>
      </c>
      <c r="B14" s="117"/>
      <c r="C14" s="117"/>
      <c r="D14" s="117">
        <v>12212</v>
      </c>
      <c r="E14" s="117">
        <v>13229</v>
      </c>
      <c r="F14" s="117">
        <v>13639</v>
      </c>
      <c r="G14" s="117">
        <v>14599</v>
      </c>
      <c r="H14" s="117">
        <v>15546</v>
      </c>
      <c r="I14" s="117">
        <v>16506</v>
      </c>
      <c r="J14" s="117">
        <v>17453</v>
      </c>
      <c r="K14" s="117">
        <v>18413</v>
      </c>
      <c r="L14" s="117">
        <v>18991</v>
      </c>
      <c r="M14" s="117">
        <v>19771</v>
      </c>
      <c r="N14" s="117">
        <v>20552</v>
      </c>
      <c r="O14" s="117">
        <v>21332</v>
      </c>
      <c r="P14" s="117">
        <v>22113</v>
      </c>
      <c r="Q14" s="117">
        <v>22893</v>
      </c>
      <c r="R14" s="117">
        <v>23674</v>
      </c>
      <c r="S14" s="117">
        <v>24454</v>
      </c>
      <c r="T14" s="117">
        <v>25235</v>
      </c>
      <c r="U14" s="388">
        <v>26015</v>
      </c>
      <c r="V14" s="66"/>
    </row>
    <row r="15" spans="1:22" ht="18" customHeight="1">
      <c r="A15" s="70">
        <v>4</v>
      </c>
      <c r="B15" s="117"/>
      <c r="C15" s="117"/>
      <c r="D15" s="117"/>
      <c r="E15" s="117">
        <v>13938</v>
      </c>
      <c r="F15" s="117">
        <v>14144</v>
      </c>
      <c r="G15" s="117">
        <v>15130</v>
      </c>
      <c r="H15" s="117">
        <v>16127</v>
      </c>
      <c r="I15" s="117">
        <v>17112</v>
      </c>
      <c r="J15" s="117">
        <v>18110</v>
      </c>
      <c r="K15" s="307">
        <v>19095</v>
      </c>
      <c r="L15" s="117">
        <v>19371</v>
      </c>
      <c r="M15" s="117">
        <v>20167</v>
      </c>
      <c r="N15" s="117">
        <v>20963</v>
      </c>
      <c r="O15" s="117">
        <v>21759</v>
      </c>
      <c r="P15" s="117">
        <v>22555</v>
      </c>
      <c r="Q15" s="117">
        <v>23351</v>
      </c>
      <c r="R15" s="117">
        <v>24147</v>
      </c>
      <c r="S15" s="117">
        <v>24943</v>
      </c>
      <c r="T15" s="117">
        <v>25739</v>
      </c>
      <c r="U15" s="117">
        <v>26535</v>
      </c>
      <c r="V15" s="66"/>
    </row>
    <row r="16" spans="1:22" ht="18" customHeight="1">
      <c r="A16" s="70">
        <v>5</v>
      </c>
      <c r="B16" s="117"/>
      <c r="C16" s="117"/>
      <c r="D16" s="117"/>
      <c r="E16" s="117"/>
      <c r="F16" s="117">
        <v>14650</v>
      </c>
      <c r="G16" s="117">
        <v>15673</v>
      </c>
      <c r="H16" s="117">
        <v>16701</v>
      </c>
      <c r="I16" s="117">
        <v>17731</v>
      </c>
      <c r="J16" s="117">
        <v>18127</v>
      </c>
      <c r="K16" s="307">
        <v>18939</v>
      </c>
      <c r="L16" s="117">
        <v>19751</v>
      </c>
      <c r="M16" s="117">
        <v>20562</v>
      </c>
      <c r="N16" s="117">
        <v>21374</v>
      </c>
      <c r="O16" s="117">
        <v>22186</v>
      </c>
      <c r="P16" s="117">
        <v>22997</v>
      </c>
      <c r="Q16" s="117">
        <v>23809</v>
      </c>
      <c r="R16" s="117">
        <v>24621</v>
      </c>
      <c r="S16" s="117">
        <v>25432</v>
      </c>
      <c r="T16" s="117">
        <v>26244</v>
      </c>
      <c r="U16" s="117">
        <v>27056</v>
      </c>
      <c r="V16" s="66"/>
    </row>
    <row r="17" spans="1:22" ht="18" customHeight="1">
      <c r="A17" s="70">
        <v>6</v>
      </c>
      <c r="B17" s="117"/>
      <c r="C17" s="117"/>
      <c r="D17" s="117"/>
      <c r="E17" s="117"/>
      <c r="F17" s="117"/>
      <c r="G17" s="117">
        <v>16216</v>
      </c>
      <c r="H17" s="117">
        <v>17188</v>
      </c>
      <c r="I17" s="117">
        <v>17832</v>
      </c>
      <c r="J17" s="117">
        <v>18476</v>
      </c>
      <c r="K17" s="117">
        <v>19303</v>
      </c>
      <c r="L17" s="117">
        <v>20130</v>
      </c>
      <c r="M17" s="117">
        <v>20958</v>
      </c>
      <c r="N17" s="117">
        <v>21785</v>
      </c>
      <c r="O17" s="117">
        <v>22612</v>
      </c>
      <c r="P17" s="117">
        <v>23440</v>
      </c>
      <c r="Q17" s="117">
        <v>24267</v>
      </c>
      <c r="R17" s="117">
        <v>25094</v>
      </c>
      <c r="S17" s="117">
        <v>25921</v>
      </c>
      <c r="T17" s="117">
        <v>26749</v>
      </c>
      <c r="U17" s="117">
        <v>27597</v>
      </c>
      <c r="V17" s="66"/>
    </row>
    <row r="18" spans="1:22" ht="18" customHeight="1" thickBot="1">
      <c r="A18" s="71">
        <v>7</v>
      </c>
      <c r="B18" s="118"/>
      <c r="C18" s="118"/>
      <c r="D18" s="118"/>
      <c r="E18" s="118"/>
      <c r="F18" s="118"/>
      <c r="G18" s="118"/>
      <c r="H18" s="117">
        <v>17857</v>
      </c>
      <c r="I18" s="117">
        <v>18341</v>
      </c>
      <c r="J18" s="117">
        <v>18824</v>
      </c>
      <c r="K18" s="117">
        <v>19667</v>
      </c>
      <c r="L18" s="117">
        <v>20510</v>
      </c>
      <c r="M18" s="117">
        <v>21353</v>
      </c>
      <c r="N18" s="117">
        <v>22196</v>
      </c>
      <c r="O18" s="117">
        <v>23039</v>
      </c>
      <c r="P18" s="117">
        <v>23882</v>
      </c>
      <c r="Q18" s="117">
        <v>24725</v>
      </c>
      <c r="R18" s="117">
        <v>25568</v>
      </c>
      <c r="S18" s="117">
        <v>26410</v>
      </c>
      <c r="T18" s="117">
        <v>27253</v>
      </c>
      <c r="U18" s="117">
        <v>28138</v>
      </c>
      <c r="V18" s="66"/>
    </row>
    <row r="19" spans="1:22" ht="13.5" thickTop="1">
      <c r="A19" s="65"/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</row>
    <row r="20" spans="1:22">
      <c r="A20" s="13"/>
      <c r="B20" s="13"/>
      <c r="C20" s="13"/>
      <c r="D20" s="13"/>
      <c r="E20" s="13"/>
      <c r="F20" s="72" t="s">
        <v>107</v>
      </c>
      <c r="G20" s="73">
        <v>780</v>
      </c>
      <c r="H20" s="74" t="s">
        <v>108</v>
      </c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</row>
    <row r="21" spans="1:22">
      <c r="A21" s="13"/>
      <c r="B21" s="13"/>
      <c r="C21" s="13"/>
      <c r="D21" s="13"/>
      <c r="E21" s="13"/>
      <c r="F21" s="72" t="s">
        <v>109</v>
      </c>
      <c r="G21" s="73">
        <v>520</v>
      </c>
      <c r="H21" s="74" t="s">
        <v>108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spans="1:22">
      <c r="A22" s="13"/>
      <c r="B22" s="13"/>
      <c r="C22" s="13"/>
      <c r="D22" s="13"/>
      <c r="E22" s="13"/>
      <c r="F22" s="72"/>
      <c r="G22" s="73"/>
      <c r="H22" s="74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</row>
    <row r="23" spans="1:22">
      <c r="A23" s="3"/>
      <c r="B23" s="3"/>
      <c r="C23" s="3"/>
      <c r="D23" s="3"/>
      <c r="E23" s="3"/>
      <c r="F23" s="75"/>
      <c r="G23" s="76"/>
      <c r="H23" s="77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>
      <c r="A24" s="78" t="s">
        <v>110</v>
      </c>
    </row>
    <row r="25" spans="1:22" ht="13.5" thickBot="1">
      <c r="A25" s="79"/>
      <c r="B25" s="79"/>
      <c r="C25" s="79"/>
      <c r="D25" s="79"/>
      <c r="E25" s="79"/>
      <c r="F25" s="79"/>
      <c r="G25" s="79"/>
    </row>
    <row r="26" spans="1:22" ht="18" customHeight="1" thickTop="1">
      <c r="A26" s="80" t="s">
        <v>111</v>
      </c>
      <c r="F26" s="81" t="s">
        <v>112</v>
      </c>
      <c r="G26" s="82"/>
    </row>
    <row r="27" spans="1:22" ht="18" customHeight="1">
      <c r="A27" s="83" t="s">
        <v>113</v>
      </c>
      <c r="B27" s="84"/>
      <c r="C27" s="84"/>
      <c r="D27" s="84"/>
      <c r="E27" s="84"/>
      <c r="F27" s="85"/>
      <c r="G27" s="86"/>
    </row>
    <row r="28" spans="1:22" ht="18" customHeight="1">
      <c r="A28" s="87"/>
      <c r="B28" s="88"/>
      <c r="C28" s="88"/>
      <c r="D28" s="88"/>
      <c r="F28" s="89" t="s">
        <v>114</v>
      </c>
      <c r="G28" s="90" t="s">
        <v>115</v>
      </c>
    </row>
    <row r="29" spans="1:22" ht="18" customHeight="1">
      <c r="A29" s="91" t="s">
        <v>116</v>
      </c>
      <c r="B29" s="92" t="s">
        <v>117</v>
      </c>
      <c r="C29" s="92" t="s">
        <v>118</v>
      </c>
      <c r="D29" s="92" t="s">
        <v>119</v>
      </c>
      <c r="E29" s="92" t="s">
        <v>120</v>
      </c>
      <c r="F29" s="93" t="s">
        <v>121</v>
      </c>
      <c r="G29" s="94" t="s">
        <v>122</v>
      </c>
    </row>
    <row r="30" spans="1:22" ht="18" customHeight="1" thickBot="1">
      <c r="A30" s="95">
        <v>15</v>
      </c>
      <c r="B30" s="96">
        <v>20</v>
      </c>
      <c r="C30" s="96">
        <v>25</v>
      </c>
      <c r="D30" s="96">
        <v>100</v>
      </c>
      <c r="E30" s="96">
        <v>70</v>
      </c>
      <c r="F30" s="97">
        <v>15</v>
      </c>
      <c r="G30" s="98">
        <v>10</v>
      </c>
    </row>
    <row r="31" spans="1:22" ht="13.5" thickTop="1">
      <c r="A31" s="99"/>
      <c r="B31" s="99"/>
      <c r="C31" s="99"/>
      <c r="D31" s="99"/>
      <c r="E31" s="99"/>
      <c r="F31" s="99"/>
      <c r="G31" s="99"/>
    </row>
    <row r="32" spans="1:22">
      <c r="U32" s="100" t="s">
        <v>135</v>
      </c>
    </row>
    <row r="34" spans="1:5">
      <c r="A34" s="12"/>
    </row>
    <row r="35" spans="1:5" hidden="1"/>
    <row r="36" spans="1:5" hidden="1">
      <c r="A36">
        <v>0</v>
      </c>
      <c r="B36">
        <v>0.15</v>
      </c>
      <c r="D36" t="s">
        <v>124</v>
      </c>
      <c r="E36">
        <v>0.15</v>
      </c>
    </row>
    <row r="37" spans="1:5" hidden="1">
      <c r="A37">
        <v>1</v>
      </c>
      <c r="B37">
        <v>0.2</v>
      </c>
      <c r="D37" t="s">
        <v>125</v>
      </c>
      <c r="E37">
        <v>0.1</v>
      </c>
    </row>
    <row r="38" spans="1:5" hidden="1">
      <c r="A38">
        <v>2</v>
      </c>
      <c r="B38">
        <v>0.25</v>
      </c>
    </row>
    <row r="39" spans="1:5" hidden="1">
      <c r="A39">
        <v>3</v>
      </c>
      <c r="B39">
        <v>1</v>
      </c>
    </row>
    <row r="40" spans="1:5" hidden="1">
      <c r="A40">
        <v>14.99</v>
      </c>
      <c r="B40">
        <v>0.7</v>
      </c>
    </row>
  </sheetData>
  <sheetProtection password="836F" sheet="1" objects="1" scenarios="1"/>
  <mergeCells count="2">
    <mergeCell ref="I5:J5"/>
    <mergeCell ref="Q5:R5"/>
  </mergeCells>
  <phoneticPr fontId="30" type="noConversion"/>
  <pageMargins left="0.59055118110236227" right="0.59055118110236227" top="0.78740157480314965" bottom="0.51181102362204722" header="0.51181102362204722" footer="0.31496062992125984"/>
  <pageSetup paperSize="9" orientation="landscape" horizontalDpi="300" verticalDpi="300" r:id="rId1"/>
  <headerFooter alignWithMargins="0">
    <oddHeader>&amp;L&amp;"Times New Roman,Normal"2007-11-06</oddHeader>
    <oddFooter>&amp;L&amp;8*\&amp;F\&amp;A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codeName="Blad13"/>
  <dimension ref="A1:V40"/>
  <sheetViews>
    <sheetView topLeftCell="A11" zoomScaleNormal="75" workbookViewId="0">
      <selection activeCell="U18" sqref="U18"/>
    </sheetView>
  </sheetViews>
  <sheetFormatPr defaultRowHeight="12.75"/>
  <cols>
    <col min="1" max="8" width="6.28515625" customWidth="1"/>
    <col min="9" max="9" width="7.140625" customWidth="1"/>
    <col min="10" max="21" width="6.28515625" customWidth="1"/>
    <col min="22" max="22" width="1.42578125" customWidth="1"/>
  </cols>
  <sheetData>
    <row r="1" spans="1:22" ht="4.5" customHeight="1">
      <c r="A1" s="55"/>
      <c r="U1">
        <v>1996</v>
      </c>
    </row>
    <row r="3" spans="1:22" ht="15.75">
      <c r="A3" s="56" t="s">
        <v>101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2" ht="20.100000000000001" customHeight="1">
      <c r="A4" s="56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2">
      <c r="A5" s="58" t="s">
        <v>102</v>
      </c>
      <c r="B5" s="3"/>
      <c r="C5" s="3"/>
      <c r="D5" s="58" t="s">
        <v>136</v>
      </c>
      <c r="E5" s="3"/>
      <c r="F5" s="3"/>
      <c r="G5" s="58" t="s">
        <v>104</v>
      </c>
      <c r="H5" s="3"/>
      <c r="I5" s="59">
        <v>38777</v>
      </c>
      <c r="J5" s="3"/>
      <c r="K5" s="3"/>
      <c r="M5" s="3"/>
      <c r="N5" s="3"/>
      <c r="O5" s="3"/>
      <c r="P5" s="60" t="s">
        <v>105</v>
      </c>
      <c r="Q5" s="466">
        <v>282.89</v>
      </c>
      <c r="R5" s="466"/>
      <c r="S5" s="3"/>
      <c r="T5" s="3"/>
      <c r="U5" s="3"/>
    </row>
    <row r="6" spans="1:22">
      <c r="A6" s="61"/>
      <c r="B6" s="62"/>
      <c r="C6" s="62"/>
      <c r="D6" s="61"/>
      <c r="E6" s="62"/>
      <c r="F6" s="62"/>
      <c r="G6" s="61"/>
      <c r="H6" s="62"/>
      <c r="I6" s="63"/>
      <c r="J6" s="62"/>
      <c r="K6" s="62"/>
      <c r="L6" s="61"/>
      <c r="M6" s="62"/>
      <c r="N6" s="62"/>
      <c r="O6" s="62"/>
      <c r="P6" s="62"/>
      <c r="Q6" s="61"/>
      <c r="R6" s="62"/>
      <c r="S6" s="62"/>
      <c r="T6" s="62"/>
      <c r="U6" s="62"/>
    </row>
    <row r="7" spans="1:22">
      <c r="A7" s="58"/>
      <c r="B7" s="3"/>
      <c r="C7" s="3"/>
      <c r="D7" s="58"/>
      <c r="E7" s="3"/>
      <c r="F7" s="3"/>
      <c r="G7" s="58"/>
      <c r="H7" s="3"/>
      <c r="I7" s="59"/>
      <c r="J7" s="3"/>
      <c r="K7" s="3"/>
      <c r="L7" s="58"/>
      <c r="M7" s="3"/>
      <c r="N7" s="3"/>
      <c r="O7" s="3"/>
      <c r="P7" s="3"/>
      <c r="Q7" s="58"/>
      <c r="R7" s="3"/>
      <c r="S7" s="3"/>
      <c r="T7" s="3"/>
      <c r="U7" s="3"/>
    </row>
    <row r="8" spans="1:22">
      <c r="A8" s="58" t="s">
        <v>106</v>
      </c>
      <c r="B8" s="3"/>
      <c r="C8" s="3"/>
      <c r="D8" s="58"/>
      <c r="E8" s="3"/>
      <c r="F8" s="3"/>
      <c r="G8" s="58"/>
      <c r="H8" s="3"/>
      <c r="I8" s="59"/>
      <c r="J8" s="3"/>
      <c r="K8" s="3"/>
      <c r="L8" s="58"/>
      <c r="M8" s="3"/>
      <c r="N8" s="3"/>
      <c r="O8" s="3"/>
      <c r="P8" s="3"/>
      <c r="Q8" s="58"/>
      <c r="R8" s="3"/>
      <c r="S8" s="3"/>
      <c r="T8" s="3"/>
      <c r="U8" s="3"/>
    </row>
    <row r="9" spans="1:22" ht="13.5" thickBot="1">
      <c r="A9" s="58"/>
      <c r="B9" s="3"/>
      <c r="C9" s="3"/>
      <c r="D9" s="58"/>
      <c r="E9" s="3"/>
      <c r="F9" s="3"/>
      <c r="G9" s="58"/>
      <c r="H9" s="3"/>
      <c r="I9" s="59"/>
      <c r="J9" s="3"/>
      <c r="K9" s="3"/>
      <c r="L9" s="58"/>
      <c r="M9" s="3"/>
      <c r="N9" s="3"/>
      <c r="O9" s="3"/>
      <c r="P9" s="3"/>
      <c r="Q9" s="58"/>
      <c r="R9" s="3"/>
      <c r="S9" s="3"/>
      <c r="T9" s="3"/>
      <c r="U9" s="3"/>
    </row>
    <row r="10" spans="1:22" ht="13.5" thickTop="1">
      <c r="A10" s="64"/>
      <c r="B10" s="65" t="s">
        <v>59</v>
      </c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6"/>
    </row>
    <row r="11" spans="1:22">
      <c r="A11" s="67" t="s">
        <v>60</v>
      </c>
      <c r="B11" s="68">
        <v>1</v>
      </c>
      <c r="C11" s="68">
        <v>2</v>
      </c>
      <c r="D11" s="68">
        <v>3</v>
      </c>
      <c r="E11" s="68">
        <v>4</v>
      </c>
      <c r="F11" s="68">
        <v>5</v>
      </c>
      <c r="G11" s="68">
        <v>6</v>
      </c>
      <c r="H11" s="68">
        <v>7</v>
      </c>
      <c r="I11" s="68">
        <v>8</v>
      </c>
      <c r="J11" s="68">
        <v>9</v>
      </c>
      <c r="K11" s="68">
        <v>10</v>
      </c>
      <c r="L11" s="68">
        <v>11</v>
      </c>
      <c r="M11" s="68">
        <v>12</v>
      </c>
      <c r="N11" s="68">
        <v>13</v>
      </c>
      <c r="O11" s="68">
        <v>14</v>
      </c>
      <c r="P11" s="68">
        <v>15</v>
      </c>
      <c r="Q11" s="68">
        <v>16</v>
      </c>
      <c r="R11" s="68">
        <v>17</v>
      </c>
      <c r="S11" s="68">
        <v>18</v>
      </c>
      <c r="T11" s="68">
        <v>19</v>
      </c>
      <c r="U11" s="69">
        <v>20</v>
      </c>
      <c r="V11" s="66"/>
    </row>
    <row r="12" spans="1:22" ht="18" customHeight="1">
      <c r="A12" s="70">
        <v>1</v>
      </c>
      <c r="B12" s="309">
        <v>8197</v>
      </c>
      <c r="C12" s="117">
        <v>9017</v>
      </c>
      <c r="D12" s="117">
        <v>9836</v>
      </c>
      <c r="E12" s="117">
        <v>10656</v>
      </c>
      <c r="F12" s="309">
        <v>11570</v>
      </c>
      <c r="G12" s="117">
        <v>12380</v>
      </c>
      <c r="H12" s="117">
        <v>13190</v>
      </c>
      <c r="I12" s="117">
        <v>14000</v>
      </c>
      <c r="J12" s="117">
        <v>14810</v>
      </c>
      <c r="K12" s="117">
        <v>15620</v>
      </c>
      <c r="L12" s="117">
        <v>16467</v>
      </c>
      <c r="M12" s="117">
        <v>17144</v>
      </c>
      <c r="N12" s="117">
        <v>17821</v>
      </c>
      <c r="O12" s="117">
        <v>18498</v>
      </c>
      <c r="P12" s="117">
        <v>19174</v>
      </c>
      <c r="Q12" s="307">
        <v>19851</v>
      </c>
      <c r="R12" s="307">
        <v>19851</v>
      </c>
      <c r="S12" s="117">
        <v>21205</v>
      </c>
      <c r="T12" s="117">
        <v>21881</v>
      </c>
      <c r="U12" s="307">
        <v>23719</v>
      </c>
      <c r="V12" s="66"/>
    </row>
    <row r="13" spans="1:22" ht="18" customHeight="1">
      <c r="A13" s="70">
        <v>2</v>
      </c>
      <c r="B13" s="117"/>
      <c r="C13" s="117">
        <v>9558</v>
      </c>
      <c r="D13" s="117">
        <v>10427</v>
      </c>
      <c r="E13" s="117">
        <v>11295</v>
      </c>
      <c r="F13" s="117">
        <v>12033</v>
      </c>
      <c r="G13" s="117">
        <v>12877</v>
      </c>
      <c r="H13" s="117">
        <v>13722</v>
      </c>
      <c r="I13" s="117">
        <v>14555</v>
      </c>
      <c r="J13" s="117">
        <v>15400</v>
      </c>
      <c r="K13" s="117">
        <v>16120</v>
      </c>
      <c r="L13" s="117">
        <v>16810</v>
      </c>
      <c r="M13" s="117">
        <v>17501</v>
      </c>
      <c r="N13" s="117">
        <v>18192</v>
      </c>
      <c r="O13" s="117">
        <v>18883</v>
      </c>
      <c r="P13" s="117">
        <v>19574</v>
      </c>
      <c r="Q13" s="117">
        <v>20265</v>
      </c>
      <c r="R13" s="117">
        <v>20956</v>
      </c>
      <c r="S13" s="117">
        <v>21646</v>
      </c>
      <c r="T13" s="117">
        <v>22337</v>
      </c>
      <c r="U13" s="307">
        <v>24667</v>
      </c>
      <c r="V13" s="66"/>
    </row>
    <row r="14" spans="1:22" ht="18" customHeight="1">
      <c r="A14" s="70">
        <v>3</v>
      </c>
      <c r="B14" s="117"/>
      <c r="C14" s="117"/>
      <c r="D14" s="117">
        <v>11017</v>
      </c>
      <c r="E14" s="117">
        <v>11935</v>
      </c>
      <c r="F14" s="117">
        <v>12496</v>
      </c>
      <c r="G14" s="117">
        <v>13375</v>
      </c>
      <c r="H14" s="117">
        <v>14243</v>
      </c>
      <c r="I14" s="117">
        <v>15122</v>
      </c>
      <c r="J14" s="117">
        <v>15990</v>
      </c>
      <c r="K14" s="117">
        <v>16869</v>
      </c>
      <c r="L14" s="117">
        <v>17154</v>
      </c>
      <c r="M14" s="117">
        <v>17858</v>
      </c>
      <c r="N14" s="117">
        <v>18563</v>
      </c>
      <c r="O14" s="117">
        <v>19268</v>
      </c>
      <c r="P14" s="117">
        <v>19973</v>
      </c>
      <c r="Q14" s="117">
        <v>20678</v>
      </c>
      <c r="R14" s="117">
        <v>21383</v>
      </c>
      <c r="S14" s="117">
        <v>22088</v>
      </c>
      <c r="T14" s="117">
        <v>22793</v>
      </c>
      <c r="U14" s="309">
        <v>23498</v>
      </c>
      <c r="V14" s="66"/>
    </row>
    <row r="15" spans="1:22" ht="18" customHeight="1">
      <c r="A15" s="70">
        <v>4</v>
      </c>
      <c r="B15" s="117"/>
      <c r="C15" s="117"/>
      <c r="D15" s="117"/>
      <c r="E15" s="117">
        <v>12574</v>
      </c>
      <c r="F15" s="117">
        <v>12958</v>
      </c>
      <c r="G15" s="117">
        <v>13861</v>
      </c>
      <c r="H15" s="117">
        <v>14775</v>
      </c>
      <c r="I15" s="117">
        <v>15677</v>
      </c>
      <c r="J15" s="307">
        <v>16591</v>
      </c>
      <c r="K15" s="307">
        <v>17494</v>
      </c>
      <c r="L15" s="117">
        <v>17497</v>
      </c>
      <c r="M15" s="117">
        <v>18216</v>
      </c>
      <c r="N15" s="117">
        <v>18935</v>
      </c>
      <c r="O15" s="117">
        <v>19654</v>
      </c>
      <c r="P15" s="117">
        <v>20373</v>
      </c>
      <c r="Q15" s="117">
        <v>21092</v>
      </c>
      <c r="R15" s="117">
        <v>21811</v>
      </c>
      <c r="S15" s="117">
        <v>22530</v>
      </c>
      <c r="T15" s="117">
        <v>23249</v>
      </c>
      <c r="U15" s="117">
        <v>23968</v>
      </c>
      <c r="V15" s="66"/>
    </row>
    <row r="16" spans="1:22" ht="18" customHeight="1">
      <c r="A16" s="70">
        <v>5</v>
      </c>
      <c r="B16" s="117"/>
      <c r="C16" s="117"/>
      <c r="D16" s="117"/>
      <c r="E16" s="117"/>
      <c r="F16" s="117">
        <v>13421</v>
      </c>
      <c r="G16" s="117">
        <v>14358</v>
      </c>
      <c r="H16" s="117">
        <v>15300</v>
      </c>
      <c r="I16" s="307">
        <v>16244</v>
      </c>
      <c r="J16" s="307">
        <v>16373</v>
      </c>
      <c r="K16" s="307">
        <v>17107</v>
      </c>
      <c r="L16" s="117">
        <v>17840</v>
      </c>
      <c r="M16" s="117">
        <v>18573</v>
      </c>
      <c r="N16" s="117">
        <v>19306</v>
      </c>
      <c r="O16" s="117">
        <v>20039</v>
      </c>
      <c r="P16" s="117">
        <v>20772</v>
      </c>
      <c r="Q16" s="117">
        <v>21505</v>
      </c>
      <c r="R16" s="117">
        <v>22239</v>
      </c>
      <c r="S16" s="117">
        <v>22972</v>
      </c>
      <c r="T16" s="117">
        <v>23705</v>
      </c>
      <c r="U16" s="117">
        <v>24438</v>
      </c>
      <c r="V16" s="66"/>
    </row>
    <row r="17" spans="1:22" ht="18" customHeight="1">
      <c r="A17" s="70">
        <v>6</v>
      </c>
      <c r="B17" s="117"/>
      <c r="C17" s="117"/>
      <c r="D17" s="117"/>
      <c r="E17" s="117"/>
      <c r="F17" s="117"/>
      <c r="G17" s="117">
        <v>14856</v>
      </c>
      <c r="H17" s="117">
        <v>15747</v>
      </c>
      <c r="I17" s="307">
        <v>16218</v>
      </c>
      <c r="J17" s="117">
        <v>16688</v>
      </c>
      <c r="K17" s="307">
        <v>17436</v>
      </c>
      <c r="L17" s="117">
        <v>18183</v>
      </c>
      <c r="M17" s="117">
        <v>18930</v>
      </c>
      <c r="N17" s="117">
        <v>19677</v>
      </c>
      <c r="O17" s="117">
        <v>20424</v>
      </c>
      <c r="P17" s="117">
        <v>21172</v>
      </c>
      <c r="Q17" s="117">
        <v>21919</v>
      </c>
      <c r="R17" s="117">
        <v>22666</v>
      </c>
      <c r="S17" s="117">
        <v>23413</v>
      </c>
      <c r="T17" s="117">
        <v>24161</v>
      </c>
      <c r="U17" s="117">
        <v>24927</v>
      </c>
      <c r="V17" s="66"/>
    </row>
    <row r="18" spans="1:22" ht="18" customHeight="1" thickBot="1">
      <c r="A18" s="71">
        <v>7</v>
      </c>
      <c r="B18" s="118"/>
      <c r="C18" s="118"/>
      <c r="D18" s="118"/>
      <c r="E18" s="118"/>
      <c r="F18" s="118"/>
      <c r="G18" s="118"/>
      <c r="H18" s="117">
        <v>16360</v>
      </c>
      <c r="I18" s="117">
        <v>16682</v>
      </c>
      <c r="J18" s="117">
        <v>17003</v>
      </c>
      <c r="K18" s="117">
        <v>17764</v>
      </c>
      <c r="L18" s="117">
        <v>18526</v>
      </c>
      <c r="M18" s="117">
        <v>19287</v>
      </c>
      <c r="N18" s="117">
        <v>20048</v>
      </c>
      <c r="O18" s="117">
        <v>20810</v>
      </c>
      <c r="P18" s="117">
        <v>21571</v>
      </c>
      <c r="Q18" s="117">
        <v>22332</v>
      </c>
      <c r="R18" s="117">
        <v>23094</v>
      </c>
      <c r="S18" s="117">
        <v>23855</v>
      </c>
      <c r="T18" s="117">
        <v>24617</v>
      </c>
      <c r="U18" s="117">
        <v>25415</v>
      </c>
      <c r="V18" s="66"/>
    </row>
    <row r="19" spans="1:22" ht="13.5" thickTop="1">
      <c r="A19" s="65"/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</row>
    <row r="20" spans="1:22">
      <c r="A20" s="13"/>
      <c r="B20" s="13"/>
      <c r="C20" s="13"/>
      <c r="D20" s="13"/>
      <c r="E20" s="13"/>
      <c r="F20" s="72" t="s">
        <v>107</v>
      </c>
      <c r="G20" s="73">
        <v>705</v>
      </c>
      <c r="H20" s="74" t="s">
        <v>108</v>
      </c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</row>
    <row r="21" spans="1:22">
      <c r="A21" s="13"/>
      <c r="B21" s="13"/>
      <c r="C21" s="13"/>
      <c r="D21" s="13"/>
      <c r="E21" s="13"/>
      <c r="F21" s="72" t="s">
        <v>109</v>
      </c>
      <c r="G21" s="73">
        <v>470</v>
      </c>
      <c r="H21" s="74" t="s">
        <v>108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spans="1:22">
      <c r="A22" s="13"/>
      <c r="B22" s="13"/>
      <c r="C22" s="13"/>
      <c r="D22" s="13"/>
      <c r="E22" s="13"/>
      <c r="F22" s="72"/>
      <c r="G22" s="73"/>
      <c r="H22" s="74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</row>
    <row r="23" spans="1:22">
      <c r="A23" s="3"/>
      <c r="B23" s="3"/>
      <c r="C23" s="3"/>
      <c r="D23" s="3"/>
      <c r="E23" s="3"/>
      <c r="F23" s="75"/>
      <c r="G23" s="76"/>
      <c r="H23" s="77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>
      <c r="A24" s="78" t="s">
        <v>110</v>
      </c>
    </row>
    <row r="25" spans="1:22" ht="13.5" thickBot="1">
      <c r="A25" s="79"/>
      <c r="B25" s="79"/>
      <c r="C25" s="79"/>
      <c r="D25" s="79"/>
      <c r="E25" s="79"/>
      <c r="F25" s="79"/>
      <c r="G25" s="79"/>
    </row>
    <row r="26" spans="1:22" ht="18" customHeight="1" thickTop="1">
      <c r="A26" s="80" t="s">
        <v>111</v>
      </c>
      <c r="F26" s="81" t="s">
        <v>112</v>
      </c>
      <c r="G26" s="82"/>
    </row>
    <row r="27" spans="1:22" ht="18" customHeight="1">
      <c r="A27" s="83" t="s">
        <v>113</v>
      </c>
      <c r="B27" s="84"/>
      <c r="C27" s="84"/>
      <c r="D27" s="84"/>
      <c r="E27" s="84"/>
      <c r="F27" s="85"/>
      <c r="G27" s="86"/>
    </row>
    <row r="28" spans="1:22" ht="18" customHeight="1">
      <c r="A28" s="87"/>
      <c r="B28" s="88"/>
      <c r="C28" s="88"/>
      <c r="D28" s="88"/>
      <c r="F28" s="89" t="s">
        <v>114</v>
      </c>
      <c r="G28" s="90" t="s">
        <v>115</v>
      </c>
    </row>
    <row r="29" spans="1:22" ht="18" customHeight="1">
      <c r="A29" s="91" t="s">
        <v>116</v>
      </c>
      <c r="B29" s="92" t="s">
        <v>117</v>
      </c>
      <c r="C29" s="92" t="s">
        <v>118</v>
      </c>
      <c r="D29" s="92" t="s">
        <v>119</v>
      </c>
      <c r="E29" s="92" t="s">
        <v>120</v>
      </c>
      <c r="F29" s="93" t="s">
        <v>121</v>
      </c>
      <c r="G29" s="94" t="s">
        <v>122</v>
      </c>
    </row>
    <row r="30" spans="1:22" ht="18" customHeight="1" thickBot="1">
      <c r="A30" s="95">
        <v>15</v>
      </c>
      <c r="B30" s="96">
        <v>20</v>
      </c>
      <c r="C30" s="96">
        <v>25</v>
      </c>
      <c r="D30" s="96">
        <v>100</v>
      </c>
      <c r="E30" s="96">
        <v>50</v>
      </c>
      <c r="F30" s="97">
        <v>15</v>
      </c>
      <c r="G30" s="98">
        <v>10</v>
      </c>
    </row>
    <row r="31" spans="1:22" ht="13.5" thickTop="1">
      <c r="A31" s="99"/>
      <c r="B31" s="99"/>
      <c r="C31" s="99"/>
      <c r="D31" s="99"/>
      <c r="E31" s="99"/>
      <c r="F31" s="99"/>
      <c r="G31" s="99"/>
    </row>
    <row r="32" spans="1:22">
      <c r="U32" s="100" t="s">
        <v>137</v>
      </c>
    </row>
    <row r="34" spans="1:5">
      <c r="A34" s="12"/>
    </row>
    <row r="35" spans="1:5" hidden="1"/>
    <row r="36" spans="1:5" hidden="1">
      <c r="A36">
        <v>0</v>
      </c>
      <c r="B36">
        <v>0.15</v>
      </c>
      <c r="D36" t="s">
        <v>124</v>
      </c>
      <c r="E36">
        <v>0.15</v>
      </c>
    </row>
    <row r="37" spans="1:5" hidden="1">
      <c r="A37">
        <v>1</v>
      </c>
      <c r="B37">
        <v>0.2</v>
      </c>
      <c r="D37" t="s">
        <v>125</v>
      </c>
      <c r="E37">
        <v>0.1</v>
      </c>
    </row>
    <row r="38" spans="1:5" hidden="1">
      <c r="A38">
        <v>2</v>
      </c>
      <c r="B38">
        <v>0.25</v>
      </c>
    </row>
    <row r="39" spans="1:5" hidden="1">
      <c r="A39">
        <v>3</v>
      </c>
      <c r="B39">
        <v>1</v>
      </c>
    </row>
    <row r="40" spans="1:5" hidden="1">
      <c r="A40">
        <v>14.99</v>
      </c>
      <c r="B40">
        <v>0.5</v>
      </c>
    </row>
  </sheetData>
  <sheetProtection password="836F" sheet="1" objects="1" scenarios="1"/>
  <mergeCells count="1">
    <mergeCell ref="Q5:R5"/>
  </mergeCells>
  <phoneticPr fontId="30" type="noConversion"/>
  <pageMargins left="0.59055118110236227" right="0.59055118110236227" top="0.78740157480314965" bottom="0.51181102362204722" header="0.51181102362204722" footer="0.31496062992125984"/>
  <pageSetup paperSize="9" orientation="landscape" horizontalDpi="300" verticalDpi="300" r:id="rId1"/>
  <headerFooter alignWithMargins="0">
    <oddHeader>&amp;L&amp;"Times New Roman,Normal"2007-11-06</oddHeader>
    <oddFooter>&amp;L&amp;8*\&amp;F\&amp;A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codeName="Blad14"/>
  <dimension ref="A1:V41"/>
  <sheetViews>
    <sheetView zoomScaleNormal="75" workbookViewId="0">
      <selection activeCell="Q14" sqref="Q14"/>
    </sheetView>
  </sheetViews>
  <sheetFormatPr defaultRowHeight="12.75"/>
  <cols>
    <col min="1" max="21" width="6.28515625" customWidth="1"/>
    <col min="22" max="22" width="1.42578125" customWidth="1"/>
  </cols>
  <sheetData>
    <row r="1" spans="1:22" ht="5.25" customHeight="1">
      <c r="A1" s="55"/>
      <c r="U1">
        <v>1996</v>
      </c>
    </row>
    <row r="3" spans="1:22" ht="15.75">
      <c r="A3" s="56" t="s">
        <v>101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2" ht="20.100000000000001" customHeight="1">
      <c r="A4" s="56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2">
      <c r="A5" s="58" t="s">
        <v>102</v>
      </c>
      <c r="B5" s="3"/>
      <c r="C5" s="3"/>
      <c r="D5" s="58" t="s">
        <v>138</v>
      </c>
      <c r="E5" s="3"/>
      <c r="F5" s="3"/>
      <c r="G5" s="58" t="s">
        <v>104</v>
      </c>
      <c r="H5" s="3"/>
      <c r="I5" s="463">
        <v>38777</v>
      </c>
      <c r="J5" s="463"/>
      <c r="K5" s="3"/>
      <c r="M5" s="3"/>
      <c r="N5" s="3"/>
      <c r="O5" s="3"/>
      <c r="P5" s="60" t="s">
        <v>105</v>
      </c>
      <c r="Q5" s="466">
        <v>282.89</v>
      </c>
      <c r="R5" s="466"/>
      <c r="S5" s="3"/>
      <c r="T5" s="3"/>
      <c r="U5" s="3"/>
    </row>
    <row r="6" spans="1:22">
      <c r="A6" s="61"/>
      <c r="B6" s="62"/>
      <c r="C6" s="62"/>
      <c r="D6" s="61"/>
      <c r="E6" s="62"/>
      <c r="F6" s="62"/>
      <c r="G6" s="61"/>
      <c r="H6" s="62"/>
      <c r="I6" s="63"/>
      <c r="J6" s="62"/>
      <c r="K6" s="62"/>
      <c r="L6" s="61"/>
      <c r="M6" s="62"/>
      <c r="N6" s="62"/>
      <c r="O6" s="62"/>
      <c r="P6" s="62"/>
      <c r="Q6" s="61"/>
      <c r="R6" s="62"/>
      <c r="S6" s="62"/>
      <c r="T6" s="62"/>
      <c r="U6" s="62"/>
    </row>
    <row r="7" spans="1:22">
      <c r="A7" s="58"/>
      <c r="B7" s="3"/>
      <c r="C7" s="3"/>
      <c r="D7" s="58"/>
      <c r="E7" s="3"/>
      <c r="F7" s="3"/>
      <c r="G7" s="58"/>
      <c r="H7" s="3"/>
      <c r="I7" s="59"/>
      <c r="J7" s="3"/>
      <c r="K7" s="3"/>
      <c r="L7" s="58"/>
      <c r="M7" s="3"/>
      <c r="N7" s="3"/>
      <c r="O7" s="3"/>
      <c r="P7" s="3"/>
      <c r="Q7" s="58"/>
      <c r="R7" s="3"/>
      <c r="S7" s="3"/>
      <c r="T7" s="3"/>
      <c r="U7" s="3"/>
    </row>
    <row r="8" spans="1:22">
      <c r="A8" s="58" t="s">
        <v>106</v>
      </c>
      <c r="B8" s="3"/>
      <c r="C8" s="3"/>
      <c r="D8" s="58"/>
      <c r="E8" s="3"/>
      <c r="F8" s="3"/>
      <c r="G8" s="58"/>
      <c r="H8" s="3"/>
      <c r="I8" s="59"/>
      <c r="J8" s="3"/>
      <c r="K8" s="3"/>
      <c r="L8" s="58"/>
      <c r="M8" s="3"/>
      <c r="N8" s="3"/>
      <c r="O8" s="3"/>
      <c r="P8" s="3"/>
      <c r="Q8" s="58"/>
      <c r="R8" s="3"/>
      <c r="S8" s="3"/>
      <c r="T8" s="3"/>
      <c r="U8" s="3"/>
    </row>
    <row r="9" spans="1:22" ht="13.5" thickBot="1">
      <c r="A9" s="58"/>
      <c r="B9" s="3"/>
      <c r="C9" s="3"/>
      <c r="D9" s="58"/>
      <c r="E9" s="3"/>
      <c r="F9" s="3"/>
      <c r="G9" s="58"/>
      <c r="H9" s="3"/>
      <c r="I9" s="59"/>
      <c r="J9" s="3"/>
      <c r="K9" s="3"/>
      <c r="L9" s="58"/>
      <c r="M9" s="3"/>
      <c r="N9" s="3"/>
      <c r="O9" s="3"/>
      <c r="P9" s="3"/>
      <c r="Q9" s="58"/>
      <c r="R9" s="3"/>
      <c r="S9" s="3"/>
      <c r="T9" s="3"/>
      <c r="U9" s="3"/>
    </row>
    <row r="10" spans="1:22" ht="13.5" thickTop="1">
      <c r="A10" s="64"/>
      <c r="B10" s="65" t="s">
        <v>59</v>
      </c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6"/>
    </row>
    <row r="11" spans="1:22" ht="12.75" customHeight="1">
      <c r="A11" s="67" t="s">
        <v>60</v>
      </c>
      <c r="B11" s="68">
        <v>1</v>
      </c>
      <c r="C11" s="68">
        <v>2</v>
      </c>
      <c r="D11" s="68">
        <v>3</v>
      </c>
      <c r="E11" s="68">
        <v>4</v>
      </c>
      <c r="F11" s="68">
        <v>5</v>
      </c>
      <c r="G11" s="68">
        <v>6</v>
      </c>
      <c r="H11" s="68">
        <v>7</v>
      </c>
      <c r="I11" s="68">
        <v>8</v>
      </c>
      <c r="J11" s="68">
        <v>9</v>
      </c>
      <c r="K11" s="68">
        <v>10</v>
      </c>
      <c r="L11" s="68">
        <v>11</v>
      </c>
      <c r="M11" s="68">
        <v>12</v>
      </c>
      <c r="N11" s="68">
        <v>13</v>
      </c>
      <c r="O11" s="68">
        <v>14</v>
      </c>
      <c r="P11" s="68">
        <v>15</v>
      </c>
      <c r="Q11" s="68">
        <v>16</v>
      </c>
      <c r="R11" s="68">
        <v>17</v>
      </c>
      <c r="S11" s="68">
        <v>18</v>
      </c>
      <c r="T11" s="68">
        <v>19</v>
      </c>
      <c r="U11" s="69">
        <v>20</v>
      </c>
      <c r="V11" s="66"/>
    </row>
    <row r="12" spans="1:22" ht="18" customHeight="1">
      <c r="A12" s="70">
        <v>1</v>
      </c>
      <c r="B12" s="309">
        <v>7826</v>
      </c>
      <c r="C12" s="117">
        <v>8609</v>
      </c>
      <c r="D12" s="117">
        <v>9391</v>
      </c>
      <c r="E12" s="117">
        <v>10174</v>
      </c>
      <c r="F12" s="309">
        <v>11150</v>
      </c>
      <c r="G12" s="117">
        <v>11931</v>
      </c>
      <c r="H12" s="117">
        <v>12711</v>
      </c>
      <c r="I12" s="117">
        <v>13492</v>
      </c>
      <c r="J12" s="117">
        <v>14272</v>
      </c>
      <c r="K12" s="117">
        <v>15053</v>
      </c>
      <c r="L12" s="117">
        <v>15526</v>
      </c>
      <c r="M12" s="117">
        <v>16164</v>
      </c>
      <c r="N12" s="117">
        <v>16802</v>
      </c>
      <c r="O12" s="117">
        <v>17440</v>
      </c>
      <c r="P12" s="117">
        <v>18078</v>
      </c>
      <c r="Q12" s="307">
        <v>18717</v>
      </c>
      <c r="R12" s="307">
        <v>18717</v>
      </c>
      <c r="S12" s="117">
        <v>19993</v>
      </c>
      <c r="T12" s="117">
        <v>20631</v>
      </c>
      <c r="U12" s="307">
        <v>22858</v>
      </c>
      <c r="V12" s="66"/>
    </row>
    <row r="13" spans="1:22" ht="18" customHeight="1">
      <c r="A13" s="70">
        <v>2</v>
      </c>
      <c r="B13" s="117"/>
      <c r="C13" s="117">
        <v>9125</v>
      </c>
      <c r="D13" s="117">
        <v>9955</v>
      </c>
      <c r="E13" s="117">
        <v>10784</v>
      </c>
      <c r="F13" s="117">
        <v>11596</v>
      </c>
      <c r="G13" s="117">
        <v>12410</v>
      </c>
      <c r="H13" s="117">
        <v>13224</v>
      </c>
      <c r="I13" s="117">
        <v>14027</v>
      </c>
      <c r="J13" s="117">
        <v>14841</v>
      </c>
      <c r="K13" s="117">
        <v>15198</v>
      </c>
      <c r="L13" s="117">
        <v>15850</v>
      </c>
      <c r="M13" s="117">
        <v>16501</v>
      </c>
      <c r="N13" s="117">
        <v>17152</v>
      </c>
      <c r="O13" s="117">
        <v>17804</v>
      </c>
      <c r="P13" s="117">
        <v>18455</v>
      </c>
      <c r="Q13" s="117">
        <v>19106</v>
      </c>
      <c r="R13" s="117">
        <v>19758</v>
      </c>
      <c r="S13" s="117">
        <v>20409</v>
      </c>
      <c r="T13" s="117">
        <v>21061</v>
      </c>
      <c r="U13" s="307">
        <v>23772</v>
      </c>
      <c r="V13" s="66"/>
    </row>
    <row r="14" spans="1:22" ht="18" customHeight="1">
      <c r="A14" s="70">
        <v>3</v>
      </c>
      <c r="B14" s="117"/>
      <c r="C14" s="117"/>
      <c r="D14" s="117">
        <v>10518</v>
      </c>
      <c r="E14" s="117">
        <v>11395</v>
      </c>
      <c r="F14" s="117">
        <v>12042</v>
      </c>
      <c r="G14" s="117">
        <v>12889</v>
      </c>
      <c r="H14" s="117">
        <v>13726</v>
      </c>
      <c r="I14" s="117">
        <v>14573</v>
      </c>
      <c r="J14" s="117">
        <v>15409</v>
      </c>
      <c r="K14" s="307">
        <v>16257</v>
      </c>
      <c r="L14" s="307">
        <v>16173</v>
      </c>
      <c r="M14" s="117">
        <v>16838</v>
      </c>
      <c r="N14" s="117">
        <v>17502</v>
      </c>
      <c r="O14" s="117">
        <v>18167</v>
      </c>
      <c r="P14" s="117">
        <v>18832</v>
      </c>
      <c r="Q14" s="117">
        <v>19496</v>
      </c>
      <c r="R14" s="117">
        <v>20161</v>
      </c>
      <c r="S14" s="117">
        <v>20826</v>
      </c>
      <c r="T14" s="117">
        <v>21490</v>
      </c>
      <c r="U14" s="388">
        <v>22155</v>
      </c>
      <c r="V14" s="66"/>
    </row>
    <row r="15" spans="1:22" ht="18" customHeight="1">
      <c r="A15" s="70">
        <v>4</v>
      </c>
      <c r="B15" s="117"/>
      <c r="C15" s="117"/>
      <c r="D15" s="117"/>
      <c r="E15" s="117">
        <v>12005</v>
      </c>
      <c r="F15" s="117">
        <v>12488</v>
      </c>
      <c r="G15" s="117">
        <v>13358</v>
      </c>
      <c r="H15" s="117">
        <v>14239</v>
      </c>
      <c r="I15" s="117">
        <v>15108</v>
      </c>
      <c r="J15" s="117">
        <v>15989</v>
      </c>
      <c r="K15" s="307">
        <v>16859</v>
      </c>
      <c r="L15" s="307">
        <v>16497</v>
      </c>
      <c r="M15" s="117">
        <v>17175</v>
      </c>
      <c r="N15" s="117">
        <v>17852</v>
      </c>
      <c r="O15" s="117">
        <v>18530</v>
      </c>
      <c r="P15" s="117">
        <v>19208</v>
      </c>
      <c r="Q15" s="117">
        <v>19886</v>
      </c>
      <c r="R15" s="117">
        <v>20564</v>
      </c>
      <c r="S15" s="117">
        <v>21242</v>
      </c>
      <c r="T15" s="117">
        <v>21920</v>
      </c>
      <c r="U15" s="117">
        <v>22598</v>
      </c>
      <c r="V15" s="66"/>
    </row>
    <row r="16" spans="1:22" ht="18" customHeight="1">
      <c r="A16" s="70">
        <v>5</v>
      </c>
      <c r="B16" s="117"/>
      <c r="C16" s="117"/>
      <c r="D16" s="117"/>
      <c r="E16" s="117"/>
      <c r="F16" s="117">
        <v>12934</v>
      </c>
      <c r="G16" s="117">
        <v>13837</v>
      </c>
      <c r="H16" s="117">
        <v>14745</v>
      </c>
      <c r="I16" s="307">
        <v>15655</v>
      </c>
      <c r="J16" s="307">
        <v>15438</v>
      </c>
      <c r="K16" s="307">
        <v>16129</v>
      </c>
      <c r="L16" s="117">
        <v>16820</v>
      </c>
      <c r="M16" s="117">
        <v>17511</v>
      </c>
      <c r="N16" s="117">
        <v>18203</v>
      </c>
      <c r="O16" s="117">
        <v>18894</v>
      </c>
      <c r="P16" s="117">
        <v>19585</v>
      </c>
      <c r="Q16" s="117">
        <v>20276</v>
      </c>
      <c r="R16" s="117">
        <v>20967</v>
      </c>
      <c r="S16" s="117">
        <v>21659</v>
      </c>
      <c r="T16" s="117">
        <v>22350</v>
      </c>
      <c r="U16" s="117">
        <v>23041</v>
      </c>
      <c r="V16" s="66"/>
    </row>
    <row r="17" spans="1:22" ht="18" customHeight="1">
      <c r="A17" s="70">
        <v>6</v>
      </c>
      <c r="B17" s="117"/>
      <c r="C17" s="117"/>
      <c r="D17" s="117"/>
      <c r="E17" s="117"/>
      <c r="F17" s="117"/>
      <c r="G17" s="117">
        <v>14317</v>
      </c>
      <c r="H17" s="117">
        <v>15175</v>
      </c>
      <c r="I17" s="117">
        <v>15455</v>
      </c>
      <c r="J17" s="117">
        <v>15734</v>
      </c>
      <c r="K17" s="117">
        <v>16439</v>
      </c>
      <c r="L17" s="117">
        <v>17144</v>
      </c>
      <c r="M17" s="117">
        <v>17848</v>
      </c>
      <c r="N17" s="117">
        <v>18553</v>
      </c>
      <c r="O17" s="117">
        <v>19257</v>
      </c>
      <c r="P17" s="117">
        <v>19962</v>
      </c>
      <c r="Q17" s="117">
        <v>20666</v>
      </c>
      <c r="R17" s="117">
        <v>21371</v>
      </c>
      <c r="S17" s="117">
        <v>22075</v>
      </c>
      <c r="T17" s="117">
        <v>22780</v>
      </c>
      <c r="U17" s="117">
        <v>23502</v>
      </c>
      <c r="V17" s="66"/>
    </row>
    <row r="18" spans="1:22" ht="18" customHeight="1" thickBot="1">
      <c r="A18" s="71">
        <v>7</v>
      </c>
      <c r="B18" s="118"/>
      <c r="C18" s="118"/>
      <c r="D18" s="118"/>
      <c r="E18" s="118"/>
      <c r="F18" s="118"/>
      <c r="G18" s="118"/>
      <c r="H18" s="117">
        <v>15766</v>
      </c>
      <c r="I18" s="117">
        <v>15899</v>
      </c>
      <c r="J18" s="117">
        <v>16031</v>
      </c>
      <c r="K18" s="117">
        <v>16749</v>
      </c>
      <c r="L18" s="117">
        <v>17467</v>
      </c>
      <c r="M18" s="117">
        <v>18185</v>
      </c>
      <c r="N18" s="117">
        <v>18903</v>
      </c>
      <c r="O18" s="117">
        <v>19620</v>
      </c>
      <c r="P18" s="117">
        <v>20338</v>
      </c>
      <c r="Q18" s="117">
        <v>21056</v>
      </c>
      <c r="R18" s="117">
        <v>21774</v>
      </c>
      <c r="S18" s="117">
        <v>22492</v>
      </c>
      <c r="T18" s="117">
        <v>23210</v>
      </c>
      <c r="U18" s="117">
        <v>23963</v>
      </c>
      <c r="V18" s="66"/>
    </row>
    <row r="19" spans="1:22" ht="13.5" thickTop="1">
      <c r="A19" s="65"/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</row>
    <row r="20" spans="1:22" ht="12.75" customHeight="1">
      <c r="A20" s="13"/>
      <c r="B20" s="13"/>
      <c r="C20" s="13"/>
      <c r="D20" s="13"/>
      <c r="E20" s="13"/>
      <c r="F20" s="72" t="s">
        <v>107</v>
      </c>
      <c r="G20" s="73">
        <v>665</v>
      </c>
      <c r="H20" s="74" t="s">
        <v>108</v>
      </c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</row>
    <row r="21" spans="1:22">
      <c r="A21" s="13"/>
      <c r="B21" s="13"/>
      <c r="C21" s="13"/>
      <c r="D21" s="13"/>
      <c r="E21" s="13"/>
      <c r="F21" s="72" t="s">
        <v>109</v>
      </c>
      <c r="G21" s="73">
        <v>443</v>
      </c>
      <c r="H21" s="74" t="s">
        <v>108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spans="1:22">
      <c r="A22" s="13"/>
      <c r="B22" s="13"/>
      <c r="C22" s="13"/>
      <c r="D22" s="13"/>
      <c r="E22" s="13"/>
      <c r="F22" s="72"/>
      <c r="G22" s="73"/>
      <c r="H22" s="74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</row>
    <row r="23" spans="1:22">
      <c r="A23" s="3"/>
      <c r="B23" s="3"/>
      <c r="C23" s="3"/>
      <c r="D23" s="3"/>
      <c r="E23" s="3"/>
      <c r="F23" s="75"/>
      <c r="G23" s="76"/>
      <c r="H23" s="77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>
      <c r="A24" s="78" t="s">
        <v>110</v>
      </c>
    </row>
    <row r="25" spans="1:22" ht="13.5" thickBot="1">
      <c r="A25" s="79"/>
      <c r="B25" s="79"/>
      <c r="C25" s="79"/>
      <c r="D25" s="79"/>
      <c r="E25" s="79"/>
      <c r="F25" s="79"/>
      <c r="G25" s="79"/>
    </row>
    <row r="26" spans="1:22" ht="18" customHeight="1" thickTop="1">
      <c r="A26" s="80" t="s">
        <v>111</v>
      </c>
      <c r="F26" s="81" t="s">
        <v>112</v>
      </c>
      <c r="G26" s="82"/>
    </row>
    <row r="27" spans="1:22" ht="18" customHeight="1">
      <c r="A27" s="83" t="s">
        <v>113</v>
      </c>
      <c r="B27" s="84"/>
      <c r="C27" s="84"/>
      <c r="D27" s="84"/>
      <c r="E27" s="84"/>
      <c r="F27" s="85"/>
      <c r="G27" s="86"/>
    </row>
    <row r="28" spans="1:22" ht="18" customHeight="1">
      <c r="A28" s="87"/>
      <c r="B28" s="88"/>
      <c r="C28" s="88"/>
      <c r="D28" s="88"/>
      <c r="F28" s="89" t="s">
        <v>114</v>
      </c>
      <c r="G28" s="90" t="s">
        <v>115</v>
      </c>
    </row>
    <row r="29" spans="1:22" ht="18" customHeight="1">
      <c r="A29" s="91" t="s">
        <v>116</v>
      </c>
      <c r="B29" s="92" t="s">
        <v>117</v>
      </c>
      <c r="C29" s="92" t="s">
        <v>118</v>
      </c>
      <c r="D29" s="92" t="s">
        <v>119</v>
      </c>
      <c r="E29" s="92" t="s">
        <v>120</v>
      </c>
      <c r="F29" s="93" t="s">
        <v>121</v>
      </c>
      <c r="G29" s="94" t="s">
        <v>122</v>
      </c>
    </row>
    <row r="30" spans="1:22" ht="18" customHeight="1" thickBot="1">
      <c r="A30" s="95">
        <v>15</v>
      </c>
      <c r="B30" s="96">
        <v>20</v>
      </c>
      <c r="C30" s="96">
        <v>25</v>
      </c>
      <c r="D30" s="96">
        <v>100</v>
      </c>
      <c r="E30" s="96">
        <v>50</v>
      </c>
      <c r="F30" s="97">
        <v>15</v>
      </c>
      <c r="G30" s="98">
        <v>10</v>
      </c>
    </row>
    <row r="31" spans="1:22" ht="13.5" thickTop="1">
      <c r="A31" s="99"/>
      <c r="B31" s="99"/>
      <c r="C31" s="99"/>
      <c r="D31" s="99"/>
      <c r="E31" s="99"/>
      <c r="F31" s="99"/>
      <c r="G31" s="99"/>
    </row>
    <row r="32" spans="1:22">
      <c r="U32" s="100" t="s">
        <v>139</v>
      </c>
    </row>
    <row r="34" spans="1:5">
      <c r="A34" s="12"/>
    </row>
    <row r="35" spans="1:5" hidden="1"/>
    <row r="36" spans="1:5" hidden="1">
      <c r="A36">
        <v>0</v>
      </c>
      <c r="B36">
        <v>0.15</v>
      </c>
      <c r="D36" t="s">
        <v>124</v>
      </c>
      <c r="E36">
        <v>0.15</v>
      </c>
    </row>
    <row r="37" spans="1:5" hidden="1">
      <c r="A37">
        <v>1</v>
      </c>
      <c r="B37">
        <v>0.2</v>
      </c>
      <c r="D37" t="s">
        <v>125</v>
      </c>
      <c r="E37">
        <v>0.1</v>
      </c>
    </row>
    <row r="38" spans="1:5" hidden="1">
      <c r="A38">
        <v>2</v>
      </c>
      <c r="B38">
        <v>0.25</v>
      </c>
    </row>
    <row r="39" spans="1:5" hidden="1">
      <c r="A39">
        <v>3</v>
      </c>
      <c r="B39">
        <v>1</v>
      </c>
    </row>
    <row r="40" spans="1:5" hidden="1">
      <c r="A40">
        <v>14.99</v>
      </c>
      <c r="B40">
        <v>0.5</v>
      </c>
    </row>
    <row r="41" spans="1:5" hidden="1"/>
  </sheetData>
  <sheetProtection password="836F" sheet="1" objects="1" scenarios="1"/>
  <mergeCells count="2">
    <mergeCell ref="I5:J5"/>
    <mergeCell ref="Q5:R5"/>
  </mergeCells>
  <phoneticPr fontId="30" type="noConversion"/>
  <pageMargins left="0.59055118110236227" right="0.59055118110236227" top="0.78740157480314965" bottom="0.51181102362204722" header="0.51181102362204722" footer="0.31496062992125984"/>
  <pageSetup paperSize="9" orientation="landscape" horizontalDpi="300" verticalDpi="300" r:id="rId1"/>
  <headerFooter alignWithMargins="0">
    <oddHeader>&amp;L&amp;"Times New Roman,Normal"2007-11-06</oddHeader>
    <oddFooter>&amp;L&amp;8*\&amp;F\&amp;A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codeName="Blad15"/>
  <dimension ref="A1:N37"/>
  <sheetViews>
    <sheetView topLeftCell="A3" workbookViewId="0">
      <selection activeCell="I28" sqref="I28"/>
    </sheetView>
  </sheetViews>
  <sheetFormatPr defaultRowHeight="12.75"/>
  <cols>
    <col min="1" max="1" width="10.85546875" customWidth="1"/>
    <col min="2" max="2" width="5.42578125" customWidth="1"/>
    <col min="3" max="13" width="6.28515625" customWidth="1"/>
    <col min="14" max="14" width="0.28515625" customWidth="1"/>
  </cols>
  <sheetData>
    <row r="1" spans="1:14" ht="24" customHeight="1">
      <c r="A1" s="228" t="s">
        <v>140</v>
      </c>
    </row>
    <row r="2" spans="1:14" ht="24" customHeight="1">
      <c r="A2" s="78" t="s">
        <v>141</v>
      </c>
      <c r="H2" s="229">
        <f>Fakta!$C$22</f>
        <v>34</v>
      </c>
    </row>
    <row r="3" spans="1:14" ht="24" customHeight="1">
      <c r="A3" s="78" t="s">
        <v>142</v>
      </c>
    </row>
    <row r="5" spans="1:14">
      <c r="A5" s="230" t="s">
        <v>143</v>
      </c>
      <c r="B5" s="231" t="s">
        <v>144</v>
      </c>
      <c r="C5" s="232" t="s">
        <v>145</v>
      </c>
      <c r="D5" s="232"/>
      <c r="E5" s="232"/>
      <c r="F5" s="232"/>
      <c r="G5" s="232"/>
      <c r="H5" s="232"/>
      <c r="I5" s="232"/>
      <c r="J5" s="232"/>
      <c r="K5" s="232"/>
      <c r="L5" s="232"/>
      <c r="M5" s="232"/>
      <c r="N5" s="123"/>
    </row>
    <row r="6" spans="1:14">
      <c r="A6" s="85" t="s">
        <v>146</v>
      </c>
      <c r="B6" s="233" t="s">
        <v>147</v>
      </c>
      <c r="C6" s="234">
        <v>10</v>
      </c>
      <c r="D6" s="234">
        <v>9.1</v>
      </c>
      <c r="E6" s="234">
        <v>8.1999999999999993</v>
      </c>
      <c r="F6" s="234">
        <v>7.3</v>
      </c>
      <c r="G6" s="234">
        <v>6.4</v>
      </c>
      <c r="H6" s="234">
        <v>5.5</v>
      </c>
      <c r="I6" s="234">
        <v>4.5999999999999996</v>
      </c>
      <c r="J6" s="234">
        <v>3.7</v>
      </c>
      <c r="K6" s="234">
        <v>2.8</v>
      </c>
      <c r="L6" s="234">
        <v>1.9</v>
      </c>
      <c r="M6" s="234">
        <v>0.1</v>
      </c>
      <c r="N6" s="123"/>
    </row>
    <row r="7" spans="1:14">
      <c r="A7" s="123"/>
      <c r="B7" s="235">
        <v>1</v>
      </c>
      <c r="C7" s="236">
        <f>$H$2*380</f>
        <v>12920</v>
      </c>
      <c r="D7" s="236">
        <f>$H$2*374</f>
        <v>12716</v>
      </c>
      <c r="E7" s="236">
        <f>$H$2*368</f>
        <v>12512</v>
      </c>
      <c r="F7" s="236">
        <f>$H$2*362</f>
        <v>12308</v>
      </c>
      <c r="G7" s="236">
        <f>$H$2*356</f>
        <v>12104</v>
      </c>
      <c r="H7" s="236">
        <f>$H$2*350</f>
        <v>11900</v>
      </c>
      <c r="I7" s="236">
        <f>$H$2*344</f>
        <v>11696</v>
      </c>
      <c r="J7" s="236">
        <f>$H$2*338</f>
        <v>11492</v>
      </c>
      <c r="K7" s="236">
        <f>$H$2*332</f>
        <v>11288</v>
      </c>
      <c r="L7" s="236">
        <f>$H$2*326</f>
        <v>11084</v>
      </c>
      <c r="M7" s="237">
        <f>$H$2*320</f>
        <v>10880</v>
      </c>
      <c r="N7" s="123"/>
    </row>
    <row r="8" spans="1:14">
      <c r="A8" s="123"/>
      <c r="B8" s="238">
        <v>0.9</v>
      </c>
      <c r="C8" s="236">
        <f>$H$2*368</f>
        <v>12512</v>
      </c>
      <c r="D8" s="236">
        <f>$H$2*362</f>
        <v>12308</v>
      </c>
      <c r="E8" s="236">
        <f>$H$2*356</f>
        <v>12104</v>
      </c>
      <c r="F8" s="236">
        <f>$H$2*350</f>
        <v>11900</v>
      </c>
      <c r="G8" s="236">
        <f>$H$2*344</f>
        <v>11696</v>
      </c>
      <c r="H8" s="236">
        <f>$H$2*338</f>
        <v>11492</v>
      </c>
      <c r="I8" s="236">
        <f>$H$2*332</f>
        <v>11288</v>
      </c>
      <c r="J8" s="236">
        <f>$H$2*326</f>
        <v>11084</v>
      </c>
      <c r="K8" s="237">
        <f>$H$2*320</f>
        <v>10880</v>
      </c>
      <c r="L8" s="236">
        <f>$H$2*314</f>
        <v>10676</v>
      </c>
      <c r="M8" s="237">
        <f>$H$2*308</f>
        <v>10472</v>
      </c>
      <c r="N8" s="123"/>
    </row>
    <row r="9" spans="1:14">
      <c r="A9" s="123" t="s">
        <v>148</v>
      </c>
      <c r="B9" s="238">
        <v>0.8</v>
      </c>
      <c r="C9" s="236">
        <f>$H$2*356</f>
        <v>12104</v>
      </c>
      <c r="D9" s="236">
        <f>$H$2*350</f>
        <v>11900</v>
      </c>
      <c r="E9" s="236">
        <f>$H$2*344</f>
        <v>11696</v>
      </c>
      <c r="F9" s="236">
        <f>$H$2*338</f>
        <v>11492</v>
      </c>
      <c r="G9" s="236">
        <f>$H$2*332</f>
        <v>11288</v>
      </c>
      <c r="H9" s="236">
        <f>$H$2*326</f>
        <v>11084</v>
      </c>
      <c r="I9" s="237">
        <f>$H$2*320</f>
        <v>10880</v>
      </c>
      <c r="J9" s="236">
        <f>$H$2*314</f>
        <v>10676</v>
      </c>
      <c r="K9" s="237">
        <f>$H$2*308</f>
        <v>10472</v>
      </c>
      <c r="L9" s="236">
        <f>$H$2*302</f>
        <v>10268</v>
      </c>
      <c r="M9" s="237">
        <f>$H$2*296</f>
        <v>10064</v>
      </c>
      <c r="N9" s="123"/>
    </row>
    <row r="10" spans="1:14">
      <c r="A10" s="123" t="s">
        <v>149</v>
      </c>
      <c r="B10" s="238">
        <v>0.7</v>
      </c>
      <c r="C10" s="236">
        <f>$H$2*344</f>
        <v>11696</v>
      </c>
      <c r="D10" s="236">
        <f>$H$2*338</f>
        <v>11492</v>
      </c>
      <c r="E10" s="236">
        <f>$H$2*332</f>
        <v>11288</v>
      </c>
      <c r="F10" s="236">
        <f>$H$2*326</f>
        <v>11084</v>
      </c>
      <c r="G10" s="237">
        <f>$H$2*320</f>
        <v>10880</v>
      </c>
      <c r="H10" s="236">
        <f>$H$2*314</f>
        <v>10676</v>
      </c>
      <c r="I10" s="237">
        <f>$H$2*308</f>
        <v>10472</v>
      </c>
      <c r="J10" s="236">
        <f>$H$2*302</f>
        <v>10268</v>
      </c>
      <c r="K10" s="237">
        <f>$H$2*296</f>
        <v>10064</v>
      </c>
      <c r="L10" s="236">
        <f>$H$2*290</f>
        <v>9860</v>
      </c>
      <c r="M10" s="237">
        <f>$H$2*284</f>
        <v>9656</v>
      </c>
      <c r="N10" s="123"/>
    </row>
    <row r="11" spans="1:14">
      <c r="A11" s="123"/>
      <c r="B11" s="238">
        <v>0.6</v>
      </c>
      <c r="C11" s="236">
        <f>$H$2*332</f>
        <v>11288</v>
      </c>
      <c r="D11" s="236">
        <f>$H$2*326</f>
        <v>11084</v>
      </c>
      <c r="E11" s="237">
        <f>$H$2*320</f>
        <v>10880</v>
      </c>
      <c r="F11" s="236">
        <f>$H$2*314</f>
        <v>10676</v>
      </c>
      <c r="G11" s="237">
        <f>$H$2*308</f>
        <v>10472</v>
      </c>
      <c r="H11" s="236">
        <f>$H$2*302</f>
        <v>10268</v>
      </c>
      <c r="I11" s="237">
        <f>$H$2*296</f>
        <v>10064</v>
      </c>
      <c r="J11" s="236">
        <f>$H$2*290</f>
        <v>9860</v>
      </c>
      <c r="K11" s="237">
        <f>$H$2*284</f>
        <v>9656</v>
      </c>
      <c r="L11" s="236">
        <f>$H$2*278</f>
        <v>9452</v>
      </c>
      <c r="M11" s="237">
        <f>$H$2*272</f>
        <v>9248</v>
      </c>
      <c r="N11" s="123"/>
    </row>
    <row r="12" spans="1:14">
      <c r="A12" s="123"/>
      <c r="B12" s="238">
        <v>0.5</v>
      </c>
      <c r="C12" s="237">
        <f>$H$2*320</f>
        <v>10880</v>
      </c>
      <c r="D12" s="236">
        <f>$H$2*314</f>
        <v>10676</v>
      </c>
      <c r="E12" s="237">
        <f>$H$2*308</f>
        <v>10472</v>
      </c>
      <c r="F12" s="236">
        <f>$H$2*302</f>
        <v>10268</v>
      </c>
      <c r="G12" s="237">
        <f>$H$2*296</f>
        <v>10064</v>
      </c>
      <c r="H12" s="236">
        <f>$H$2*290</f>
        <v>9860</v>
      </c>
      <c r="I12" s="237">
        <f>$H$2*284</f>
        <v>9656</v>
      </c>
      <c r="J12" s="236">
        <f>$H$2*278</f>
        <v>9452</v>
      </c>
      <c r="K12" s="237">
        <f>$H$2*272</f>
        <v>9248</v>
      </c>
      <c r="L12" s="236">
        <f>$H$2*266</f>
        <v>9044</v>
      </c>
      <c r="M12" s="237">
        <f>$H$2*260</f>
        <v>8840</v>
      </c>
      <c r="N12" s="123"/>
    </row>
    <row r="13" spans="1:14" ht="3" customHeight="1">
      <c r="A13" s="239"/>
      <c r="B13" s="240"/>
      <c r="C13" s="241"/>
      <c r="D13" s="241"/>
      <c r="E13" s="241"/>
      <c r="F13" s="241"/>
      <c r="G13" s="241"/>
      <c r="H13" s="241"/>
      <c r="I13" s="241"/>
      <c r="J13" s="241"/>
      <c r="K13" s="241"/>
      <c r="L13" s="241"/>
      <c r="M13" s="242"/>
      <c r="N13" s="123"/>
    </row>
    <row r="14" spans="1:14">
      <c r="A14" s="123"/>
      <c r="B14" s="235">
        <v>1</v>
      </c>
      <c r="C14" s="236">
        <f>$H$2*520</f>
        <v>17680</v>
      </c>
      <c r="D14" s="236">
        <f>$H$2*510</f>
        <v>17340</v>
      </c>
      <c r="E14" s="236">
        <f>$H$2*499</f>
        <v>16966</v>
      </c>
      <c r="F14" s="236">
        <f>$H$2*489</f>
        <v>16626</v>
      </c>
      <c r="G14" s="236">
        <f>$H$2*478</f>
        <v>16252</v>
      </c>
      <c r="H14" s="236">
        <f>$H$2*468</f>
        <v>15912</v>
      </c>
      <c r="I14" s="236">
        <f>$H$2*457</f>
        <v>15538</v>
      </c>
      <c r="J14" s="236">
        <f>$H$2*447</f>
        <v>15198</v>
      </c>
      <c r="K14" s="236">
        <f>$H$2*436</f>
        <v>14824</v>
      </c>
      <c r="L14" s="236">
        <f>$H$2*426</f>
        <v>14484</v>
      </c>
      <c r="M14" s="237">
        <f>$H$2*415</f>
        <v>14110</v>
      </c>
      <c r="N14" s="123"/>
    </row>
    <row r="15" spans="1:14">
      <c r="A15" s="123"/>
      <c r="B15" s="238">
        <v>0.9</v>
      </c>
      <c r="C15" s="236">
        <f>$H$2*499</f>
        <v>16966</v>
      </c>
      <c r="D15" s="236">
        <f>$H$2*489</f>
        <v>16626</v>
      </c>
      <c r="E15" s="236">
        <f>$H$2*478</f>
        <v>16252</v>
      </c>
      <c r="F15" s="236">
        <f>$H$2*468</f>
        <v>15912</v>
      </c>
      <c r="G15" s="236">
        <f>$H$2*457</f>
        <v>15538</v>
      </c>
      <c r="H15" s="236">
        <f>$H$2*447</f>
        <v>15198</v>
      </c>
      <c r="I15" s="236">
        <f>$H$2*436</f>
        <v>14824</v>
      </c>
      <c r="J15" s="236">
        <f>$H$2*426</f>
        <v>14484</v>
      </c>
      <c r="K15" s="237">
        <f>$H$2*415</f>
        <v>14110</v>
      </c>
      <c r="L15" s="237">
        <f>$H$2*405</f>
        <v>13770</v>
      </c>
      <c r="M15" s="237">
        <f>$H$2*394</f>
        <v>13396</v>
      </c>
      <c r="N15" s="123"/>
    </row>
    <row r="16" spans="1:14">
      <c r="A16" s="123" t="s">
        <v>150</v>
      </c>
      <c r="B16" s="238">
        <v>0.8</v>
      </c>
      <c r="C16" s="236">
        <f>$H$2*478</f>
        <v>16252</v>
      </c>
      <c r="D16" s="236">
        <f>$H$2*468</f>
        <v>15912</v>
      </c>
      <c r="E16" s="236">
        <f>$H$2*457</f>
        <v>15538</v>
      </c>
      <c r="F16" s="236">
        <f>$H$2*447</f>
        <v>15198</v>
      </c>
      <c r="G16" s="236">
        <f>$H$2*436</f>
        <v>14824</v>
      </c>
      <c r="H16" s="236">
        <f>$H$2*426</f>
        <v>14484</v>
      </c>
      <c r="I16" s="237">
        <f>$H$2*415</f>
        <v>14110</v>
      </c>
      <c r="J16" s="237">
        <f>$H$2*405</f>
        <v>13770</v>
      </c>
      <c r="K16" s="237">
        <f>$H$2*394</f>
        <v>13396</v>
      </c>
      <c r="L16" s="237">
        <f>$H$2*384</f>
        <v>13056</v>
      </c>
      <c r="M16" s="237">
        <f>$H$2*373</f>
        <v>12682</v>
      </c>
      <c r="N16" s="123"/>
    </row>
    <row r="17" spans="1:14">
      <c r="A17" s="123" t="s">
        <v>149</v>
      </c>
      <c r="B17" s="238">
        <v>0.7</v>
      </c>
      <c r="C17" s="236">
        <f>$H$2*457</f>
        <v>15538</v>
      </c>
      <c r="D17" s="236">
        <f>$H$2*447</f>
        <v>15198</v>
      </c>
      <c r="E17" s="236">
        <f>$H$2*436</f>
        <v>14824</v>
      </c>
      <c r="F17" s="236">
        <f>$H$2*426</f>
        <v>14484</v>
      </c>
      <c r="G17" s="237">
        <f>$H$2*415</f>
        <v>14110</v>
      </c>
      <c r="H17" s="237">
        <f>$H$2*405</f>
        <v>13770</v>
      </c>
      <c r="I17" s="237">
        <f>$H$2*394</f>
        <v>13396</v>
      </c>
      <c r="J17" s="237">
        <f>$H$2*384</f>
        <v>13056</v>
      </c>
      <c r="K17" s="237">
        <f>$H$2*373</f>
        <v>12682</v>
      </c>
      <c r="L17" s="237">
        <f>$H$2*363</f>
        <v>12342</v>
      </c>
      <c r="M17" s="237">
        <f>$H$2*352</f>
        <v>11968</v>
      </c>
      <c r="N17" s="123"/>
    </row>
    <row r="18" spans="1:14">
      <c r="A18" s="123"/>
      <c r="B18" s="238">
        <v>0.6</v>
      </c>
      <c r="C18" s="236">
        <f>$H$2*436</f>
        <v>14824</v>
      </c>
      <c r="D18" s="236">
        <f>$H$2*426</f>
        <v>14484</v>
      </c>
      <c r="E18" s="237">
        <f>$H$2*415</f>
        <v>14110</v>
      </c>
      <c r="F18" s="237">
        <f>$H$2*405</f>
        <v>13770</v>
      </c>
      <c r="G18" s="237">
        <f>$H$2*394</f>
        <v>13396</v>
      </c>
      <c r="H18" s="237">
        <f>$H$2*384</f>
        <v>13056</v>
      </c>
      <c r="I18" s="237">
        <f>$H$2*373</f>
        <v>12682</v>
      </c>
      <c r="J18" s="237">
        <f>$H$2*363</f>
        <v>12342</v>
      </c>
      <c r="K18" s="237">
        <f>$H$2*352</f>
        <v>11968</v>
      </c>
      <c r="L18" s="237">
        <f>$H$2*342</f>
        <v>11628</v>
      </c>
      <c r="M18" s="237">
        <f>$H$2*331</f>
        <v>11254</v>
      </c>
      <c r="N18" s="123"/>
    </row>
    <row r="19" spans="1:14">
      <c r="A19" s="123"/>
      <c r="B19" s="238">
        <v>0.5</v>
      </c>
      <c r="C19" s="237">
        <f>$H$2*415</f>
        <v>14110</v>
      </c>
      <c r="D19" s="237">
        <f>$H$2*405</f>
        <v>13770</v>
      </c>
      <c r="E19" s="237">
        <f>$H$2*394</f>
        <v>13396</v>
      </c>
      <c r="F19" s="237">
        <f>$H$2*384</f>
        <v>13056</v>
      </c>
      <c r="G19" s="237">
        <f>$H$2*373</f>
        <v>12682</v>
      </c>
      <c r="H19" s="237">
        <f>$H$2*363</f>
        <v>12342</v>
      </c>
      <c r="I19" s="237">
        <f>$H$2*352</f>
        <v>11968</v>
      </c>
      <c r="J19" s="237">
        <f>$H$2*342</f>
        <v>11628</v>
      </c>
      <c r="K19" s="237">
        <f>$H$2*331</f>
        <v>11254</v>
      </c>
      <c r="L19" s="237">
        <f>$H$2*321</f>
        <v>10914</v>
      </c>
      <c r="M19" s="237">
        <f>$H$2*310</f>
        <v>10540</v>
      </c>
      <c r="N19" s="123"/>
    </row>
    <row r="20" spans="1:14" ht="3" customHeight="1">
      <c r="A20" s="239"/>
      <c r="B20" s="240"/>
      <c r="C20" s="241"/>
      <c r="D20" s="241"/>
      <c r="E20" s="241"/>
      <c r="F20" s="241"/>
      <c r="G20" s="241"/>
      <c r="H20" s="241"/>
      <c r="I20" s="241"/>
      <c r="J20" s="241"/>
      <c r="K20" s="241"/>
      <c r="L20" s="241"/>
      <c r="M20" s="242"/>
      <c r="N20" s="123"/>
    </row>
    <row r="21" spans="1:14">
      <c r="A21" s="123"/>
      <c r="B21" s="235">
        <v>1</v>
      </c>
      <c r="C21" s="237">
        <f>$H$2*470</f>
        <v>15980</v>
      </c>
      <c r="D21" s="237">
        <f>$H$2*462</f>
        <v>15708</v>
      </c>
      <c r="E21" s="237">
        <f>$H$2*454</f>
        <v>15436</v>
      </c>
      <c r="F21" s="237">
        <f>$H$2*446</f>
        <v>15164</v>
      </c>
      <c r="G21" s="237">
        <f>$H$2*438</f>
        <v>14892</v>
      </c>
      <c r="H21" s="237">
        <f>$H$2*430</f>
        <v>14620</v>
      </c>
      <c r="I21" s="237">
        <f>$H$2*422</f>
        <v>14348</v>
      </c>
      <c r="J21" s="237">
        <f>$H$2*414</f>
        <v>14076</v>
      </c>
      <c r="K21" s="237">
        <f>$H$2*406</f>
        <v>13804</v>
      </c>
      <c r="L21" s="237">
        <f>$H$2*398</f>
        <v>13532</v>
      </c>
      <c r="M21" s="237">
        <f>$H$2*390</f>
        <v>13260</v>
      </c>
      <c r="N21" s="123"/>
    </row>
    <row r="22" spans="1:14">
      <c r="A22" s="123"/>
      <c r="B22" s="238">
        <v>0.9</v>
      </c>
      <c r="C22" s="237">
        <f>$H$2*454</f>
        <v>15436</v>
      </c>
      <c r="D22" s="237">
        <f>$H$2*446</f>
        <v>15164</v>
      </c>
      <c r="E22" s="237">
        <f>$H$2*438</f>
        <v>14892</v>
      </c>
      <c r="F22" s="237">
        <f>$H$2*430</f>
        <v>14620</v>
      </c>
      <c r="G22" s="237">
        <f>$H$2*422</f>
        <v>14348</v>
      </c>
      <c r="H22" s="237">
        <f>$H$2*414</f>
        <v>14076</v>
      </c>
      <c r="I22" s="237">
        <f>$H$2*406</f>
        <v>13804</v>
      </c>
      <c r="J22" s="237">
        <f>$H$2*398</f>
        <v>13532</v>
      </c>
      <c r="K22" s="237">
        <f>$H$2*390</f>
        <v>13260</v>
      </c>
      <c r="L22" s="237">
        <f>$H$2*382</f>
        <v>12988</v>
      </c>
      <c r="M22" s="237">
        <f>$H$2*374</f>
        <v>12716</v>
      </c>
      <c r="N22" s="123"/>
    </row>
    <row r="23" spans="1:14">
      <c r="A23" s="123" t="s">
        <v>151</v>
      </c>
      <c r="B23" s="238">
        <v>0.8</v>
      </c>
      <c r="C23" s="237">
        <f>$H$2*438</f>
        <v>14892</v>
      </c>
      <c r="D23" s="237">
        <f>$H$2*430</f>
        <v>14620</v>
      </c>
      <c r="E23" s="237">
        <f>$H$2*422</f>
        <v>14348</v>
      </c>
      <c r="F23" s="237">
        <f>$H$2*414</f>
        <v>14076</v>
      </c>
      <c r="G23" s="237">
        <f>$H$2*406</f>
        <v>13804</v>
      </c>
      <c r="H23" s="237">
        <f>$H$2*398</f>
        <v>13532</v>
      </c>
      <c r="I23" s="237">
        <f>$H$2*390</f>
        <v>13260</v>
      </c>
      <c r="J23" s="237">
        <f>$H$2*382</f>
        <v>12988</v>
      </c>
      <c r="K23" s="237">
        <f>$H$2*374</f>
        <v>12716</v>
      </c>
      <c r="L23" s="237">
        <f>$H$2*366</f>
        <v>12444</v>
      </c>
      <c r="M23" s="237">
        <f>$H$2*358</f>
        <v>12172</v>
      </c>
      <c r="N23" s="123"/>
    </row>
    <row r="24" spans="1:14">
      <c r="A24" s="123" t="s">
        <v>149</v>
      </c>
      <c r="B24" s="238">
        <v>0.7</v>
      </c>
      <c r="C24" s="237">
        <f>$H$2*422</f>
        <v>14348</v>
      </c>
      <c r="D24" s="237">
        <f>$H$2*414</f>
        <v>14076</v>
      </c>
      <c r="E24" s="237">
        <f>$H$2*406</f>
        <v>13804</v>
      </c>
      <c r="F24" s="237">
        <f>$H$2*398</f>
        <v>13532</v>
      </c>
      <c r="G24" s="237">
        <f>$H$2*390</f>
        <v>13260</v>
      </c>
      <c r="H24" s="237">
        <f>$H$2*382</f>
        <v>12988</v>
      </c>
      <c r="I24" s="237">
        <f>$H$2*374</f>
        <v>12716</v>
      </c>
      <c r="J24" s="237">
        <f>$H$2*366</f>
        <v>12444</v>
      </c>
      <c r="K24" s="237">
        <f>$H$2*358</f>
        <v>12172</v>
      </c>
      <c r="L24" s="237">
        <f>$H$2*350</f>
        <v>11900</v>
      </c>
      <c r="M24" s="237">
        <f>$H$2*342</f>
        <v>11628</v>
      </c>
      <c r="N24" s="123"/>
    </row>
    <row r="25" spans="1:14">
      <c r="A25" s="123"/>
      <c r="B25" s="238">
        <v>0.6</v>
      </c>
      <c r="C25" s="237">
        <f>$H$2*406</f>
        <v>13804</v>
      </c>
      <c r="D25" s="237">
        <f>$H$2*398</f>
        <v>13532</v>
      </c>
      <c r="E25" s="237">
        <f>$H$2*390</f>
        <v>13260</v>
      </c>
      <c r="F25" s="237">
        <f>$H$2*382</f>
        <v>12988</v>
      </c>
      <c r="G25" s="237">
        <f>$H$2*374</f>
        <v>12716</v>
      </c>
      <c r="H25" s="237">
        <f>$H$2*366</f>
        <v>12444</v>
      </c>
      <c r="I25" s="237">
        <f>$H$2*358</f>
        <v>12172</v>
      </c>
      <c r="J25" s="237">
        <f>$H$2*350</f>
        <v>11900</v>
      </c>
      <c r="K25" s="237">
        <f>$H$2*342</f>
        <v>11628</v>
      </c>
      <c r="L25" s="237">
        <f>$H$2*334</f>
        <v>11356</v>
      </c>
      <c r="M25" s="237">
        <f>$H$2*326</f>
        <v>11084</v>
      </c>
      <c r="N25" s="123"/>
    </row>
    <row r="26" spans="1:14">
      <c r="A26" s="123"/>
      <c r="B26" s="238">
        <v>0.5</v>
      </c>
      <c r="C26" s="237">
        <f>$H$2*390</f>
        <v>13260</v>
      </c>
      <c r="D26" s="237">
        <f>$H$2*382</f>
        <v>12988</v>
      </c>
      <c r="E26" s="237">
        <f>$H$2*374</f>
        <v>12716</v>
      </c>
      <c r="F26" s="237">
        <f>$H$2*366</f>
        <v>12444</v>
      </c>
      <c r="G26" s="237">
        <f>$H$2*358</f>
        <v>12172</v>
      </c>
      <c r="H26" s="237">
        <f>$H$2*350</f>
        <v>11900</v>
      </c>
      <c r="I26" s="237">
        <f>$H$2*342</f>
        <v>11628</v>
      </c>
      <c r="J26" s="237">
        <f>$H$2*334</f>
        <v>11356</v>
      </c>
      <c r="K26" s="237">
        <f>$H$2*326</f>
        <v>11084</v>
      </c>
      <c r="L26" s="237">
        <f>$H$2*318</f>
        <v>10812</v>
      </c>
      <c r="M26" s="237">
        <f>$H$2*310</f>
        <v>10540</v>
      </c>
      <c r="N26" s="123"/>
    </row>
    <row r="27" spans="1:14" ht="3" customHeight="1">
      <c r="A27" s="239"/>
      <c r="B27" s="240"/>
      <c r="C27" s="241"/>
      <c r="D27" s="241"/>
      <c r="E27" s="241"/>
      <c r="F27" s="241"/>
      <c r="G27" s="241"/>
      <c r="H27" s="241"/>
      <c r="I27" s="241"/>
      <c r="J27" s="241"/>
      <c r="K27" s="241"/>
      <c r="L27" s="241"/>
      <c r="M27" s="242"/>
      <c r="N27" s="123"/>
    </row>
    <row r="28" spans="1:14">
      <c r="A28" s="123"/>
      <c r="B28" s="235">
        <v>1</v>
      </c>
      <c r="C28" s="237">
        <f>$H$2*400</f>
        <v>13600</v>
      </c>
      <c r="D28" s="237">
        <f>$H$2*396</f>
        <v>13464</v>
      </c>
      <c r="E28" s="237">
        <f>$H$2*392</f>
        <v>13328</v>
      </c>
      <c r="F28" s="237">
        <f>$H$2*388</f>
        <v>13192</v>
      </c>
      <c r="G28" s="237">
        <f>$H$2*384</f>
        <v>13056</v>
      </c>
      <c r="H28" s="237">
        <f>$H$2*380</f>
        <v>12920</v>
      </c>
      <c r="I28" s="237">
        <f>$H$2*376</f>
        <v>12784</v>
      </c>
      <c r="J28" s="237">
        <f>$H$2*372</f>
        <v>12648</v>
      </c>
      <c r="K28" s="237">
        <f>$H$2*368</f>
        <v>12512</v>
      </c>
      <c r="L28" s="237">
        <f>$H$2*364</f>
        <v>12376</v>
      </c>
      <c r="M28" s="237">
        <f>$H$2*360</f>
        <v>12240</v>
      </c>
      <c r="N28" s="123"/>
    </row>
    <row r="29" spans="1:14">
      <c r="A29" s="123"/>
      <c r="B29" s="238">
        <v>0.9</v>
      </c>
      <c r="C29" s="237">
        <f>$H$2*392</f>
        <v>13328</v>
      </c>
      <c r="D29" s="237">
        <f>$H$2*388</f>
        <v>13192</v>
      </c>
      <c r="E29" s="237">
        <f>$H$2*384</f>
        <v>13056</v>
      </c>
      <c r="F29" s="237">
        <f>$H$2*380</f>
        <v>12920</v>
      </c>
      <c r="G29" s="237">
        <f>$H$2*376</f>
        <v>12784</v>
      </c>
      <c r="H29" s="237">
        <f>$H$2*372</f>
        <v>12648</v>
      </c>
      <c r="I29" s="237">
        <f>$H$2*368</f>
        <v>12512</v>
      </c>
      <c r="J29" s="237">
        <f>$H$2*364</f>
        <v>12376</v>
      </c>
      <c r="K29" s="237">
        <f>$H$2*360</f>
        <v>12240</v>
      </c>
      <c r="L29" s="237">
        <f>$H$2*356</f>
        <v>12104</v>
      </c>
      <c r="M29" s="237">
        <f>$H$2*352</f>
        <v>11968</v>
      </c>
      <c r="N29" s="123"/>
    </row>
    <row r="30" spans="1:14">
      <c r="A30" s="123" t="s">
        <v>152</v>
      </c>
      <c r="B30" s="238">
        <v>0.8</v>
      </c>
      <c r="C30" s="237">
        <f>$H$2*384</f>
        <v>13056</v>
      </c>
      <c r="D30" s="237">
        <f>$H$2*380</f>
        <v>12920</v>
      </c>
      <c r="E30" s="237">
        <f>$H$2*376</f>
        <v>12784</v>
      </c>
      <c r="F30" s="237">
        <f>$H$2*372</f>
        <v>12648</v>
      </c>
      <c r="G30" s="237">
        <f>$H$2*368</f>
        <v>12512</v>
      </c>
      <c r="H30" s="237">
        <f>$H$2*364</f>
        <v>12376</v>
      </c>
      <c r="I30" s="237">
        <f>$H$2*360</f>
        <v>12240</v>
      </c>
      <c r="J30" s="237">
        <f>$H$2*356</f>
        <v>12104</v>
      </c>
      <c r="K30" s="237">
        <f>$H$2*352</f>
        <v>11968</v>
      </c>
      <c r="L30" s="237">
        <f>$H$2*348</f>
        <v>11832</v>
      </c>
      <c r="M30" s="237">
        <f>$H$2*344</f>
        <v>11696</v>
      </c>
      <c r="N30" s="123"/>
    </row>
    <row r="31" spans="1:14">
      <c r="A31" s="123" t="s">
        <v>153</v>
      </c>
      <c r="B31" s="238">
        <v>0.7</v>
      </c>
      <c r="C31" s="237">
        <f>$H$2*376</f>
        <v>12784</v>
      </c>
      <c r="D31" s="237">
        <f>$H$2*372</f>
        <v>12648</v>
      </c>
      <c r="E31" s="237">
        <f>$H$2*368</f>
        <v>12512</v>
      </c>
      <c r="F31" s="237">
        <f>$H$2*364</f>
        <v>12376</v>
      </c>
      <c r="G31" s="237">
        <f>$H$2*360</f>
        <v>12240</v>
      </c>
      <c r="H31" s="237">
        <f>$H$2*356</f>
        <v>12104</v>
      </c>
      <c r="I31" s="237">
        <f>$H$2*352</f>
        <v>11968</v>
      </c>
      <c r="J31" s="237">
        <f>$H$2*348</f>
        <v>11832</v>
      </c>
      <c r="K31" s="237">
        <f>$H$2*344</f>
        <v>11696</v>
      </c>
      <c r="L31" s="237">
        <f>$H$2*340</f>
        <v>11560</v>
      </c>
      <c r="M31" s="237">
        <f>$H$2*336</f>
        <v>11424</v>
      </c>
      <c r="N31" s="123"/>
    </row>
    <row r="32" spans="1:14">
      <c r="A32" s="123"/>
      <c r="B32" s="238">
        <v>0.6</v>
      </c>
      <c r="C32" s="237">
        <f>$H$2*368</f>
        <v>12512</v>
      </c>
      <c r="D32" s="237">
        <f>$H$2*364</f>
        <v>12376</v>
      </c>
      <c r="E32" s="237">
        <f>$H$2*360</f>
        <v>12240</v>
      </c>
      <c r="F32" s="237">
        <f>$H$2*356</f>
        <v>12104</v>
      </c>
      <c r="G32" s="237">
        <f>$H$2*352</f>
        <v>11968</v>
      </c>
      <c r="H32" s="237">
        <f>$H$2*348</f>
        <v>11832</v>
      </c>
      <c r="I32" s="237">
        <f>$H$2*344</f>
        <v>11696</v>
      </c>
      <c r="J32" s="237">
        <f>$H$2*340</f>
        <v>11560</v>
      </c>
      <c r="K32" s="237">
        <f>$H$2*336</f>
        <v>11424</v>
      </c>
      <c r="L32" s="237">
        <f>$H$2*332</f>
        <v>11288</v>
      </c>
      <c r="M32" s="237">
        <f>$H$2*328</f>
        <v>11152</v>
      </c>
      <c r="N32" s="123"/>
    </row>
    <row r="33" spans="1:14">
      <c r="A33" s="123"/>
      <c r="B33" s="238">
        <v>0.5</v>
      </c>
      <c r="C33" s="237">
        <f>$H$2*360</f>
        <v>12240</v>
      </c>
      <c r="D33" s="237">
        <f>$H$2*356</f>
        <v>12104</v>
      </c>
      <c r="E33" s="237">
        <f>$H$2*352</f>
        <v>11968</v>
      </c>
      <c r="F33" s="237">
        <f>$H$2*348</f>
        <v>11832</v>
      </c>
      <c r="G33" s="237">
        <f>$H$2*344</f>
        <v>11696</v>
      </c>
      <c r="H33" s="237">
        <f>$H$2*340</f>
        <v>11560</v>
      </c>
      <c r="I33" s="237">
        <f>$H$2*336</f>
        <v>11424</v>
      </c>
      <c r="J33" s="237">
        <f>$H$2*332</f>
        <v>11288</v>
      </c>
      <c r="K33" s="237">
        <f>$H$2*328</f>
        <v>11152</v>
      </c>
      <c r="L33" s="237">
        <f>$H$2*324</f>
        <v>11016</v>
      </c>
      <c r="M33" s="237">
        <f>$H$2*320</f>
        <v>10880</v>
      </c>
      <c r="N33" s="123"/>
    </row>
    <row r="34" spans="1:14" ht="3" customHeight="1">
      <c r="A34" s="239"/>
      <c r="B34" s="240"/>
      <c r="C34" s="241"/>
      <c r="D34" s="241"/>
      <c r="E34" s="241"/>
      <c r="F34" s="241"/>
      <c r="G34" s="241"/>
      <c r="H34" s="241"/>
      <c r="I34" s="241"/>
      <c r="J34" s="241"/>
      <c r="K34" s="241"/>
      <c r="L34" s="241"/>
      <c r="M34" s="242"/>
      <c r="N34" s="123"/>
    </row>
    <row r="35" spans="1:14">
      <c r="A35" s="123" t="s">
        <v>154</v>
      </c>
      <c r="B35" s="238"/>
      <c r="M35" s="3"/>
      <c r="N35" s="123"/>
    </row>
    <row r="36" spans="1:14">
      <c r="A36" s="123" t="s">
        <v>155</v>
      </c>
      <c r="B36" s="238"/>
      <c r="C36" s="237">
        <f>$H$2*260</f>
        <v>8840</v>
      </c>
      <c r="M36" s="3"/>
      <c r="N36" s="123"/>
    </row>
    <row r="37" spans="1:14">
      <c r="A37" s="85" t="s">
        <v>156</v>
      </c>
      <c r="B37" s="233"/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123"/>
    </row>
  </sheetData>
  <sheetProtection password="836F" sheet="1" objects="1" scenarios="1"/>
  <phoneticPr fontId="30" type="noConversion"/>
  <pageMargins left="0.78740157480314965" right="0.51181102362204722" top="0.98425196850393704" bottom="0.98425196850393704" header="0.51181102362204722" footer="0.51181102362204722"/>
  <pageSetup paperSize="9" orientation="portrait" horizontalDpi="360" verticalDpi="300" r:id="rId1"/>
  <headerFooter alignWithMargins="0">
    <oddHeader>&amp;L&amp;"Times New Roman,Fet\&amp;14Sveriges Elleverantörer&amp;R&amp;D</oddHeader>
    <oddFooter>&amp;L&amp;8&amp;F\&amp;A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Blad16"/>
  <dimension ref="A1:N37"/>
  <sheetViews>
    <sheetView workbookViewId="0">
      <selection activeCell="C7" sqref="C7"/>
    </sheetView>
  </sheetViews>
  <sheetFormatPr defaultRowHeight="12.75"/>
  <cols>
    <col min="1" max="1" width="10.85546875" customWidth="1"/>
    <col min="2" max="2" width="5.42578125" customWidth="1"/>
    <col min="3" max="13" width="6.28515625" customWidth="1"/>
    <col min="14" max="14" width="0.28515625" customWidth="1"/>
  </cols>
  <sheetData>
    <row r="1" spans="1:14" ht="24" customHeight="1">
      <c r="A1" s="228" t="s">
        <v>140</v>
      </c>
    </row>
    <row r="2" spans="1:14" ht="24" customHeight="1">
      <c r="A2" s="78" t="s">
        <v>141</v>
      </c>
      <c r="H2" s="229">
        <f>Fakta!$C$22</f>
        <v>34</v>
      </c>
    </row>
    <row r="3" spans="1:14" ht="24" customHeight="1">
      <c r="A3" s="78" t="s">
        <v>157</v>
      </c>
    </row>
    <row r="5" spans="1:14">
      <c r="A5" s="230" t="s">
        <v>143</v>
      </c>
      <c r="B5" s="231" t="s">
        <v>144</v>
      </c>
      <c r="C5" s="232" t="s">
        <v>145</v>
      </c>
      <c r="D5" s="232"/>
      <c r="E5" s="232"/>
      <c r="F5" s="232"/>
      <c r="G5" s="232"/>
      <c r="H5" s="232"/>
      <c r="I5" s="232"/>
      <c r="J5" s="232"/>
      <c r="K5" s="232"/>
      <c r="L5" s="232"/>
      <c r="M5" s="232"/>
      <c r="N5" s="123"/>
    </row>
    <row r="6" spans="1:14">
      <c r="A6" s="85" t="s">
        <v>146</v>
      </c>
      <c r="B6" s="233" t="s">
        <v>147</v>
      </c>
      <c r="C6" s="234">
        <v>10</v>
      </c>
      <c r="D6" s="234">
        <v>9.1</v>
      </c>
      <c r="E6" s="234">
        <v>8.1999999999999993</v>
      </c>
      <c r="F6" s="234">
        <v>7.3</v>
      </c>
      <c r="G6" s="234">
        <v>6.4</v>
      </c>
      <c r="H6" s="234">
        <v>5.5</v>
      </c>
      <c r="I6" s="234">
        <v>4.5999999999999996</v>
      </c>
      <c r="J6" s="234">
        <v>3.7</v>
      </c>
      <c r="K6" s="234">
        <v>2.8</v>
      </c>
      <c r="L6" s="234">
        <v>1.9</v>
      </c>
      <c r="M6" s="234">
        <v>0.1</v>
      </c>
      <c r="N6" s="123"/>
    </row>
    <row r="7" spans="1:14">
      <c r="A7" s="123"/>
      <c r="B7" s="235">
        <v>1</v>
      </c>
      <c r="C7" s="236">
        <f>$H$2*210</f>
        <v>7140</v>
      </c>
      <c r="D7" s="236">
        <f>$H$2*207</f>
        <v>7038</v>
      </c>
      <c r="E7" s="236">
        <f>$H$2*203</f>
        <v>6902</v>
      </c>
      <c r="F7" s="236">
        <f>$H$2*200</f>
        <v>6800</v>
      </c>
      <c r="G7" s="236">
        <f>$H$2*196</f>
        <v>6664</v>
      </c>
      <c r="H7" s="236">
        <f>$H$2*193</f>
        <v>6562</v>
      </c>
      <c r="I7" s="236">
        <f>$H$2*189</f>
        <v>6426</v>
      </c>
      <c r="J7" s="236">
        <f>$H$2*186</f>
        <v>6324</v>
      </c>
      <c r="K7" s="236">
        <f>$H$2*182</f>
        <v>6188</v>
      </c>
      <c r="L7" s="236">
        <f>$H$2*179</f>
        <v>6086</v>
      </c>
      <c r="M7" s="237">
        <f>$H$2*175</f>
        <v>5950</v>
      </c>
      <c r="N7" s="123"/>
    </row>
    <row r="8" spans="1:14">
      <c r="A8" s="123"/>
      <c r="B8" s="238">
        <v>0.9</v>
      </c>
      <c r="C8" s="236">
        <f>$H$2*203</f>
        <v>6902</v>
      </c>
      <c r="D8" s="236">
        <f>$H$2*200</f>
        <v>6800</v>
      </c>
      <c r="E8" s="236">
        <f>$H$2*196</f>
        <v>6664</v>
      </c>
      <c r="F8" s="236">
        <f>$H$2*193</f>
        <v>6562</v>
      </c>
      <c r="G8" s="236">
        <f>$H$2*189</f>
        <v>6426</v>
      </c>
      <c r="H8" s="236">
        <f>$H$2*186</f>
        <v>6324</v>
      </c>
      <c r="I8" s="236">
        <f>$H$2*182</f>
        <v>6188</v>
      </c>
      <c r="J8" s="236">
        <f>$H$2*179</f>
        <v>6086</v>
      </c>
      <c r="K8" s="237">
        <f>$H$2*175</f>
        <v>5950</v>
      </c>
      <c r="L8" s="237">
        <f>$H$2*172</f>
        <v>5848</v>
      </c>
      <c r="M8" s="237">
        <f>$H$2*168</f>
        <v>5712</v>
      </c>
      <c r="N8" s="123"/>
    </row>
    <row r="9" spans="1:14">
      <c r="A9" s="123" t="s">
        <v>148</v>
      </c>
      <c r="B9" s="238">
        <v>0.8</v>
      </c>
      <c r="C9" s="236">
        <f>$H$2*196</f>
        <v>6664</v>
      </c>
      <c r="D9" s="236">
        <f>$H$2*193</f>
        <v>6562</v>
      </c>
      <c r="E9" s="236">
        <f>$H$2*189</f>
        <v>6426</v>
      </c>
      <c r="F9" s="236">
        <f>$H$2*186</f>
        <v>6324</v>
      </c>
      <c r="G9" s="236">
        <f>$H$2*182</f>
        <v>6188</v>
      </c>
      <c r="H9" s="236">
        <f>$H$2*179</f>
        <v>6086</v>
      </c>
      <c r="I9" s="237">
        <f>$H$2*175</f>
        <v>5950</v>
      </c>
      <c r="J9" s="237">
        <f>$H$2*172</f>
        <v>5848</v>
      </c>
      <c r="K9" s="237">
        <f>$H$2*168</f>
        <v>5712</v>
      </c>
      <c r="L9" s="237">
        <f>$H$2*165</f>
        <v>5610</v>
      </c>
      <c r="M9" s="237">
        <f>$H$2*161</f>
        <v>5474</v>
      </c>
      <c r="N9" s="123"/>
    </row>
    <row r="10" spans="1:14">
      <c r="A10" s="123" t="s">
        <v>149</v>
      </c>
      <c r="B10" s="238">
        <v>0.7</v>
      </c>
      <c r="C10" s="236">
        <f>$H$2*189</f>
        <v>6426</v>
      </c>
      <c r="D10" s="236">
        <f>$H$2*186</f>
        <v>6324</v>
      </c>
      <c r="E10" s="236">
        <f>$H$2*182</f>
        <v>6188</v>
      </c>
      <c r="F10" s="236">
        <f>$H$2*179</f>
        <v>6086</v>
      </c>
      <c r="G10" s="237">
        <f>$H$2*175</f>
        <v>5950</v>
      </c>
      <c r="H10" s="237">
        <f>$H$2*172</f>
        <v>5848</v>
      </c>
      <c r="I10" s="237">
        <f>$H$2*168</f>
        <v>5712</v>
      </c>
      <c r="J10" s="237">
        <f>$H$2*165</f>
        <v>5610</v>
      </c>
      <c r="K10" s="237">
        <f>$H$2*161</f>
        <v>5474</v>
      </c>
      <c r="L10" s="236">
        <f>$H$2*158</f>
        <v>5372</v>
      </c>
      <c r="M10" s="237">
        <f>$H$2*154</f>
        <v>5236</v>
      </c>
      <c r="N10" s="123"/>
    </row>
    <row r="11" spans="1:14">
      <c r="A11" s="123"/>
      <c r="B11" s="238">
        <v>0.6</v>
      </c>
      <c r="C11" s="236">
        <f>$H$2*182</f>
        <v>6188</v>
      </c>
      <c r="D11" s="236">
        <f>$H$2*179</f>
        <v>6086</v>
      </c>
      <c r="E11" s="237">
        <f>$H$2*175</f>
        <v>5950</v>
      </c>
      <c r="F11" s="237">
        <f>$H$2*172</f>
        <v>5848</v>
      </c>
      <c r="G11" s="237">
        <f>$H$2*168</f>
        <v>5712</v>
      </c>
      <c r="H11" s="237">
        <f>$H$2*165</f>
        <v>5610</v>
      </c>
      <c r="I11" s="237">
        <f>$H$2*161</f>
        <v>5474</v>
      </c>
      <c r="J11" s="236">
        <f>$H$2*158</f>
        <v>5372</v>
      </c>
      <c r="K11" s="237">
        <f>$H$2*154</f>
        <v>5236</v>
      </c>
      <c r="L11" s="236">
        <f>$H$2*151</f>
        <v>5134</v>
      </c>
      <c r="M11" s="237">
        <f>$H$2*147</f>
        <v>4998</v>
      </c>
      <c r="N11" s="123"/>
    </row>
    <row r="12" spans="1:14">
      <c r="A12" s="123"/>
      <c r="B12" s="238">
        <v>0.5</v>
      </c>
      <c r="C12" s="237">
        <f>$H$2*175</f>
        <v>5950</v>
      </c>
      <c r="D12" s="237">
        <f>$H$2*172</f>
        <v>5848</v>
      </c>
      <c r="E12" s="237">
        <f>$H$2*168</f>
        <v>5712</v>
      </c>
      <c r="F12" s="237">
        <f>$H$2*165</f>
        <v>5610</v>
      </c>
      <c r="G12" s="237">
        <f>$H$2*161</f>
        <v>5474</v>
      </c>
      <c r="H12" s="236">
        <f>$H$2*158</f>
        <v>5372</v>
      </c>
      <c r="I12" s="237">
        <f>$H$2*154</f>
        <v>5236</v>
      </c>
      <c r="J12" s="236">
        <f>$H$2*151</f>
        <v>5134</v>
      </c>
      <c r="K12" s="237">
        <f>$H$2*147</f>
        <v>4998</v>
      </c>
      <c r="L12" s="236">
        <f>$H$2*144</f>
        <v>4896</v>
      </c>
      <c r="M12" s="237">
        <f>$H$2*140</f>
        <v>4760</v>
      </c>
      <c r="N12" s="123"/>
    </row>
    <row r="13" spans="1:14" ht="3" customHeight="1">
      <c r="A13" s="239"/>
      <c r="B13" s="240"/>
      <c r="C13" s="241"/>
      <c r="D13" s="241"/>
      <c r="E13" s="241"/>
      <c r="F13" s="241"/>
      <c r="G13" s="241"/>
      <c r="H13" s="241"/>
      <c r="I13" s="241"/>
      <c r="J13" s="241"/>
      <c r="K13" s="241"/>
      <c r="L13" s="241"/>
      <c r="M13" s="242"/>
      <c r="N13" s="123"/>
    </row>
    <row r="14" spans="1:14">
      <c r="A14" s="123"/>
      <c r="B14" s="235">
        <v>1</v>
      </c>
      <c r="C14" s="236">
        <f>$H$2*340</f>
        <v>11560</v>
      </c>
      <c r="D14" s="236">
        <f>$H$2*332</f>
        <v>11288</v>
      </c>
      <c r="E14" s="236">
        <f>$H$2*324</f>
        <v>11016</v>
      </c>
      <c r="F14" s="236">
        <f>$H$2*316</f>
        <v>10744</v>
      </c>
      <c r="G14" s="236">
        <f>$H$2*308</f>
        <v>10472</v>
      </c>
      <c r="H14" s="236">
        <f>$H$2*300</f>
        <v>10200</v>
      </c>
      <c r="I14" s="236">
        <f>$H$2*292</f>
        <v>9928</v>
      </c>
      <c r="J14" s="236">
        <f>$H$2*284</f>
        <v>9656</v>
      </c>
      <c r="K14" s="236">
        <f>$H$2*276</f>
        <v>9384</v>
      </c>
      <c r="L14" s="236">
        <f>$H$2*268</f>
        <v>9112</v>
      </c>
      <c r="M14" s="237">
        <f>$H$2*260</f>
        <v>8840</v>
      </c>
      <c r="N14" s="123"/>
    </row>
    <row r="15" spans="1:14">
      <c r="A15" s="123"/>
      <c r="B15" s="238">
        <v>0.9</v>
      </c>
      <c r="C15" s="236">
        <f>$H$2*324</f>
        <v>11016</v>
      </c>
      <c r="D15" s="236">
        <f>$H$2*316</f>
        <v>10744</v>
      </c>
      <c r="E15" s="236">
        <f>$H$2*308</f>
        <v>10472</v>
      </c>
      <c r="F15" s="236">
        <f>$H$2*300</f>
        <v>10200</v>
      </c>
      <c r="G15" s="236">
        <f>$H$2*292</f>
        <v>9928</v>
      </c>
      <c r="H15" s="236">
        <f>$H$2*284</f>
        <v>9656</v>
      </c>
      <c r="I15" s="236">
        <f>$H$2*276</f>
        <v>9384</v>
      </c>
      <c r="J15" s="236">
        <f>$H$2*268</f>
        <v>9112</v>
      </c>
      <c r="K15" s="237">
        <f>$H$2*260</f>
        <v>8840</v>
      </c>
      <c r="L15" s="236">
        <f>$H$2*252</f>
        <v>8568</v>
      </c>
      <c r="M15" s="237">
        <f>$H$2*244</f>
        <v>8296</v>
      </c>
      <c r="N15" s="123"/>
    </row>
    <row r="16" spans="1:14" ht="12.75" customHeight="1">
      <c r="A16" s="123" t="s">
        <v>150</v>
      </c>
      <c r="B16" s="238">
        <v>0.8</v>
      </c>
      <c r="C16" s="236">
        <f>$H$2*308</f>
        <v>10472</v>
      </c>
      <c r="D16" s="236">
        <f>$H$2*300</f>
        <v>10200</v>
      </c>
      <c r="E16" s="236">
        <f>$H$2*292</f>
        <v>9928</v>
      </c>
      <c r="F16" s="236">
        <f>$H$2*284</f>
        <v>9656</v>
      </c>
      <c r="G16" s="236">
        <f>$H$2*276</f>
        <v>9384</v>
      </c>
      <c r="H16" s="236">
        <f>$H$2*268</f>
        <v>9112</v>
      </c>
      <c r="I16" s="237">
        <f>$H$2*260</f>
        <v>8840</v>
      </c>
      <c r="J16" s="236">
        <f>$H$2*252</f>
        <v>8568</v>
      </c>
      <c r="K16" s="237">
        <f>$H$2*244</f>
        <v>8296</v>
      </c>
      <c r="L16" s="236">
        <f>$H$2*236</f>
        <v>8024</v>
      </c>
      <c r="M16" s="237">
        <f>$H$2*228</f>
        <v>7752</v>
      </c>
      <c r="N16" s="123"/>
    </row>
    <row r="17" spans="1:14">
      <c r="A17" s="123" t="s">
        <v>149</v>
      </c>
      <c r="B17" s="238">
        <v>0.7</v>
      </c>
      <c r="C17" s="236">
        <f>$H$2*292</f>
        <v>9928</v>
      </c>
      <c r="D17" s="236">
        <f>$H$2*284</f>
        <v>9656</v>
      </c>
      <c r="E17" s="236">
        <f>$H$2*276</f>
        <v>9384</v>
      </c>
      <c r="F17" s="236">
        <f>$H$2*268</f>
        <v>9112</v>
      </c>
      <c r="G17" s="237">
        <f>$H$2*260</f>
        <v>8840</v>
      </c>
      <c r="H17" s="236">
        <f>$H$2*252</f>
        <v>8568</v>
      </c>
      <c r="I17" s="237">
        <f>$H$2*244</f>
        <v>8296</v>
      </c>
      <c r="J17" s="236">
        <f>$H$2*236</f>
        <v>8024</v>
      </c>
      <c r="K17" s="237">
        <f>$H$2*228</f>
        <v>7752</v>
      </c>
      <c r="L17" s="236">
        <f>$H$2*220</f>
        <v>7480</v>
      </c>
      <c r="M17" s="237">
        <f>$H$2*212</f>
        <v>7208</v>
      </c>
      <c r="N17" s="123"/>
    </row>
    <row r="18" spans="1:14">
      <c r="A18" s="123"/>
      <c r="B18" s="238">
        <v>0.6</v>
      </c>
      <c r="C18" s="236">
        <f>$H$2*276</f>
        <v>9384</v>
      </c>
      <c r="D18" s="236">
        <f>$H$2*268</f>
        <v>9112</v>
      </c>
      <c r="E18" s="237">
        <f>$H$2*260</f>
        <v>8840</v>
      </c>
      <c r="F18" s="236">
        <f>$H$2*252</f>
        <v>8568</v>
      </c>
      <c r="G18" s="237">
        <f>$H$2*244</f>
        <v>8296</v>
      </c>
      <c r="H18" s="236">
        <f>$H$2*236</f>
        <v>8024</v>
      </c>
      <c r="I18" s="237">
        <f>$H$2*228</f>
        <v>7752</v>
      </c>
      <c r="J18" s="236">
        <f>$H$2*220</f>
        <v>7480</v>
      </c>
      <c r="K18" s="237">
        <f>$H$2*212</f>
        <v>7208</v>
      </c>
      <c r="L18" s="236">
        <f>$H$2*204</f>
        <v>6936</v>
      </c>
      <c r="M18" s="237">
        <f>$H$2*196</f>
        <v>6664</v>
      </c>
      <c r="N18" s="123"/>
    </row>
    <row r="19" spans="1:14">
      <c r="A19" s="123"/>
      <c r="B19" s="238">
        <v>0.5</v>
      </c>
      <c r="C19" s="237">
        <f>$H$2*260</f>
        <v>8840</v>
      </c>
      <c r="D19" s="236">
        <f>$H$2*252</f>
        <v>8568</v>
      </c>
      <c r="E19" s="237">
        <f>$H$2*244</f>
        <v>8296</v>
      </c>
      <c r="F19" s="236">
        <f>$H$2*236</f>
        <v>8024</v>
      </c>
      <c r="G19" s="237">
        <f>$H$2*228</f>
        <v>7752</v>
      </c>
      <c r="H19" s="236">
        <f>$H$2*220</f>
        <v>7480</v>
      </c>
      <c r="I19" s="237">
        <f>$H$2*212</f>
        <v>7208</v>
      </c>
      <c r="J19" s="236">
        <f>$H$2*204</f>
        <v>6936</v>
      </c>
      <c r="K19" s="237">
        <f>$H$2*196</f>
        <v>6664</v>
      </c>
      <c r="L19" s="236">
        <f>$H$2*188</f>
        <v>6392</v>
      </c>
      <c r="M19" s="237">
        <f>$H$2*180</f>
        <v>6120</v>
      </c>
      <c r="N19" s="123"/>
    </row>
    <row r="20" spans="1:14" ht="3" customHeight="1">
      <c r="A20" s="239"/>
      <c r="B20" s="240"/>
      <c r="C20" s="241"/>
      <c r="D20" s="241"/>
      <c r="E20" s="241"/>
      <c r="F20" s="241"/>
      <c r="G20" s="241"/>
      <c r="H20" s="241"/>
      <c r="I20" s="241"/>
      <c r="J20" s="241"/>
      <c r="K20" s="241"/>
      <c r="L20" s="241"/>
      <c r="M20" s="242"/>
      <c r="N20" s="123"/>
    </row>
    <row r="21" spans="1:14">
      <c r="A21" s="123"/>
      <c r="B21" s="235">
        <v>1</v>
      </c>
      <c r="C21" s="236">
        <f>$H$2*300</f>
        <v>10200</v>
      </c>
      <c r="D21" s="236">
        <f>$H$2*295</f>
        <v>10030</v>
      </c>
      <c r="E21" s="236">
        <f>$H$2*289</f>
        <v>9826</v>
      </c>
      <c r="F21" s="236">
        <f>$H$2*284</f>
        <v>9656</v>
      </c>
      <c r="G21" s="236">
        <f>$H$2*278</f>
        <v>9452</v>
      </c>
      <c r="H21" s="236">
        <f>$H$2*273</f>
        <v>9282</v>
      </c>
      <c r="I21" s="236">
        <f>$H$2*267</f>
        <v>9078</v>
      </c>
      <c r="J21" s="236">
        <f>$H$2*262</f>
        <v>8908</v>
      </c>
      <c r="K21" s="236">
        <f>$H$2*256</f>
        <v>8704</v>
      </c>
      <c r="L21" s="236">
        <f>$H$2*251</f>
        <v>8534</v>
      </c>
      <c r="M21" s="237">
        <f>$H$2*245</f>
        <v>8330</v>
      </c>
      <c r="N21" s="123"/>
    </row>
    <row r="22" spans="1:14">
      <c r="A22" s="123"/>
      <c r="B22" s="238">
        <v>0.9</v>
      </c>
      <c r="C22" s="236">
        <f>$H$2*289</f>
        <v>9826</v>
      </c>
      <c r="D22" s="236">
        <f>$H$2*284</f>
        <v>9656</v>
      </c>
      <c r="E22" s="236">
        <f>$H$2*278</f>
        <v>9452</v>
      </c>
      <c r="F22" s="236">
        <f>$H$2*273</f>
        <v>9282</v>
      </c>
      <c r="G22" s="236">
        <f>$H$2*267</f>
        <v>9078</v>
      </c>
      <c r="H22" s="236">
        <f>$H$2*262</f>
        <v>8908</v>
      </c>
      <c r="I22" s="236">
        <f>$H$2*256</f>
        <v>8704</v>
      </c>
      <c r="J22" s="236">
        <f>$H$2*251</f>
        <v>8534</v>
      </c>
      <c r="K22" s="237">
        <f>$H$2*245</f>
        <v>8330</v>
      </c>
      <c r="L22" s="236">
        <f>$H$2*240</f>
        <v>8160</v>
      </c>
      <c r="M22" s="237">
        <f>$H$2*234</f>
        <v>7956</v>
      </c>
      <c r="N22" s="123"/>
    </row>
    <row r="23" spans="1:14">
      <c r="A23" s="123" t="s">
        <v>151</v>
      </c>
      <c r="B23" s="238">
        <v>0.8</v>
      </c>
      <c r="C23" s="236">
        <f>$H$2*278</f>
        <v>9452</v>
      </c>
      <c r="D23" s="236">
        <f>$H$2*273</f>
        <v>9282</v>
      </c>
      <c r="E23" s="236">
        <f>$H$2*267</f>
        <v>9078</v>
      </c>
      <c r="F23" s="236">
        <f>$H$2*262</f>
        <v>8908</v>
      </c>
      <c r="G23" s="236">
        <f>$H$2*256</f>
        <v>8704</v>
      </c>
      <c r="H23" s="236">
        <f>$H$2*251</f>
        <v>8534</v>
      </c>
      <c r="I23" s="237">
        <f>$H$2*245</f>
        <v>8330</v>
      </c>
      <c r="J23" s="236">
        <f>$H$2*240</f>
        <v>8160</v>
      </c>
      <c r="K23" s="237">
        <f>$H$2*234</f>
        <v>7956</v>
      </c>
      <c r="L23" s="236">
        <f>$H$2*229</f>
        <v>7786</v>
      </c>
      <c r="M23" s="237">
        <f>$H$2*223</f>
        <v>7582</v>
      </c>
      <c r="N23" s="123"/>
    </row>
    <row r="24" spans="1:14">
      <c r="A24" s="123" t="s">
        <v>149</v>
      </c>
      <c r="B24" s="238">
        <v>0.7</v>
      </c>
      <c r="C24" s="236">
        <f>$H$2*267</f>
        <v>9078</v>
      </c>
      <c r="D24" s="236">
        <f>$H$2*262</f>
        <v>8908</v>
      </c>
      <c r="E24" s="236">
        <f>$H$2*256</f>
        <v>8704</v>
      </c>
      <c r="F24" s="236">
        <f>$H$2*251</f>
        <v>8534</v>
      </c>
      <c r="G24" s="237">
        <f>$H$2*245</f>
        <v>8330</v>
      </c>
      <c r="H24" s="236">
        <f>$H$2*240</f>
        <v>8160</v>
      </c>
      <c r="I24" s="237">
        <f>$H$2*234</f>
        <v>7956</v>
      </c>
      <c r="J24" s="236">
        <f>$H$2*229</f>
        <v>7786</v>
      </c>
      <c r="K24" s="237">
        <f>$H$2*223</f>
        <v>7582</v>
      </c>
      <c r="L24" s="236">
        <f>$H$2*218</f>
        <v>7412</v>
      </c>
      <c r="M24" s="237">
        <f>$H$2*212</f>
        <v>7208</v>
      </c>
      <c r="N24" s="123"/>
    </row>
    <row r="25" spans="1:14">
      <c r="A25" s="123"/>
      <c r="B25" s="238">
        <v>0.6</v>
      </c>
      <c r="C25" s="236">
        <f>$H$2*256</f>
        <v>8704</v>
      </c>
      <c r="D25" s="236">
        <f>$H$2*251</f>
        <v>8534</v>
      </c>
      <c r="E25" s="237">
        <f>$H$2*245</f>
        <v>8330</v>
      </c>
      <c r="F25" s="236">
        <f>$H$2*240</f>
        <v>8160</v>
      </c>
      <c r="G25" s="237">
        <f>$H$2*234</f>
        <v>7956</v>
      </c>
      <c r="H25" s="236">
        <f>$H$2*229</f>
        <v>7786</v>
      </c>
      <c r="I25" s="237">
        <f>$H$2*223</f>
        <v>7582</v>
      </c>
      <c r="J25" s="236">
        <f>$H$2*218</f>
        <v>7412</v>
      </c>
      <c r="K25" s="237">
        <f>$H$2*212</f>
        <v>7208</v>
      </c>
      <c r="L25" s="236">
        <f>$H$2*207</f>
        <v>7038</v>
      </c>
      <c r="M25" s="237">
        <f>$H$2*201</f>
        <v>6834</v>
      </c>
      <c r="N25" s="123"/>
    </row>
    <row r="26" spans="1:14">
      <c r="A26" s="123"/>
      <c r="B26" s="238">
        <v>0.5</v>
      </c>
      <c r="C26" s="237">
        <f>$H$2*245</f>
        <v>8330</v>
      </c>
      <c r="D26" s="236">
        <f>$H$2*240</f>
        <v>8160</v>
      </c>
      <c r="E26" s="237">
        <f>$H$2*234</f>
        <v>7956</v>
      </c>
      <c r="F26" s="236">
        <f>$H$2*229</f>
        <v>7786</v>
      </c>
      <c r="G26" s="237">
        <f>$H$2*223</f>
        <v>7582</v>
      </c>
      <c r="H26" s="236">
        <f>$H$2*218</f>
        <v>7412</v>
      </c>
      <c r="I26" s="237">
        <f>$H$2*212</f>
        <v>7208</v>
      </c>
      <c r="J26" s="236">
        <f>$H$2*207</f>
        <v>7038</v>
      </c>
      <c r="K26" s="237">
        <f>$H$2*201</f>
        <v>6834</v>
      </c>
      <c r="L26" s="236">
        <f>$H$2*196</f>
        <v>6664</v>
      </c>
      <c r="M26" s="236">
        <f>$H$2*190</f>
        <v>6460</v>
      </c>
      <c r="N26" s="123"/>
    </row>
    <row r="27" spans="1:14" ht="3" customHeight="1">
      <c r="A27" s="239"/>
      <c r="B27" s="240"/>
      <c r="C27" s="241"/>
      <c r="D27" s="241"/>
      <c r="E27" s="241"/>
      <c r="F27" s="241"/>
      <c r="G27" s="241"/>
      <c r="H27" s="241"/>
      <c r="I27" s="241"/>
      <c r="J27" s="241"/>
      <c r="K27" s="241"/>
      <c r="L27" s="241"/>
      <c r="M27" s="242"/>
      <c r="N27" s="123"/>
    </row>
    <row r="28" spans="1:14" ht="12.75" customHeight="1">
      <c r="A28" s="123"/>
      <c r="B28" s="235">
        <v>1</v>
      </c>
      <c r="C28" s="236">
        <f>$H$2*240</f>
        <v>8160</v>
      </c>
      <c r="D28" s="236">
        <f>$H$2*237</f>
        <v>8058</v>
      </c>
      <c r="E28" s="236">
        <f>$H$2*234</f>
        <v>7956</v>
      </c>
      <c r="F28" s="236">
        <f>$H$2*231</f>
        <v>7854</v>
      </c>
      <c r="G28" s="236">
        <f>$H$2*228</f>
        <v>7752</v>
      </c>
      <c r="H28" s="236">
        <f>$H$2*225</f>
        <v>7650</v>
      </c>
      <c r="I28" s="236">
        <f>$H$2*222</f>
        <v>7548</v>
      </c>
      <c r="J28" s="236">
        <f>$H$2*219</f>
        <v>7446</v>
      </c>
      <c r="K28" s="236">
        <f>$H$2*216</f>
        <v>7344</v>
      </c>
      <c r="L28" s="236">
        <f>$H$2*213</f>
        <v>7242</v>
      </c>
      <c r="M28" s="237">
        <f>$H$2*210</f>
        <v>7140</v>
      </c>
      <c r="N28" s="123"/>
    </row>
    <row r="29" spans="1:14">
      <c r="A29" s="123"/>
      <c r="B29" s="238">
        <v>0.9</v>
      </c>
      <c r="C29" s="236">
        <f>$H$2*234</f>
        <v>7956</v>
      </c>
      <c r="D29" s="236">
        <f>$H$2*231</f>
        <v>7854</v>
      </c>
      <c r="E29" s="236">
        <f>$H$2*228</f>
        <v>7752</v>
      </c>
      <c r="F29" s="236">
        <f>$H$2*225</f>
        <v>7650</v>
      </c>
      <c r="G29" s="236">
        <f>$H$2*222</f>
        <v>7548</v>
      </c>
      <c r="H29" s="236">
        <f>$H$2*219</f>
        <v>7446</v>
      </c>
      <c r="I29" s="236">
        <f>$H$2*216</f>
        <v>7344</v>
      </c>
      <c r="J29" s="236">
        <f>$H$2*213</f>
        <v>7242</v>
      </c>
      <c r="K29" s="237">
        <f>$H$2*210</f>
        <v>7140</v>
      </c>
      <c r="L29" s="236">
        <f>$H$2*207</f>
        <v>7038</v>
      </c>
      <c r="M29" s="237">
        <f>$H$2*204</f>
        <v>6936</v>
      </c>
      <c r="N29" s="123"/>
    </row>
    <row r="30" spans="1:14">
      <c r="A30" s="123" t="s">
        <v>152</v>
      </c>
      <c r="B30" s="238">
        <v>0.8</v>
      </c>
      <c r="C30" s="236">
        <f>$H$2*228</f>
        <v>7752</v>
      </c>
      <c r="D30" s="236">
        <f>$H$2*225</f>
        <v>7650</v>
      </c>
      <c r="E30" s="236">
        <f>$H$2*222</f>
        <v>7548</v>
      </c>
      <c r="F30" s="236">
        <f>$H$2*219</f>
        <v>7446</v>
      </c>
      <c r="G30" s="236">
        <f>$H$2*216</f>
        <v>7344</v>
      </c>
      <c r="H30" s="236">
        <f>$H$2*213</f>
        <v>7242</v>
      </c>
      <c r="I30" s="237">
        <f>$H$2*210</f>
        <v>7140</v>
      </c>
      <c r="J30" s="236">
        <f>$H$2*207</f>
        <v>7038</v>
      </c>
      <c r="K30" s="237">
        <f>$H$2*204</f>
        <v>6936</v>
      </c>
      <c r="L30" s="236">
        <f>$H$2*201</f>
        <v>6834</v>
      </c>
      <c r="M30" s="237">
        <f>$H$2*198</f>
        <v>6732</v>
      </c>
      <c r="N30" s="123"/>
    </row>
    <row r="31" spans="1:14">
      <c r="A31" s="123" t="s">
        <v>153</v>
      </c>
      <c r="B31" s="238">
        <v>0.7</v>
      </c>
      <c r="C31" s="236">
        <f>$H$2*222</f>
        <v>7548</v>
      </c>
      <c r="D31" s="236">
        <f>$H$2*219</f>
        <v>7446</v>
      </c>
      <c r="E31" s="236">
        <f>$H$2*216</f>
        <v>7344</v>
      </c>
      <c r="F31" s="236">
        <f>$H$2*213</f>
        <v>7242</v>
      </c>
      <c r="G31" s="237">
        <f>$H$2*210</f>
        <v>7140</v>
      </c>
      <c r="H31" s="236">
        <f>$H$2*207</f>
        <v>7038</v>
      </c>
      <c r="I31" s="237">
        <f>$H$2*204</f>
        <v>6936</v>
      </c>
      <c r="J31" s="236">
        <f>$H$2*201</f>
        <v>6834</v>
      </c>
      <c r="K31" s="237">
        <f>$H$2*198</f>
        <v>6732</v>
      </c>
      <c r="L31" s="236">
        <f>$H$2*195</f>
        <v>6630</v>
      </c>
      <c r="M31" s="237">
        <f>$H$2*192</f>
        <v>6528</v>
      </c>
      <c r="N31" s="123"/>
    </row>
    <row r="32" spans="1:14">
      <c r="A32" s="123"/>
      <c r="B32" s="238">
        <v>0.6</v>
      </c>
      <c r="C32" s="236">
        <f>$H$2*216</f>
        <v>7344</v>
      </c>
      <c r="D32" s="236">
        <f>$H$2*213</f>
        <v>7242</v>
      </c>
      <c r="E32" s="237">
        <f>$H$2*210</f>
        <v>7140</v>
      </c>
      <c r="F32" s="236">
        <f>$H$2*207</f>
        <v>7038</v>
      </c>
      <c r="G32" s="237">
        <f>$H$2*204</f>
        <v>6936</v>
      </c>
      <c r="H32" s="236">
        <f>$H$2*201</f>
        <v>6834</v>
      </c>
      <c r="I32" s="237">
        <f>$H$2*198</f>
        <v>6732</v>
      </c>
      <c r="J32" s="236">
        <f>$H$2*195</f>
        <v>6630</v>
      </c>
      <c r="K32" s="237">
        <f>$H$2*192</f>
        <v>6528</v>
      </c>
      <c r="L32" s="236">
        <f>$H$2*189</f>
        <v>6426</v>
      </c>
      <c r="M32" s="237">
        <f>$H$2*186</f>
        <v>6324</v>
      </c>
      <c r="N32" s="123"/>
    </row>
    <row r="33" spans="1:14">
      <c r="A33" s="123"/>
      <c r="B33" s="238">
        <v>0.5</v>
      </c>
      <c r="C33" s="237">
        <f>$H$2*210</f>
        <v>7140</v>
      </c>
      <c r="D33" s="236">
        <f>$H$2*207</f>
        <v>7038</v>
      </c>
      <c r="E33" s="237">
        <f>$H$2*204</f>
        <v>6936</v>
      </c>
      <c r="F33" s="236">
        <f>$H$2*201</f>
        <v>6834</v>
      </c>
      <c r="G33" s="237">
        <f>$H$2*198</f>
        <v>6732</v>
      </c>
      <c r="H33" s="236">
        <f>$H$2*195</f>
        <v>6630</v>
      </c>
      <c r="I33" s="237">
        <f>$H$2*192</f>
        <v>6528</v>
      </c>
      <c r="J33" s="236">
        <f>$H$2*189</f>
        <v>6426</v>
      </c>
      <c r="K33" s="237">
        <f>$H$2*186</f>
        <v>6324</v>
      </c>
      <c r="L33" s="237">
        <f>$H$2*183</f>
        <v>6222</v>
      </c>
      <c r="M33" s="237">
        <f>$H$2*180</f>
        <v>6120</v>
      </c>
      <c r="N33" s="123"/>
    </row>
    <row r="34" spans="1:14" ht="3" customHeight="1">
      <c r="A34" s="239"/>
      <c r="B34" s="240"/>
      <c r="C34" s="241"/>
      <c r="D34" s="241"/>
      <c r="E34" s="241"/>
      <c r="F34" s="241"/>
      <c r="G34" s="241"/>
      <c r="H34" s="241"/>
      <c r="I34" s="241"/>
      <c r="J34" s="241"/>
      <c r="K34" s="241"/>
      <c r="L34" s="241"/>
      <c r="M34" s="242"/>
      <c r="N34" s="123"/>
    </row>
    <row r="35" spans="1:14">
      <c r="A35" s="123" t="s">
        <v>154</v>
      </c>
      <c r="B35" s="238"/>
      <c r="M35" s="3"/>
      <c r="N35" s="123"/>
    </row>
    <row r="36" spans="1:14">
      <c r="A36" s="123" t="s">
        <v>155</v>
      </c>
      <c r="B36" s="238"/>
      <c r="C36" s="237">
        <f>$H$2*140</f>
        <v>4760</v>
      </c>
      <c r="M36" s="3"/>
      <c r="N36" s="123"/>
    </row>
    <row r="37" spans="1:14">
      <c r="A37" s="85" t="s">
        <v>156</v>
      </c>
      <c r="B37" s="233"/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123"/>
    </row>
  </sheetData>
  <sheetProtection password="836F" sheet="1" objects="1" scenarios="1"/>
  <phoneticPr fontId="30" type="noConversion"/>
  <pageMargins left="0.78740157480314965" right="0.51181102362204722" top="0.98425196850393704" bottom="0.98425196850393704" header="0.51181102362204722" footer="0.51181102362204722"/>
  <pageSetup paperSize="9" orientation="portrait" horizontalDpi="360" verticalDpi="300" r:id="rId1"/>
  <headerFooter alignWithMargins="0">
    <oddHeader>&amp;L&amp;"Times New Roman,Fet\&amp;14Sveriges Elleverantörer&amp;R&amp;D</oddHeader>
    <oddFooter>&amp;L&amp;8&amp;F\&amp;A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Blad17"/>
  <dimension ref="A1:N37"/>
  <sheetViews>
    <sheetView workbookViewId="0">
      <selection activeCell="I9" sqref="I9"/>
    </sheetView>
  </sheetViews>
  <sheetFormatPr defaultRowHeight="12.75"/>
  <cols>
    <col min="1" max="1" width="10.85546875" customWidth="1"/>
    <col min="2" max="2" width="5.42578125" customWidth="1"/>
    <col min="3" max="13" width="6.28515625" customWidth="1"/>
    <col min="14" max="14" width="0.28515625" customWidth="1"/>
  </cols>
  <sheetData>
    <row r="1" spans="1:14" ht="24" customHeight="1">
      <c r="A1" s="228" t="s">
        <v>140</v>
      </c>
    </row>
    <row r="2" spans="1:14" ht="24" customHeight="1">
      <c r="A2" s="78" t="s">
        <v>141</v>
      </c>
      <c r="H2" s="229">
        <f>Fakta!$C$22</f>
        <v>34</v>
      </c>
    </row>
    <row r="3" spans="1:14" ht="24" customHeight="1">
      <c r="A3" s="78" t="s">
        <v>158</v>
      </c>
    </row>
    <row r="5" spans="1:14">
      <c r="A5" s="230" t="s">
        <v>143</v>
      </c>
      <c r="B5" s="231" t="s">
        <v>144</v>
      </c>
      <c r="C5" s="232" t="s">
        <v>145</v>
      </c>
      <c r="D5" s="232"/>
      <c r="E5" s="232"/>
      <c r="F5" s="232"/>
      <c r="G5" s="232"/>
      <c r="H5" s="232"/>
      <c r="I5" s="232"/>
      <c r="J5" s="232"/>
      <c r="K5" s="232"/>
      <c r="L5" s="232"/>
      <c r="M5" s="232"/>
      <c r="N5" s="123"/>
    </row>
    <row r="6" spans="1:14">
      <c r="A6" s="85" t="s">
        <v>146</v>
      </c>
      <c r="B6" s="233" t="s">
        <v>147</v>
      </c>
      <c r="C6" s="234">
        <v>10</v>
      </c>
      <c r="D6" s="234">
        <v>9.1</v>
      </c>
      <c r="E6" s="234">
        <v>8.1999999999999993</v>
      </c>
      <c r="F6" s="234">
        <v>7.3</v>
      </c>
      <c r="G6" s="234">
        <v>6.4</v>
      </c>
      <c r="H6" s="234">
        <v>5.5</v>
      </c>
      <c r="I6" s="234">
        <v>4.5999999999999996</v>
      </c>
      <c r="J6" s="234">
        <v>3.7</v>
      </c>
      <c r="K6" s="234">
        <v>2.8</v>
      </c>
      <c r="L6" s="234">
        <v>1.9</v>
      </c>
      <c r="M6" s="234">
        <v>0.1</v>
      </c>
      <c r="N6" s="123"/>
    </row>
    <row r="7" spans="1:14">
      <c r="A7" s="123"/>
      <c r="B7" s="235">
        <v>1</v>
      </c>
      <c r="C7" s="236">
        <f>$H$2*130</f>
        <v>4420</v>
      </c>
      <c r="D7" s="236">
        <f>$H$2*127</f>
        <v>4318</v>
      </c>
      <c r="E7" s="236">
        <f>$H$2*124</f>
        <v>4216</v>
      </c>
      <c r="F7" s="236">
        <f>$H$2*121</f>
        <v>4114</v>
      </c>
      <c r="G7" s="236">
        <f>$H$2*118</f>
        <v>4012</v>
      </c>
      <c r="H7" s="236">
        <f>$H$2*115</f>
        <v>3910</v>
      </c>
      <c r="I7" s="236">
        <f>$H$2*112</f>
        <v>3808</v>
      </c>
      <c r="J7" s="236">
        <f>$H$2*109</f>
        <v>3706</v>
      </c>
      <c r="K7" s="236">
        <f>$H$2*106</f>
        <v>3604</v>
      </c>
      <c r="L7" s="236">
        <f>$H$2*103</f>
        <v>3502</v>
      </c>
      <c r="M7" s="237">
        <f>$H$2*100</f>
        <v>3400</v>
      </c>
      <c r="N7" s="123"/>
    </row>
    <row r="8" spans="1:14">
      <c r="A8" s="123"/>
      <c r="B8" s="238">
        <v>0.9</v>
      </c>
      <c r="C8" s="236">
        <f>$H$2*124</f>
        <v>4216</v>
      </c>
      <c r="D8" s="236">
        <f>$H$2*121</f>
        <v>4114</v>
      </c>
      <c r="E8" s="236">
        <f>$H$2*118</f>
        <v>4012</v>
      </c>
      <c r="F8" s="236">
        <f>$H$2*115</f>
        <v>3910</v>
      </c>
      <c r="G8" s="236">
        <f>$H$2*112</f>
        <v>3808</v>
      </c>
      <c r="H8" s="236">
        <f>$H$2*109</f>
        <v>3706</v>
      </c>
      <c r="I8" s="236">
        <f>$H$2*106</f>
        <v>3604</v>
      </c>
      <c r="J8" s="236">
        <f>$H$2*103</f>
        <v>3502</v>
      </c>
      <c r="K8" s="237">
        <f>$H$2*100</f>
        <v>3400</v>
      </c>
      <c r="L8" s="236">
        <f>$H$2*97</f>
        <v>3298</v>
      </c>
      <c r="M8" s="237">
        <f>$H$2*94</f>
        <v>3196</v>
      </c>
      <c r="N8" s="123"/>
    </row>
    <row r="9" spans="1:14">
      <c r="A9" s="123" t="s">
        <v>148</v>
      </c>
      <c r="B9" s="238">
        <v>0.8</v>
      </c>
      <c r="C9" s="236">
        <f>$H$2*118</f>
        <v>4012</v>
      </c>
      <c r="D9" s="236">
        <f>$H$2*115</f>
        <v>3910</v>
      </c>
      <c r="E9" s="236">
        <f>$H$2*112</f>
        <v>3808</v>
      </c>
      <c r="F9" s="236">
        <f>$H$2*109</f>
        <v>3706</v>
      </c>
      <c r="G9" s="236">
        <f>$H$2*106</f>
        <v>3604</v>
      </c>
      <c r="H9" s="236">
        <f>$H$2*103</f>
        <v>3502</v>
      </c>
      <c r="I9" s="237">
        <f>$H$2*100</f>
        <v>3400</v>
      </c>
      <c r="J9" s="236">
        <f>$H$2*97</f>
        <v>3298</v>
      </c>
      <c r="K9" s="237">
        <f>$H$2*94</f>
        <v>3196</v>
      </c>
      <c r="L9" s="236">
        <f>$H$2*91</f>
        <v>3094</v>
      </c>
      <c r="M9" s="237">
        <f>$H$2*88</f>
        <v>2992</v>
      </c>
      <c r="N9" s="123"/>
    </row>
    <row r="10" spans="1:14">
      <c r="A10" s="123" t="s">
        <v>149</v>
      </c>
      <c r="B10" s="238">
        <v>0.7</v>
      </c>
      <c r="C10" s="236">
        <f>$H$2*112</f>
        <v>3808</v>
      </c>
      <c r="D10" s="236">
        <f>$H$2*109</f>
        <v>3706</v>
      </c>
      <c r="E10" s="236">
        <f>$H$2*106</f>
        <v>3604</v>
      </c>
      <c r="F10" s="236">
        <f>$H$2*103</f>
        <v>3502</v>
      </c>
      <c r="G10" s="237">
        <f>$H$2*100</f>
        <v>3400</v>
      </c>
      <c r="H10" s="236">
        <f>$H$2*97</f>
        <v>3298</v>
      </c>
      <c r="I10" s="237">
        <f>$H$2*94</f>
        <v>3196</v>
      </c>
      <c r="J10" s="236">
        <f>$H$2*91</f>
        <v>3094</v>
      </c>
      <c r="K10" s="237">
        <f>$H$2*88</f>
        <v>2992</v>
      </c>
      <c r="L10" s="236">
        <f>$H$2*85</f>
        <v>2890</v>
      </c>
      <c r="M10" s="237">
        <f>$H$2*82</f>
        <v>2788</v>
      </c>
      <c r="N10" s="123"/>
    </row>
    <row r="11" spans="1:14">
      <c r="A11" s="123"/>
      <c r="B11" s="238">
        <v>0.6</v>
      </c>
      <c r="C11" s="236">
        <f>$H$2*106</f>
        <v>3604</v>
      </c>
      <c r="D11" s="236">
        <f>$H$2*103</f>
        <v>3502</v>
      </c>
      <c r="E11" s="237">
        <f>$H$2*100</f>
        <v>3400</v>
      </c>
      <c r="F11" s="236">
        <f>$H$2*97</f>
        <v>3298</v>
      </c>
      <c r="G11" s="237">
        <f>$H$2*94</f>
        <v>3196</v>
      </c>
      <c r="H11" s="236">
        <f>$H$2*91</f>
        <v>3094</v>
      </c>
      <c r="I11" s="237">
        <f>$H$2*88</f>
        <v>2992</v>
      </c>
      <c r="J11" s="236">
        <f>$H$2*85</f>
        <v>2890</v>
      </c>
      <c r="K11" s="237">
        <f>$H$2*82</f>
        <v>2788</v>
      </c>
      <c r="L11" s="236">
        <f>$H$2*79</f>
        <v>2686</v>
      </c>
      <c r="M11" s="237">
        <f>$H$2*76</f>
        <v>2584</v>
      </c>
      <c r="N11" s="123"/>
    </row>
    <row r="12" spans="1:14">
      <c r="A12" s="123"/>
      <c r="B12" s="238">
        <v>0.5</v>
      </c>
      <c r="C12" s="237">
        <f>$H$2*100</f>
        <v>3400</v>
      </c>
      <c r="D12" s="236">
        <f>$H$2*97</f>
        <v>3298</v>
      </c>
      <c r="E12" s="237">
        <f>$H$2*94</f>
        <v>3196</v>
      </c>
      <c r="F12" s="236">
        <f>$H$2*91</f>
        <v>3094</v>
      </c>
      <c r="G12" s="237">
        <f>$H$2*88</f>
        <v>2992</v>
      </c>
      <c r="H12" s="236">
        <f>$H$2*85</f>
        <v>2890</v>
      </c>
      <c r="I12" s="237">
        <f>$H$2*82</f>
        <v>2788</v>
      </c>
      <c r="J12" s="236">
        <f>$H$2*79</f>
        <v>2686</v>
      </c>
      <c r="K12" s="237">
        <f>$H$2*76</f>
        <v>2584</v>
      </c>
      <c r="L12" s="236">
        <f>$H$2*73</f>
        <v>2482</v>
      </c>
      <c r="M12" s="237">
        <f>$H$2*70</f>
        <v>2380</v>
      </c>
      <c r="N12" s="123"/>
    </row>
    <row r="13" spans="1:14" ht="3" customHeight="1">
      <c r="A13" s="239"/>
      <c r="B13" s="240"/>
      <c r="C13" s="241"/>
      <c r="D13" s="241"/>
      <c r="E13" s="241"/>
      <c r="F13" s="241"/>
      <c r="G13" s="241"/>
      <c r="H13" s="241"/>
      <c r="I13" s="241"/>
      <c r="J13" s="241"/>
      <c r="K13" s="241"/>
      <c r="L13" s="241"/>
      <c r="M13" s="242"/>
      <c r="N13" s="123"/>
    </row>
    <row r="14" spans="1:14">
      <c r="A14" s="123"/>
      <c r="B14" s="235">
        <v>1</v>
      </c>
      <c r="C14" s="236">
        <f>$H$2*200</f>
        <v>6800</v>
      </c>
      <c r="D14" s="236">
        <f>$H$2*195</f>
        <v>6630</v>
      </c>
      <c r="E14" s="236">
        <f>$H$2*190</f>
        <v>6460</v>
      </c>
      <c r="F14" s="236">
        <f>$H$2*185</f>
        <v>6290</v>
      </c>
      <c r="G14" s="236">
        <f>$H$2*180</f>
        <v>6120</v>
      </c>
      <c r="H14" s="236">
        <f>$H$2*175</f>
        <v>5950</v>
      </c>
      <c r="I14" s="236">
        <f>$H$2*170</f>
        <v>5780</v>
      </c>
      <c r="J14" s="236">
        <f>$H$2*165</f>
        <v>5610</v>
      </c>
      <c r="K14" s="236">
        <f>$H$2*160</f>
        <v>5440</v>
      </c>
      <c r="L14" s="236">
        <f>$H$2*155</f>
        <v>5270</v>
      </c>
      <c r="M14" s="237">
        <f>$H$2*150</f>
        <v>5100</v>
      </c>
      <c r="N14" s="123"/>
    </row>
    <row r="15" spans="1:14">
      <c r="A15" s="123"/>
      <c r="B15" s="238">
        <v>0.9</v>
      </c>
      <c r="C15" s="236">
        <f>$H$2*190</f>
        <v>6460</v>
      </c>
      <c r="D15" s="236">
        <f>$H$2*185</f>
        <v>6290</v>
      </c>
      <c r="E15" s="236">
        <f>$H$2*180</f>
        <v>6120</v>
      </c>
      <c r="F15" s="236">
        <f>$H$2*175</f>
        <v>5950</v>
      </c>
      <c r="G15" s="236">
        <f>$H$2*170</f>
        <v>5780</v>
      </c>
      <c r="H15" s="236">
        <f>$H$2*165</f>
        <v>5610</v>
      </c>
      <c r="I15" s="236">
        <f>$H$2*160</f>
        <v>5440</v>
      </c>
      <c r="J15" s="236">
        <f>$H$2*155</f>
        <v>5270</v>
      </c>
      <c r="K15" s="237">
        <f>$H$2*150</f>
        <v>5100</v>
      </c>
      <c r="L15" s="236">
        <f>$H$2*145</f>
        <v>4930</v>
      </c>
      <c r="M15" s="237">
        <f>$H$2*140</f>
        <v>4760</v>
      </c>
      <c r="N15" s="123"/>
    </row>
    <row r="16" spans="1:14">
      <c r="A16" s="123" t="s">
        <v>150</v>
      </c>
      <c r="B16" s="238">
        <v>0.8</v>
      </c>
      <c r="C16" s="236">
        <f>$H$2*180</f>
        <v>6120</v>
      </c>
      <c r="D16" s="236">
        <f>$H$2*175</f>
        <v>5950</v>
      </c>
      <c r="E16" s="236">
        <f>$H$2*170</f>
        <v>5780</v>
      </c>
      <c r="F16" s="236">
        <f>$H$2*165</f>
        <v>5610</v>
      </c>
      <c r="G16" s="236">
        <f>$H$2*160</f>
        <v>5440</v>
      </c>
      <c r="H16" s="236">
        <f>$H$2*155</f>
        <v>5270</v>
      </c>
      <c r="I16" s="237">
        <f>$H$2*150</f>
        <v>5100</v>
      </c>
      <c r="J16" s="236">
        <f>$H$2*145</f>
        <v>4930</v>
      </c>
      <c r="K16" s="237">
        <f>$H$2*140</f>
        <v>4760</v>
      </c>
      <c r="L16" s="236">
        <f>$H$2*135</f>
        <v>4590</v>
      </c>
      <c r="M16" s="237">
        <f>$H$2*130</f>
        <v>4420</v>
      </c>
      <c r="N16" s="123"/>
    </row>
    <row r="17" spans="1:14">
      <c r="A17" s="123" t="s">
        <v>149</v>
      </c>
      <c r="B17" s="238">
        <v>0.7</v>
      </c>
      <c r="C17" s="236">
        <f>$H$2*170</f>
        <v>5780</v>
      </c>
      <c r="D17" s="236">
        <f>$H$2*165</f>
        <v>5610</v>
      </c>
      <c r="E17" s="236">
        <f>$H$2*160</f>
        <v>5440</v>
      </c>
      <c r="F17" s="236">
        <f>$H$2*155</f>
        <v>5270</v>
      </c>
      <c r="G17" s="237">
        <f>$H$2*150</f>
        <v>5100</v>
      </c>
      <c r="H17" s="236">
        <f>$H$2*145</f>
        <v>4930</v>
      </c>
      <c r="I17" s="237">
        <f>$H$2*140</f>
        <v>4760</v>
      </c>
      <c r="J17" s="236">
        <f>$H$2*135</f>
        <v>4590</v>
      </c>
      <c r="K17" s="237">
        <f>$H$2*130</f>
        <v>4420</v>
      </c>
      <c r="L17" s="236">
        <f>$H$2*125</f>
        <v>4250</v>
      </c>
      <c r="M17" s="237">
        <f>$H$2*120</f>
        <v>4080</v>
      </c>
      <c r="N17" s="123"/>
    </row>
    <row r="18" spans="1:14">
      <c r="A18" s="123"/>
      <c r="B18" s="238">
        <v>0.6</v>
      </c>
      <c r="C18" s="236">
        <f>$H$2*160</f>
        <v>5440</v>
      </c>
      <c r="D18" s="236">
        <f>$H$2*155</f>
        <v>5270</v>
      </c>
      <c r="E18" s="237">
        <f>$H$2*150</f>
        <v>5100</v>
      </c>
      <c r="F18" s="236">
        <f>$H$2*145</f>
        <v>4930</v>
      </c>
      <c r="G18" s="237">
        <f>$H$2*140</f>
        <v>4760</v>
      </c>
      <c r="H18" s="236">
        <f>$H$2*135</f>
        <v>4590</v>
      </c>
      <c r="I18" s="237">
        <f>$H$2*130</f>
        <v>4420</v>
      </c>
      <c r="J18" s="236">
        <f>$H$2*125</f>
        <v>4250</v>
      </c>
      <c r="K18" s="237">
        <f>$H$2*120</f>
        <v>4080</v>
      </c>
      <c r="L18" s="236">
        <f>$H$2*115</f>
        <v>3910</v>
      </c>
      <c r="M18" s="237">
        <f>$H$2*110</f>
        <v>3740</v>
      </c>
      <c r="N18" s="123"/>
    </row>
    <row r="19" spans="1:14">
      <c r="A19" s="123"/>
      <c r="B19" s="238">
        <v>0.5</v>
      </c>
      <c r="C19" s="237">
        <f>$H$2*150</f>
        <v>5100</v>
      </c>
      <c r="D19" s="236">
        <f>$H$2*145</f>
        <v>4930</v>
      </c>
      <c r="E19" s="237">
        <f>$H$2*140</f>
        <v>4760</v>
      </c>
      <c r="F19" s="236">
        <f>$H$2*135</f>
        <v>4590</v>
      </c>
      <c r="G19" s="237">
        <f>$H$2*130</f>
        <v>4420</v>
      </c>
      <c r="H19" s="236">
        <f>$H$2*125</f>
        <v>4250</v>
      </c>
      <c r="I19" s="237">
        <f>$H$2*120</f>
        <v>4080</v>
      </c>
      <c r="J19" s="236">
        <f>$H$2*115</f>
        <v>3910</v>
      </c>
      <c r="K19" s="237">
        <f>$H$2*110</f>
        <v>3740</v>
      </c>
      <c r="L19" s="236">
        <f>$H$2*105</f>
        <v>3570</v>
      </c>
      <c r="M19" s="237">
        <f>$H$2*100</f>
        <v>3400</v>
      </c>
      <c r="N19" s="123"/>
    </row>
    <row r="20" spans="1:14" ht="3" customHeight="1">
      <c r="A20" s="239"/>
      <c r="B20" s="240"/>
      <c r="C20" s="241"/>
      <c r="D20" s="241"/>
      <c r="E20" s="241"/>
      <c r="F20" s="241"/>
      <c r="G20" s="241"/>
      <c r="H20" s="241"/>
      <c r="I20" s="241"/>
      <c r="J20" s="241"/>
      <c r="K20" s="241"/>
      <c r="L20" s="241"/>
      <c r="M20" s="242"/>
      <c r="N20" s="123"/>
    </row>
    <row r="21" spans="1:14">
      <c r="A21" s="123"/>
      <c r="B21" s="235">
        <v>1</v>
      </c>
      <c r="C21" s="236">
        <f>$H$2*200</f>
        <v>6800</v>
      </c>
      <c r="D21" s="236">
        <f>$H$2*196</f>
        <v>6664</v>
      </c>
      <c r="E21" s="236">
        <f>$H$2*192</f>
        <v>6528</v>
      </c>
      <c r="F21" s="236">
        <f>$H$2*188</f>
        <v>6392</v>
      </c>
      <c r="G21" s="236">
        <f>$H$2*184</f>
        <v>6256</v>
      </c>
      <c r="H21" s="236">
        <f>$H$2*180</f>
        <v>6120</v>
      </c>
      <c r="I21" s="236">
        <f>$H$2*176</f>
        <v>5984</v>
      </c>
      <c r="J21" s="236">
        <f>$H$2*172</f>
        <v>5848</v>
      </c>
      <c r="K21" s="236">
        <f>$H$2*168</f>
        <v>5712</v>
      </c>
      <c r="L21" s="236">
        <f>$H$2*164</f>
        <v>5576</v>
      </c>
      <c r="M21" s="237">
        <f>$H$2*160</f>
        <v>5440</v>
      </c>
      <c r="N21" s="123"/>
    </row>
    <row r="22" spans="1:14">
      <c r="A22" s="123"/>
      <c r="B22" s="238">
        <v>0.9</v>
      </c>
      <c r="C22" s="236">
        <f>$H$2*192</f>
        <v>6528</v>
      </c>
      <c r="D22" s="236">
        <f>$H$2*188</f>
        <v>6392</v>
      </c>
      <c r="E22" s="236">
        <f>$H$2*184</f>
        <v>6256</v>
      </c>
      <c r="F22" s="236">
        <f>$H$2*180</f>
        <v>6120</v>
      </c>
      <c r="G22" s="236">
        <f>$H$2*176</f>
        <v>5984</v>
      </c>
      <c r="H22" s="236">
        <f>$H$2*172</f>
        <v>5848</v>
      </c>
      <c r="I22" s="236">
        <f>$H$2*168</f>
        <v>5712</v>
      </c>
      <c r="J22" s="236">
        <f>$H$2*164</f>
        <v>5576</v>
      </c>
      <c r="K22" s="237">
        <f>$H$2*160</f>
        <v>5440</v>
      </c>
      <c r="L22" s="236">
        <f>$H$2*156</f>
        <v>5304</v>
      </c>
      <c r="M22" s="236">
        <f>$H$2*152</f>
        <v>5168</v>
      </c>
      <c r="N22" s="123"/>
    </row>
    <row r="23" spans="1:14">
      <c r="A23" s="123" t="s">
        <v>151</v>
      </c>
      <c r="B23" s="238">
        <v>0.8</v>
      </c>
      <c r="C23" s="236">
        <f>$H$2*184</f>
        <v>6256</v>
      </c>
      <c r="D23" s="236">
        <f>$H$2*180</f>
        <v>6120</v>
      </c>
      <c r="E23" s="236">
        <f>$H$2*176</f>
        <v>5984</v>
      </c>
      <c r="F23" s="236">
        <f>$H$2*172</f>
        <v>5848</v>
      </c>
      <c r="G23" s="236">
        <f>$H$2*168</f>
        <v>5712</v>
      </c>
      <c r="H23" s="236">
        <f>$H$2*164</f>
        <v>5576</v>
      </c>
      <c r="I23" s="237">
        <f>$H$2*160</f>
        <v>5440</v>
      </c>
      <c r="J23" s="236">
        <f>$H$2*156</f>
        <v>5304</v>
      </c>
      <c r="K23" s="236">
        <f>$H$2*152</f>
        <v>5168</v>
      </c>
      <c r="L23" s="236">
        <f>$H$2*148</f>
        <v>5032</v>
      </c>
      <c r="M23" s="237">
        <f>$H$2*144</f>
        <v>4896</v>
      </c>
      <c r="N23" s="123"/>
    </row>
    <row r="24" spans="1:14">
      <c r="A24" s="123" t="s">
        <v>149</v>
      </c>
      <c r="B24" s="238">
        <v>0.7</v>
      </c>
      <c r="C24" s="236">
        <f>$H$2*176</f>
        <v>5984</v>
      </c>
      <c r="D24" s="236">
        <f>$H$2*172</f>
        <v>5848</v>
      </c>
      <c r="E24" s="236">
        <f>$H$2*168</f>
        <v>5712</v>
      </c>
      <c r="F24" s="236">
        <f>$H$2*164</f>
        <v>5576</v>
      </c>
      <c r="G24" s="237">
        <f>$H$2*160</f>
        <v>5440</v>
      </c>
      <c r="H24" s="236">
        <f>$H$2*156</f>
        <v>5304</v>
      </c>
      <c r="I24" s="236">
        <f>$H$2*152</f>
        <v>5168</v>
      </c>
      <c r="J24" s="236">
        <f>$H$2*148</f>
        <v>5032</v>
      </c>
      <c r="K24" s="237">
        <f>$H$2*144</f>
        <v>4896</v>
      </c>
      <c r="L24" s="236">
        <f>$H$2*140</f>
        <v>4760</v>
      </c>
      <c r="M24" s="237">
        <f>$H$2*136</f>
        <v>4624</v>
      </c>
      <c r="N24" s="123"/>
    </row>
    <row r="25" spans="1:14">
      <c r="A25" s="123"/>
      <c r="B25" s="238">
        <v>0.6</v>
      </c>
      <c r="C25" s="236">
        <f>$H$2*168</f>
        <v>5712</v>
      </c>
      <c r="D25" s="236">
        <f>$H$2*164</f>
        <v>5576</v>
      </c>
      <c r="E25" s="237">
        <f>$H$2*160</f>
        <v>5440</v>
      </c>
      <c r="F25" s="236">
        <f>$H$2*156</f>
        <v>5304</v>
      </c>
      <c r="G25" s="236">
        <f>$H$2*152</f>
        <v>5168</v>
      </c>
      <c r="H25" s="236">
        <f>$H$2*148</f>
        <v>5032</v>
      </c>
      <c r="I25" s="237">
        <f>$H$2*144</f>
        <v>4896</v>
      </c>
      <c r="J25" s="236">
        <f>$H$2*140</f>
        <v>4760</v>
      </c>
      <c r="K25" s="237">
        <f>$H$2*136</f>
        <v>4624</v>
      </c>
      <c r="L25" s="236">
        <f>$H$2*132</f>
        <v>4488</v>
      </c>
      <c r="M25" s="237">
        <f>$H$2*128</f>
        <v>4352</v>
      </c>
      <c r="N25" s="123"/>
    </row>
    <row r="26" spans="1:14">
      <c r="A26" s="123"/>
      <c r="B26" s="238">
        <v>0.5</v>
      </c>
      <c r="C26" s="237">
        <f>$H$2*160</f>
        <v>5440</v>
      </c>
      <c r="D26" s="236">
        <f>$H$2*156</f>
        <v>5304</v>
      </c>
      <c r="E26" s="236">
        <f>$H$2*152</f>
        <v>5168</v>
      </c>
      <c r="F26" s="236">
        <f>$H$2*148</f>
        <v>5032</v>
      </c>
      <c r="G26" s="237">
        <f>$H$2*144</f>
        <v>4896</v>
      </c>
      <c r="H26" s="236">
        <f>$H$2*140</f>
        <v>4760</v>
      </c>
      <c r="I26" s="237">
        <f>$H$2*136</f>
        <v>4624</v>
      </c>
      <c r="J26" s="236">
        <f>$H$2*132</f>
        <v>4488</v>
      </c>
      <c r="K26" s="237">
        <f>$H$2*128</f>
        <v>4352</v>
      </c>
      <c r="L26" s="236">
        <f>$H$2*124</f>
        <v>4216</v>
      </c>
      <c r="M26" s="237">
        <f>$H$2*120</f>
        <v>4080</v>
      </c>
      <c r="N26" s="123"/>
    </row>
    <row r="27" spans="1:14" ht="3" customHeight="1">
      <c r="A27" s="239"/>
      <c r="B27" s="240"/>
      <c r="C27" s="241"/>
      <c r="D27" s="241"/>
      <c r="E27" s="241"/>
      <c r="F27" s="241"/>
      <c r="G27" s="241"/>
      <c r="H27" s="241"/>
      <c r="I27" s="241"/>
      <c r="J27" s="241"/>
      <c r="K27" s="241"/>
      <c r="L27" s="241"/>
      <c r="M27" s="242"/>
      <c r="N27" s="123"/>
    </row>
    <row r="28" spans="1:14">
      <c r="A28" s="123"/>
      <c r="B28" s="235">
        <v>1</v>
      </c>
      <c r="C28" s="236">
        <f>$H$2*130</f>
        <v>4420</v>
      </c>
      <c r="D28" s="236">
        <f>$H$2*129</f>
        <v>4386</v>
      </c>
      <c r="E28" s="236">
        <f>$H$2*127</f>
        <v>4318</v>
      </c>
      <c r="F28" s="236">
        <f>$H$2*126</f>
        <v>4284</v>
      </c>
      <c r="G28" s="236">
        <f>$H$2*124</f>
        <v>4216</v>
      </c>
      <c r="H28" s="236">
        <f>$H$2*123</f>
        <v>4182</v>
      </c>
      <c r="I28" s="236">
        <f>$H$2*121</f>
        <v>4114</v>
      </c>
      <c r="J28" s="236">
        <f>$H$2*120</f>
        <v>4080</v>
      </c>
      <c r="K28" s="236">
        <f>$H$2*118</f>
        <v>4012</v>
      </c>
      <c r="L28" s="236">
        <f>$H$2*117</f>
        <v>3978</v>
      </c>
      <c r="M28" s="237">
        <f>$H$2*115</f>
        <v>3910</v>
      </c>
      <c r="N28" s="123"/>
    </row>
    <row r="29" spans="1:14">
      <c r="A29" s="123"/>
      <c r="B29" s="238">
        <v>0.9</v>
      </c>
      <c r="C29" s="236">
        <f>$H$2*127</f>
        <v>4318</v>
      </c>
      <c r="D29" s="236">
        <f>$H$2*126</f>
        <v>4284</v>
      </c>
      <c r="E29" s="236">
        <f>$H$2*124</f>
        <v>4216</v>
      </c>
      <c r="F29" s="236">
        <f>$H$2*123</f>
        <v>4182</v>
      </c>
      <c r="G29" s="236">
        <f>$H$2*121</f>
        <v>4114</v>
      </c>
      <c r="H29" s="236">
        <f>$H$2*120</f>
        <v>4080</v>
      </c>
      <c r="I29" s="236">
        <f>$H$2*118</f>
        <v>4012</v>
      </c>
      <c r="J29" s="236">
        <f>$H$2*117</f>
        <v>3978</v>
      </c>
      <c r="K29" s="237">
        <f>$H$2*115</f>
        <v>3910</v>
      </c>
      <c r="L29" s="236">
        <f>$H$2*114</f>
        <v>3876</v>
      </c>
      <c r="M29" s="237">
        <f>$H$2*112</f>
        <v>3808</v>
      </c>
      <c r="N29" s="123"/>
    </row>
    <row r="30" spans="1:14">
      <c r="A30" s="123" t="s">
        <v>152</v>
      </c>
      <c r="B30" s="238">
        <v>0.8</v>
      </c>
      <c r="C30" s="236">
        <f>$H$2*124</f>
        <v>4216</v>
      </c>
      <c r="D30" s="236">
        <f>$H$2*123</f>
        <v>4182</v>
      </c>
      <c r="E30" s="236">
        <f>$H$2*121</f>
        <v>4114</v>
      </c>
      <c r="F30" s="236">
        <f>$H$2*120</f>
        <v>4080</v>
      </c>
      <c r="G30" s="236">
        <f>$H$2*118</f>
        <v>4012</v>
      </c>
      <c r="H30" s="236">
        <f>$H$2*117</f>
        <v>3978</v>
      </c>
      <c r="I30" s="237">
        <f>$H$2*115</f>
        <v>3910</v>
      </c>
      <c r="J30" s="236">
        <f>$H$2*114</f>
        <v>3876</v>
      </c>
      <c r="K30" s="237">
        <f>$H$2*112</f>
        <v>3808</v>
      </c>
      <c r="L30" s="236">
        <f>$H$2*111</f>
        <v>3774</v>
      </c>
      <c r="M30" s="237">
        <f>$H$2*109</f>
        <v>3706</v>
      </c>
      <c r="N30" s="123"/>
    </row>
    <row r="31" spans="1:14">
      <c r="A31" s="123" t="s">
        <v>153</v>
      </c>
      <c r="B31" s="238">
        <v>0.7</v>
      </c>
      <c r="C31" s="236">
        <f>$H$2*121</f>
        <v>4114</v>
      </c>
      <c r="D31" s="236">
        <f>$H$2*120</f>
        <v>4080</v>
      </c>
      <c r="E31" s="236">
        <f>$H$2*118</f>
        <v>4012</v>
      </c>
      <c r="F31" s="236">
        <f>$H$2*117</f>
        <v>3978</v>
      </c>
      <c r="G31" s="237">
        <f>$H$2*115</f>
        <v>3910</v>
      </c>
      <c r="H31" s="236">
        <f>$H$2*114</f>
        <v>3876</v>
      </c>
      <c r="I31" s="237">
        <f>$H$2*112</f>
        <v>3808</v>
      </c>
      <c r="J31" s="236">
        <f>$H$2*111</f>
        <v>3774</v>
      </c>
      <c r="K31" s="237">
        <f>$H$2*109</f>
        <v>3706</v>
      </c>
      <c r="L31" s="236">
        <f>$H$2*108</f>
        <v>3672</v>
      </c>
      <c r="M31" s="237">
        <f>$H$2*106</f>
        <v>3604</v>
      </c>
      <c r="N31" s="123"/>
    </row>
    <row r="32" spans="1:14">
      <c r="A32" s="123"/>
      <c r="B32" s="238">
        <v>0.6</v>
      </c>
      <c r="C32" s="236">
        <f>$H$2*118</f>
        <v>4012</v>
      </c>
      <c r="D32" s="236">
        <f>$H$2*117</f>
        <v>3978</v>
      </c>
      <c r="E32" s="237">
        <f>$H$2*115</f>
        <v>3910</v>
      </c>
      <c r="F32" s="236">
        <f>$H$2*114</f>
        <v>3876</v>
      </c>
      <c r="G32" s="237">
        <f>$H$2*112</f>
        <v>3808</v>
      </c>
      <c r="H32" s="236">
        <f>$H$2*111</f>
        <v>3774</v>
      </c>
      <c r="I32" s="237">
        <f>$H$2*109</f>
        <v>3706</v>
      </c>
      <c r="J32" s="236">
        <f>$H$2*108</f>
        <v>3672</v>
      </c>
      <c r="K32" s="237">
        <f>$H$2*106</f>
        <v>3604</v>
      </c>
      <c r="L32" s="236">
        <f>$H$2*105</f>
        <v>3570</v>
      </c>
      <c r="M32" s="237">
        <f>$H$2*103</f>
        <v>3502</v>
      </c>
      <c r="N32" s="123"/>
    </row>
    <row r="33" spans="1:14">
      <c r="A33" s="123"/>
      <c r="B33" s="238">
        <v>0.5</v>
      </c>
      <c r="C33" s="237">
        <f>$H$2*115</f>
        <v>3910</v>
      </c>
      <c r="D33" s="236">
        <f>$H$2*114</f>
        <v>3876</v>
      </c>
      <c r="E33" s="237">
        <f>$H$2*112</f>
        <v>3808</v>
      </c>
      <c r="F33" s="236">
        <f>$H$2*111</f>
        <v>3774</v>
      </c>
      <c r="G33" s="237">
        <f>$H$2*109</f>
        <v>3706</v>
      </c>
      <c r="H33" s="236">
        <f>$H$2*108</f>
        <v>3672</v>
      </c>
      <c r="I33" s="237">
        <f>$H$2*106</f>
        <v>3604</v>
      </c>
      <c r="J33" s="236">
        <f>$H$2*105</f>
        <v>3570</v>
      </c>
      <c r="K33" s="237">
        <f>$H$2*103</f>
        <v>3502</v>
      </c>
      <c r="L33" s="236">
        <f>$H$2*102</f>
        <v>3468</v>
      </c>
      <c r="M33" s="237">
        <f>$H$2*100</f>
        <v>3400</v>
      </c>
      <c r="N33" s="123"/>
    </row>
    <row r="34" spans="1:14" ht="3" customHeight="1">
      <c r="A34" s="239"/>
      <c r="B34" s="240"/>
      <c r="C34" s="241"/>
      <c r="D34" s="241"/>
      <c r="E34" s="241"/>
      <c r="F34" s="241"/>
      <c r="G34" s="241"/>
      <c r="H34" s="241"/>
      <c r="I34" s="241"/>
      <c r="J34" s="241"/>
      <c r="K34" s="241"/>
      <c r="L34" s="241"/>
      <c r="M34" s="242"/>
      <c r="N34" s="123"/>
    </row>
    <row r="35" spans="1:14">
      <c r="A35" s="123" t="s">
        <v>154</v>
      </c>
      <c r="B35" s="238"/>
      <c r="M35" s="3"/>
      <c r="N35" s="123"/>
    </row>
    <row r="36" spans="1:14">
      <c r="A36" s="123" t="s">
        <v>155</v>
      </c>
      <c r="B36" s="238"/>
      <c r="C36" s="237">
        <f>$H$2*70</f>
        <v>2380</v>
      </c>
      <c r="M36" s="3"/>
      <c r="N36" s="123"/>
    </row>
    <row r="37" spans="1:14">
      <c r="A37" s="85" t="s">
        <v>156</v>
      </c>
      <c r="B37" s="233"/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123"/>
    </row>
  </sheetData>
  <sheetProtection password="836F" sheet="1" objects="1" scenarios="1"/>
  <phoneticPr fontId="30" type="noConversion"/>
  <pageMargins left="0.78740157480314965" right="0.51181102362204722" top="0.98425196850393704" bottom="0.98425196850393704" header="0.51181102362204722" footer="0.51181102362204722"/>
  <pageSetup paperSize="9" orientation="portrait" horizontalDpi="360" verticalDpi="300" r:id="rId1"/>
  <headerFooter alignWithMargins="0">
    <oddHeader>&amp;L&amp;"Times New Roman,Fet\&amp;14Sveriges Elleverantörer&amp;R&amp;D</oddHeader>
    <oddFooter>&amp;L&amp;8&amp;F\&amp;A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Blad18"/>
  <dimension ref="A1:N37"/>
  <sheetViews>
    <sheetView workbookViewId="0">
      <selection activeCell="R35" sqref="R35"/>
    </sheetView>
  </sheetViews>
  <sheetFormatPr defaultRowHeight="12.75"/>
  <cols>
    <col min="1" max="1" width="10.85546875" customWidth="1"/>
    <col min="2" max="2" width="5.42578125" customWidth="1"/>
    <col min="3" max="3" width="6.42578125" customWidth="1"/>
    <col min="4" max="13" width="6.28515625" customWidth="1"/>
    <col min="14" max="14" width="0.28515625" customWidth="1"/>
  </cols>
  <sheetData>
    <row r="1" spans="1:14" ht="24" customHeight="1">
      <c r="A1" s="228" t="s">
        <v>140</v>
      </c>
    </row>
    <row r="2" spans="1:14" ht="24" customHeight="1">
      <c r="A2" s="78" t="s">
        <v>141</v>
      </c>
      <c r="H2" s="229">
        <f>Fakta!$C$22</f>
        <v>34</v>
      </c>
    </row>
    <row r="3" spans="1:14" ht="24" customHeight="1">
      <c r="A3" s="78" t="s">
        <v>159</v>
      </c>
    </row>
    <row r="5" spans="1:14">
      <c r="A5" s="230" t="s">
        <v>143</v>
      </c>
      <c r="B5" s="231" t="s">
        <v>144</v>
      </c>
      <c r="C5" s="232" t="s">
        <v>145</v>
      </c>
      <c r="D5" s="232"/>
      <c r="E5" s="232"/>
      <c r="F5" s="232"/>
      <c r="G5" s="232"/>
      <c r="H5" s="232"/>
      <c r="I5" s="232"/>
      <c r="J5" s="232"/>
      <c r="K5" s="232"/>
      <c r="L5" s="232"/>
      <c r="M5" s="232"/>
      <c r="N5" s="123"/>
    </row>
    <row r="6" spans="1:14">
      <c r="A6" s="85" t="s">
        <v>146</v>
      </c>
      <c r="B6" s="233" t="s">
        <v>147</v>
      </c>
      <c r="C6" s="234">
        <v>10</v>
      </c>
      <c r="D6" s="234">
        <v>9.1</v>
      </c>
      <c r="E6" s="234">
        <v>8.1999999999999993</v>
      </c>
      <c r="F6" s="234">
        <v>7.3</v>
      </c>
      <c r="G6" s="234">
        <v>6.4</v>
      </c>
      <c r="H6" s="234">
        <v>5.5</v>
      </c>
      <c r="I6" s="234">
        <v>4.5999999999999996</v>
      </c>
      <c r="J6" s="234">
        <v>3.7</v>
      </c>
      <c r="K6" s="234">
        <v>2.8</v>
      </c>
      <c r="L6" s="234">
        <v>1.9</v>
      </c>
      <c r="M6" s="234">
        <v>0.1</v>
      </c>
      <c r="N6" s="123"/>
    </row>
    <row r="7" spans="1:14">
      <c r="A7" s="123"/>
      <c r="B7" s="235">
        <v>1</v>
      </c>
      <c r="C7" s="236">
        <f>$H$2*810</f>
        <v>27540</v>
      </c>
      <c r="D7" s="236">
        <f>$H$2*798</f>
        <v>27132</v>
      </c>
      <c r="E7" s="236">
        <f>$H$2*785</f>
        <v>26690</v>
      </c>
      <c r="F7" s="236">
        <f>$H$2*773</f>
        <v>26282</v>
      </c>
      <c r="G7" s="236">
        <f>$H$2*760</f>
        <v>25840</v>
      </c>
      <c r="H7" s="236">
        <f>$H$2*748</f>
        <v>25432</v>
      </c>
      <c r="I7" s="236">
        <f>$H$2*735</f>
        <v>24990</v>
      </c>
      <c r="J7" s="236">
        <f>$H$2*723</f>
        <v>24582</v>
      </c>
      <c r="K7" s="236">
        <f>$H$2*710</f>
        <v>24140</v>
      </c>
      <c r="L7" s="236">
        <f>$H$2*698</f>
        <v>23732</v>
      </c>
      <c r="M7" s="237">
        <f>$H$2*685</f>
        <v>23290</v>
      </c>
      <c r="N7" s="123"/>
    </row>
    <row r="8" spans="1:14">
      <c r="A8" s="123"/>
      <c r="B8" s="238">
        <v>0.9</v>
      </c>
      <c r="C8" s="236">
        <f>$H$2*785</f>
        <v>26690</v>
      </c>
      <c r="D8" s="236">
        <f>$H$2*773</f>
        <v>26282</v>
      </c>
      <c r="E8" s="236">
        <f>$H$2*760</f>
        <v>25840</v>
      </c>
      <c r="F8" s="236">
        <f>$H$2*748</f>
        <v>25432</v>
      </c>
      <c r="G8" s="236">
        <f>$H$2*735</f>
        <v>24990</v>
      </c>
      <c r="H8" s="236">
        <f>$H$2*723</f>
        <v>24582</v>
      </c>
      <c r="I8" s="236">
        <f>$H$2*710</f>
        <v>24140</v>
      </c>
      <c r="J8" s="236">
        <f>$H$2*698</f>
        <v>23732</v>
      </c>
      <c r="K8" s="237">
        <f>$H$2*685</f>
        <v>23290</v>
      </c>
      <c r="L8" s="236">
        <f>$H$2*673</f>
        <v>22882</v>
      </c>
      <c r="M8" s="237">
        <f>$H$2*660</f>
        <v>22440</v>
      </c>
      <c r="N8" s="123"/>
    </row>
    <row r="9" spans="1:14">
      <c r="A9" s="123" t="s">
        <v>148</v>
      </c>
      <c r="B9" s="238">
        <v>0.8</v>
      </c>
      <c r="C9" s="236">
        <f>$H$2*760</f>
        <v>25840</v>
      </c>
      <c r="D9" s="236">
        <f>$H$2*748</f>
        <v>25432</v>
      </c>
      <c r="E9" s="236">
        <f>$H$2*735</f>
        <v>24990</v>
      </c>
      <c r="F9" s="236">
        <f>$H$2*723</f>
        <v>24582</v>
      </c>
      <c r="G9" s="236">
        <f>$H$2*710</f>
        <v>24140</v>
      </c>
      <c r="H9" s="236">
        <f>$H$2*698</f>
        <v>23732</v>
      </c>
      <c r="I9" s="237">
        <f>$H$2*685</f>
        <v>23290</v>
      </c>
      <c r="J9" s="236">
        <f>$H$2*673</f>
        <v>22882</v>
      </c>
      <c r="K9" s="237">
        <f>$H$2*660</f>
        <v>22440</v>
      </c>
      <c r="L9" s="236">
        <f>$H$2*648</f>
        <v>22032</v>
      </c>
      <c r="M9" s="237">
        <f>$H$2*635</f>
        <v>21590</v>
      </c>
      <c r="N9" s="123"/>
    </row>
    <row r="10" spans="1:14">
      <c r="A10" s="123" t="s">
        <v>149</v>
      </c>
      <c r="B10" s="238">
        <v>0.7</v>
      </c>
      <c r="C10" s="236">
        <f>$H$2*735</f>
        <v>24990</v>
      </c>
      <c r="D10" s="236">
        <f>$H$2*723</f>
        <v>24582</v>
      </c>
      <c r="E10" s="236">
        <f>$H$2*710</f>
        <v>24140</v>
      </c>
      <c r="F10" s="236">
        <f>$H$2*698</f>
        <v>23732</v>
      </c>
      <c r="G10" s="237">
        <f>$H$2*685</f>
        <v>23290</v>
      </c>
      <c r="H10" s="236">
        <f>$H$2*673</f>
        <v>22882</v>
      </c>
      <c r="I10" s="237">
        <f>$H$2*660</f>
        <v>22440</v>
      </c>
      <c r="J10" s="236">
        <f>$H$2*648</f>
        <v>22032</v>
      </c>
      <c r="K10" s="237">
        <f>$H$2*635</f>
        <v>21590</v>
      </c>
      <c r="L10" s="236">
        <f>$H$2*623</f>
        <v>21182</v>
      </c>
      <c r="M10" s="237">
        <f>$H$2*610</f>
        <v>20740</v>
      </c>
      <c r="N10" s="123"/>
    </row>
    <row r="11" spans="1:14">
      <c r="A11" s="123"/>
      <c r="B11" s="238">
        <v>0.6</v>
      </c>
      <c r="C11" s="236">
        <f>$H$2*710</f>
        <v>24140</v>
      </c>
      <c r="D11" s="236">
        <f>$H$2*698</f>
        <v>23732</v>
      </c>
      <c r="E11" s="237">
        <f>$H$2*685</f>
        <v>23290</v>
      </c>
      <c r="F11" s="236">
        <f>$H$2*673</f>
        <v>22882</v>
      </c>
      <c r="G11" s="237">
        <f>$H$2*660</f>
        <v>22440</v>
      </c>
      <c r="H11" s="236">
        <f>$H$2*648</f>
        <v>22032</v>
      </c>
      <c r="I11" s="237">
        <f>$H$2*635</f>
        <v>21590</v>
      </c>
      <c r="J11" s="236">
        <f>$H$2*623</f>
        <v>21182</v>
      </c>
      <c r="K11" s="237">
        <f>$H$2*610</f>
        <v>20740</v>
      </c>
      <c r="L11" s="236">
        <f>$H$2*598</f>
        <v>20332</v>
      </c>
      <c r="M11" s="237">
        <f>$H$2*585</f>
        <v>19890</v>
      </c>
      <c r="N11" s="123"/>
    </row>
    <row r="12" spans="1:14">
      <c r="A12" s="123"/>
      <c r="B12" s="238">
        <v>0.5</v>
      </c>
      <c r="C12" s="237">
        <f>$H$2*685</f>
        <v>23290</v>
      </c>
      <c r="D12" s="236">
        <f>$H$2*673</f>
        <v>22882</v>
      </c>
      <c r="E12" s="237">
        <f>$H$2*660</f>
        <v>22440</v>
      </c>
      <c r="F12" s="236">
        <f>$H$2*648</f>
        <v>22032</v>
      </c>
      <c r="G12" s="237">
        <f>$H$2*635</f>
        <v>21590</v>
      </c>
      <c r="H12" s="236">
        <f>$H$2*623</f>
        <v>21182</v>
      </c>
      <c r="I12" s="237">
        <f>$H$2*610</f>
        <v>20740</v>
      </c>
      <c r="J12" s="236">
        <f>$H$2*598</f>
        <v>20332</v>
      </c>
      <c r="K12" s="237">
        <f>$H$2*585</f>
        <v>19890</v>
      </c>
      <c r="L12" s="236">
        <f>$H$2*573</f>
        <v>19482</v>
      </c>
      <c r="M12" s="237">
        <f>$H$2*560</f>
        <v>19040</v>
      </c>
      <c r="N12" s="123"/>
    </row>
    <row r="13" spans="1:14" ht="3" customHeight="1">
      <c r="A13" s="239"/>
      <c r="B13" s="240"/>
      <c r="C13" s="241"/>
      <c r="D13" s="241"/>
      <c r="E13" s="241"/>
      <c r="F13" s="241"/>
      <c r="G13" s="241"/>
      <c r="H13" s="241"/>
      <c r="I13" s="241"/>
      <c r="J13" s="241"/>
      <c r="K13" s="241"/>
      <c r="L13" s="241"/>
      <c r="M13" s="242"/>
      <c r="N13" s="123"/>
    </row>
    <row r="14" spans="1:14">
      <c r="A14" s="123"/>
      <c r="B14" s="235">
        <v>1</v>
      </c>
      <c r="C14" s="236">
        <f>$H$2*980</f>
        <v>33320</v>
      </c>
      <c r="D14" s="236">
        <f>$H$2*963</f>
        <v>32742</v>
      </c>
      <c r="E14" s="236">
        <f>$H$2*945</f>
        <v>32130</v>
      </c>
      <c r="F14" s="236">
        <f>$H$2*928</f>
        <v>31552</v>
      </c>
      <c r="G14" s="236">
        <f>$H$2*910</f>
        <v>30940</v>
      </c>
      <c r="H14" s="236">
        <f>$H$2*893</f>
        <v>30362</v>
      </c>
      <c r="I14" s="236">
        <f>$H$2*875</f>
        <v>29750</v>
      </c>
      <c r="J14" s="236">
        <f>$H$2*858</f>
        <v>29172</v>
      </c>
      <c r="K14" s="236">
        <f>$H$2*840</f>
        <v>28560</v>
      </c>
      <c r="L14" s="236">
        <f>$H$2*823</f>
        <v>27982</v>
      </c>
      <c r="M14" s="237">
        <f>$H$2*805</f>
        <v>27370</v>
      </c>
      <c r="N14" s="123"/>
    </row>
    <row r="15" spans="1:14">
      <c r="A15" s="123"/>
      <c r="B15" s="238">
        <v>0.9</v>
      </c>
      <c r="C15" s="236">
        <f>$H$2*945</f>
        <v>32130</v>
      </c>
      <c r="D15" s="236">
        <f>$H$2*928</f>
        <v>31552</v>
      </c>
      <c r="E15" s="236">
        <f>$H$2*910</f>
        <v>30940</v>
      </c>
      <c r="F15" s="236">
        <f>$H$2*893</f>
        <v>30362</v>
      </c>
      <c r="G15" s="236">
        <f>$H$2*875</f>
        <v>29750</v>
      </c>
      <c r="H15" s="236">
        <f>$H$2*858</f>
        <v>29172</v>
      </c>
      <c r="I15" s="236">
        <f>$H$2*840</f>
        <v>28560</v>
      </c>
      <c r="J15" s="236">
        <f>$H$2*823</f>
        <v>27982</v>
      </c>
      <c r="K15" s="237">
        <f>$H$2*805</f>
        <v>27370</v>
      </c>
      <c r="L15" s="237">
        <f>$H$2*788</f>
        <v>26792</v>
      </c>
      <c r="M15" s="237">
        <f>$H$2*770</f>
        <v>26180</v>
      </c>
      <c r="N15" s="123"/>
    </row>
    <row r="16" spans="1:14">
      <c r="A16" s="123" t="s">
        <v>150</v>
      </c>
      <c r="B16" s="238">
        <v>0.8</v>
      </c>
      <c r="C16" s="236">
        <f>$H$2*910</f>
        <v>30940</v>
      </c>
      <c r="D16" s="236">
        <f>$H$2*893</f>
        <v>30362</v>
      </c>
      <c r="E16" s="236">
        <f>$H$2*875</f>
        <v>29750</v>
      </c>
      <c r="F16" s="236">
        <f>$H$2*858</f>
        <v>29172</v>
      </c>
      <c r="G16" s="236">
        <f>$H$2*840</f>
        <v>28560</v>
      </c>
      <c r="H16" s="236">
        <f>$H$2*823</f>
        <v>27982</v>
      </c>
      <c r="I16" s="237">
        <f>$H$2*805</f>
        <v>27370</v>
      </c>
      <c r="J16" s="237">
        <f>$H$2*788</f>
        <v>26792</v>
      </c>
      <c r="K16" s="237">
        <f>$H$2*770</f>
        <v>26180</v>
      </c>
      <c r="L16" s="237">
        <f>$H$2*753</f>
        <v>25602</v>
      </c>
      <c r="M16" s="237">
        <f>$H$2*735</f>
        <v>24990</v>
      </c>
      <c r="N16" s="123"/>
    </row>
    <row r="17" spans="1:14">
      <c r="A17" s="123" t="s">
        <v>149</v>
      </c>
      <c r="B17" s="238">
        <v>0.7</v>
      </c>
      <c r="C17" s="236">
        <f>$H$2*875</f>
        <v>29750</v>
      </c>
      <c r="D17" s="236">
        <f>$H$2*858</f>
        <v>29172</v>
      </c>
      <c r="E17" s="236">
        <f>$H$2*840</f>
        <v>28560</v>
      </c>
      <c r="F17" s="236">
        <f>$H$2*823</f>
        <v>27982</v>
      </c>
      <c r="G17" s="237">
        <f>$H$2*805</f>
        <v>27370</v>
      </c>
      <c r="H17" s="237">
        <f>$H$2*788</f>
        <v>26792</v>
      </c>
      <c r="I17" s="237">
        <f>$H$2*770</f>
        <v>26180</v>
      </c>
      <c r="J17" s="237">
        <f>$H$2*753</f>
        <v>25602</v>
      </c>
      <c r="K17" s="237">
        <f>$H$2*735</f>
        <v>24990</v>
      </c>
      <c r="L17" s="237">
        <f>$H$2*718</f>
        <v>24412</v>
      </c>
      <c r="M17" s="237">
        <f>$H$2*700</f>
        <v>23800</v>
      </c>
      <c r="N17" s="123"/>
    </row>
    <row r="18" spans="1:14">
      <c r="A18" s="123"/>
      <c r="B18" s="238">
        <v>0.6</v>
      </c>
      <c r="C18" s="236">
        <f>$H$2*840</f>
        <v>28560</v>
      </c>
      <c r="D18" s="236">
        <f>$H$2*823</f>
        <v>27982</v>
      </c>
      <c r="E18" s="237">
        <f>$H$2*805</f>
        <v>27370</v>
      </c>
      <c r="F18" s="237">
        <f>$H$2*788</f>
        <v>26792</v>
      </c>
      <c r="G18" s="237">
        <f>$H$2*770</f>
        <v>26180</v>
      </c>
      <c r="H18" s="237">
        <f>$H$2*753</f>
        <v>25602</v>
      </c>
      <c r="I18" s="237">
        <f>$H$2*735</f>
        <v>24990</v>
      </c>
      <c r="J18" s="237">
        <f>$H$2*718</f>
        <v>24412</v>
      </c>
      <c r="K18" s="237">
        <f>$H$2*700</f>
        <v>23800</v>
      </c>
      <c r="L18" s="237">
        <f>$H$2*683</f>
        <v>23222</v>
      </c>
      <c r="M18" s="237">
        <f>$H$2*665</f>
        <v>22610</v>
      </c>
      <c r="N18" s="123"/>
    </row>
    <row r="19" spans="1:14">
      <c r="A19" s="123"/>
      <c r="B19" s="238">
        <v>0.5</v>
      </c>
      <c r="C19" s="237">
        <f>$H$2*805</f>
        <v>27370</v>
      </c>
      <c r="D19" s="237">
        <f>$H$2*788</f>
        <v>26792</v>
      </c>
      <c r="E19" s="237">
        <f>$H$2*770</f>
        <v>26180</v>
      </c>
      <c r="F19" s="237">
        <f>$H$2*753</f>
        <v>25602</v>
      </c>
      <c r="G19" s="237">
        <f>$H$2*735</f>
        <v>24990</v>
      </c>
      <c r="H19" s="237">
        <f>$H$2*718</f>
        <v>24412</v>
      </c>
      <c r="I19" s="237">
        <f>$H$2*700</f>
        <v>23800</v>
      </c>
      <c r="J19" s="237">
        <f>$H$2*683</f>
        <v>23222</v>
      </c>
      <c r="K19" s="237">
        <f>$H$2*665</f>
        <v>22610</v>
      </c>
      <c r="L19" s="237">
        <f>$H$2*648</f>
        <v>22032</v>
      </c>
      <c r="M19" s="237">
        <f>$H$2*630</f>
        <v>21420</v>
      </c>
      <c r="N19" s="123"/>
    </row>
    <row r="20" spans="1:14" ht="3" customHeight="1">
      <c r="A20" s="239"/>
      <c r="B20" s="240"/>
      <c r="C20" s="241"/>
      <c r="D20" s="241"/>
      <c r="E20" s="241"/>
      <c r="F20" s="241"/>
      <c r="G20" s="241"/>
      <c r="H20" s="241"/>
      <c r="I20" s="241"/>
      <c r="J20" s="241"/>
      <c r="K20" s="241"/>
      <c r="L20" s="241"/>
      <c r="M20" s="242"/>
      <c r="N20" s="123"/>
    </row>
    <row r="21" spans="1:14">
      <c r="A21" s="123"/>
      <c r="B21" s="235">
        <v>1</v>
      </c>
      <c r="C21" s="237">
        <f>$H$2*770</f>
        <v>26180</v>
      </c>
      <c r="D21" s="237">
        <f>$H$2*759</f>
        <v>25806</v>
      </c>
      <c r="E21" s="237">
        <f>$H$2*748</f>
        <v>25432</v>
      </c>
      <c r="F21" s="237">
        <f>$H$2*737</f>
        <v>25058</v>
      </c>
      <c r="G21" s="237">
        <f>$H$2*726</f>
        <v>24684</v>
      </c>
      <c r="H21" s="237">
        <f>$H$2*715</f>
        <v>24310</v>
      </c>
      <c r="I21" s="237">
        <f>$H$2*704</f>
        <v>23936</v>
      </c>
      <c r="J21" s="237">
        <f>$H$2*693</f>
        <v>23562</v>
      </c>
      <c r="K21" s="237">
        <f>$H$2*682</f>
        <v>23188</v>
      </c>
      <c r="L21" s="237">
        <f>$H$2*671</f>
        <v>22814</v>
      </c>
      <c r="M21" s="237">
        <f>$H$2*660</f>
        <v>22440</v>
      </c>
      <c r="N21" s="123"/>
    </row>
    <row r="22" spans="1:14">
      <c r="A22" s="123"/>
      <c r="B22" s="238">
        <v>0.9</v>
      </c>
      <c r="C22" s="237">
        <f>$H$2*748</f>
        <v>25432</v>
      </c>
      <c r="D22" s="237">
        <f>$H$2*737</f>
        <v>25058</v>
      </c>
      <c r="E22" s="237">
        <f>$H$2*726</f>
        <v>24684</v>
      </c>
      <c r="F22" s="237">
        <f>$H$2*715</f>
        <v>24310</v>
      </c>
      <c r="G22" s="237">
        <f>$H$2*704</f>
        <v>23936</v>
      </c>
      <c r="H22" s="237">
        <f>$H$2*693</f>
        <v>23562</v>
      </c>
      <c r="I22" s="237">
        <f>$H$2*682</f>
        <v>23188</v>
      </c>
      <c r="J22" s="237">
        <f>$H$2*671</f>
        <v>22814</v>
      </c>
      <c r="K22" s="237">
        <f>$H$2*660</f>
        <v>22440</v>
      </c>
      <c r="L22" s="237">
        <f>$H$2*649</f>
        <v>22066</v>
      </c>
      <c r="M22" s="237">
        <f>$H$2*638</f>
        <v>21692</v>
      </c>
      <c r="N22" s="123"/>
    </row>
    <row r="23" spans="1:14">
      <c r="A23" s="123" t="s">
        <v>151</v>
      </c>
      <c r="B23" s="238">
        <v>0.8</v>
      </c>
      <c r="C23" s="237">
        <f>$H$2*726</f>
        <v>24684</v>
      </c>
      <c r="D23" s="237">
        <f>$H$2*715</f>
        <v>24310</v>
      </c>
      <c r="E23" s="237">
        <f>$H$2*704</f>
        <v>23936</v>
      </c>
      <c r="F23" s="237">
        <f>$H$2*693</f>
        <v>23562</v>
      </c>
      <c r="G23" s="237">
        <f>$H$2*682</f>
        <v>23188</v>
      </c>
      <c r="H23" s="237">
        <f>$H$2*671</f>
        <v>22814</v>
      </c>
      <c r="I23" s="237">
        <f>$H$2*660</f>
        <v>22440</v>
      </c>
      <c r="J23" s="237">
        <f>$H$2*649</f>
        <v>22066</v>
      </c>
      <c r="K23" s="237">
        <f>$H$2*638</f>
        <v>21692</v>
      </c>
      <c r="L23" s="237">
        <f>$H$2*627</f>
        <v>21318</v>
      </c>
      <c r="M23" s="237">
        <f>$H$2*616</f>
        <v>20944</v>
      </c>
      <c r="N23" s="123"/>
    </row>
    <row r="24" spans="1:14">
      <c r="A24" s="123" t="s">
        <v>149</v>
      </c>
      <c r="B24" s="238">
        <v>0.7</v>
      </c>
      <c r="C24" s="237">
        <f>$H$2*704</f>
        <v>23936</v>
      </c>
      <c r="D24" s="237">
        <f>$H$2*693</f>
        <v>23562</v>
      </c>
      <c r="E24" s="237">
        <f>$H$2*682</f>
        <v>23188</v>
      </c>
      <c r="F24" s="237">
        <f>$H$2*671</f>
        <v>22814</v>
      </c>
      <c r="G24" s="237">
        <f>$H$2*660</f>
        <v>22440</v>
      </c>
      <c r="H24" s="237">
        <f>$H$2*649</f>
        <v>22066</v>
      </c>
      <c r="I24" s="237">
        <f>$H$2*638</f>
        <v>21692</v>
      </c>
      <c r="J24" s="237">
        <f>$H$2*627</f>
        <v>21318</v>
      </c>
      <c r="K24" s="237">
        <f>$H$2*616</f>
        <v>20944</v>
      </c>
      <c r="L24" s="237">
        <f>$H$2*605</f>
        <v>20570</v>
      </c>
      <c r="M24" s="237">
        <f>$H$2*594</f>
        <v>20196</v>
      </c>
      <c r="N24" s="123"/>
    </row>
    <row r="25" spans="1:14">
      <c r="A25" s="123"/>
      <c r="B25" s="238">
        <v>0.6</v>
      </c>
      <c r="C25" s="237">
        <f>$H$2*682</f>
        <v>23188</v>
      </c>
      <c r="D25" s="237">
        <f>$H$2*671</f>
        <v>22814</v>
      </c>
      <c r="E25" s="237">
        <f>$H$2*660</f>
        <v>22440</v>
      </c>
      <c r="F25" s="237">
        <f>$H$2*649</f>
        <v>22066</v>
      </c>
      <c r="G25" s="237">
        <f>$H$2*638</f>
        <v>21692</v>
      </c>
      <c r="H25" s="237">
        <f>$H$2*627</f>
        <v>21318</v>
      </c>
      <c r="I25" s="237">
        <f>$H$2*616</f>
        <v>20944</v>
      </c>
      <c r="J25" s="237">
        <f>$H$2*605</f>
        <v>20570</v>
      </c>
      <c r="K25" s="237">
        <f>$H$2*594</f>
        <v>20196</v>
      </c>
      <c r="L25" s="237">
        <f>$H$2*583</f>
        <v>19822</v>
      </c>
      <c r="M25" s="237">
        <f>$H$2*572</f>
        <v>19448</v>
      </c>
      <c r="N25" s="123"/>
    </row>
    <row r="26" spans="1:14">
      <c r="A26" s="123"/>
      <c r="B26" s="238">
        <v>0.5</v>
      </c>
      <c r="C26" s="237">
        <f>$H$2*660</f>
        <v>22440</v>
      </c>
      <c r="D26" s="237">
        <f>$H$2*649</f>
        <v>22066</v>
      </c>
      <c r="E26" s="237">
        <f>$H$2*638</f>
        <v>21692</v>
      </c>
      <c r="F26" s="237">
        <f>$H$2*627</f>
        <v>21318</v>
      </c>
      <c r="G26" s="237">
        <f>$H$2*616</f>
        <v>20944</v>
      </c>
      <c r="H26" s="237">
        <f>$H$2*605</f>
        <v>20570</v>
      </c>
      <c r="I26" s="237">
        <f>$H$2*594</f>
        <v>20196</v>
      </c>
      <c r="J26" s="237">
        <f>$H$2*583</f>
        <v>19822</v>
      </c>
      <c r="K26" s="237">
        <f>$H$2*572</f>
        <v>19448</v>
      </c>
      <c r="L26" s="237">
        <f>$H$2*561</f>
        <v>19074</v>
      </c>
      <c r="M26" s="237">
        <f>$H$2*550</f>
        <v>18700</v>
      </c>
      <c r="N26" s="123"/>
    </row>
    <row r="27" spans="1:14" ht="3" customHeight="1">
      <c r="A27" s="239"/>
      <c r="B27" s="240"/>
      <c r="C27" s="241"/>
      <c r="D27" s="241"/>
      <c r="E27" s="241"/>
      <c r="F27" s="241"/>
      <c r="G27" s="241"/>
      <c r="H27" s="241"/>
      <c r="I27" s="241"/>
      <c r="J27" s="241"/>
      <c r="K27" s="241"/>
      <c r="L27" s="241"/>
      <c r="M27" s="242"/>
      <c r="N27" s="123"/>
    </row>
    <row r="28" spans="1:14">
      <c r="A28" s="123"/>
      <c r="B28" s="235">
        <v>1</v>
      </c>
      <c r="C28" s="237">
        <f>$H$2*700</f>
        <v>23800</v>
      </c>
      <c r="D28" s="237">
        <f>$H$2*693</f>
        <v>23562</v>
      </c>
      <c r="E28" s="237">
        <f>$H$2*685</f>
        <v>23290</v>
      </c>
      <c r="F28" s="237">
        <f>$H$2*678</f>
        <v>23052</v>
      </c>
      <c r="G28" s="237">
        <f>$H$2*670</f>
        <v>22780</v>
      </c>
      <c r="H28" s="237">
        <f>$H$2*663</f>
        <v>22542</v>
      </c>
      <c r="I28" s="237">
        <f>$H$2*655</f>
        <v>22270</v>
      </c>
      <c r="J28" s="237">
        <f>$H$2*648</f>
        <v>22032</v>
      </c>
      <c r="K28" s="237">
        <f>$H$2*640</f>
        <v>21760</v>
      </c>
      <c r="L28" s="237">
        <f>$H$2*633</f>
        <v>21522</v>
      </c>
      <c r="M28" s="237">
        <f>$H$2*625</f>
        <v>21250</v>
      </c>
      <c r="N28" s="123"/>
    </row>
    <row r="29" spans="1:14">
      <c r="A29" s="123"/>
      <c r="B29" s="238">
        <v>0.9</v>
      </c>
      <c r="C29" s="237">
        <f>$H$2*685</f>
        <v>23290</v>
      </c>
      <c r="D29" s="237">
        <f>$H$2*678</f>
        <v>23052</v>
      </c>
      <c r="E29" s="237">
        <f>$H$2*670</f>
        <v>22780</v>
      </c>
      <c r="F29" s="237">
        <f>$H$2*663</f>
        <v>22542</v>
      </c>
      <c r="G29" s="237">
        <f>$H$2*655</f>
        <v>22270</v>
      </c>
      <c r="H29" s="237">
        <f>$H$2*648</f>
        <v>22032</v>
      </c>
      <c r="I29" s="237">
        <f>$H$2*640</f>
        <v>21760</v>
      </c>
      <c r="J29" s="237">
        <f>$H$2*633</f>
        <v>21522</v>
      </c>
      <c r="K29" s="237">
        <f>$H$2*625</f>
        <v>21250</v>
      </c>
      <c r="L29" s="237">
        <f>$H$2*618</f>
        <v>21012</v>
      </c>
      <c r="M29" s="237">
        <f>$H$2*610</f>
        <v>20740</v>
      </c>
      <c r="N29" s="123"/>
    </row>
    <row r="30" spans="1:14">
      <c r="A30" s="123" t="s">
        <v>152</v>
      </c>
      <c r="B30" s="238">
        <v>0.8</v>
      </c>
      <c r="C30" s="237">
        <f>$H$2*670</f>
        <v>22780</v>
      </c>
      <c r="D30" s="237">
        <f>$H$2*663</f>
        <v>22542</v>
      </c>
      <c r="E30" s="237">
        <f>$H$2*655</f>
        <v>22270</v>
      </c>
      <c r="F30" s="237">
        <f>$H$2*648</f>
        <v>22032</v>
      </c>
      <c r="G30" s="237">
        <f>$H$2*640</f>
        <v>21760</v>
      </c>
      <c r="H30" s="237">
        <f>$H$2*633</f>
        <v>21522</v>
      </c>
      <c r="I30" s="237">
        <f>$H$2*625</f>
        <v>21250</v>
      </c>
      <c r="J30" s="237">
        <f>$H$2*618</f>
        <v>21012</v>
      </c>
      <c r="K30" s="237">
        <f>$H$2*610</f>
        <v>20740</v>
      </c>
      <c r="L30" s="237">
        <f>$H$2*603</f>
        <v>20502</v>
      </c>
      <c r="M30" s="237">
        <f>$H$2*595</f>
        <v>20230</v>
      </c>
      <c r="N30" s="123"/>
    </row>
    <row r="31" spans="1:14">
      <c r="A31" s="123" t="s">
        <v>153</v>
      </c>
      <c r="B31" s="238">
        <v>0.7</v>
      </c>
      <c r="C31" s="237">
        <f>$H$2*655</f>
        <v>22270</v>
      </c>
      <c r="D31" s="237">
        <f>$H$2*648</f>
        <v>22032</v>
      </c>
      <c r="E31" s="237">
        <f>$H$2*640</f>
        <v>21760</v>
      </c>
      <c r="F31" s="237">
        <f>$H$2*633</f>
        <v>21522</v>
      </c>
      <c r="G31" s="237">
        <f>$H$2*625</f>
        <v>21250</v>
      </c>
      <c r="H31" s="237">
        <f>$H$2*618</f>
        <v>21012</v>
      </c>
      <c r="I31" s="237">
        <f>$H$2*610</f>
        <v>20740</v>
      </c>
      <c r="J31" s="237">
        <f>$H$2*603</f>
        <v>20502</v>
      </c>
      <c r="K31" s="237">
        <f>$H$2*595</f>
        <v>20230</v>
      </c>
      <c r="L31" s="237">
        <f>$H$2*588</f>
        <v>19992</v>
      </c>
      <c r="M31" s="237">
        <f>$H$2*580</f>
        <v>19720</v>
      </c>
      <c r="N31" s="123"/>
    </row>
    <row r="32" spans="1:14">
      <c r="A32" s="123"/>
      <c r="B32" s="238">
        <v>0.6</v>
      </c>
      <c r="C32" s="237">
        <f>$H$2*640</f>
        <v>21760</v>
      </c>
      <c r="D32" s="237">
        <f>$H$2*633</f>
        <v>21522</v>
      </c>
      <c r="E32" s="237">
        <f>$H$2*625</f>
        <v>21250</v>
      </c>
      <c r="F32" s="237">
        <f>$H$2*618</f>
        <v>21012</v>
      </c>
      <c r="G32" s="237">
        <f>$H$2*610</f>
        <v>20740</v>
      </c>
      <c r="H32" s="237">
        <f>$H$2*603</f>
        <v>20502</v>
      </c>
      <c r="I32" s="237">
        <f>$H$2*595</f>
        <v>20230</v>
      </c>
      <c r="J32" s="237">
        <f>$H$2*588</f>
        <v>19992</v>
      </c>
      <c r="K32" s="237">
        <f>$H$2*580</f>
        <v>19720</v>
      </c>
      <c r="L32" s="237">
        <f>$H$2*573</f>
        <v>19482</v>
      </c>
      <c r="M32" s="237">
        <f>$H$2*565</f>
        <v>19210</v>
      </c>
      <c r="N32" s="123"/>
    </row>
    <row r="33" spans="1:14">
      <c r="A33" s="123"/>
      <c r="B33" s="238">
        <v>0.5</v>
      </c>
      <c r="C33" s="237">
        <f>$H$2*625</f>
        <v>21250</v>
      </c>
      <c r="D33" s="237">
        <f>$H$2*618</f>
        <v>21012</v>
      </c>
      <c r="E33" s="237">
        <f>$H$2*610</f>
        <v>20740</v>
      </c>
      <c r="F33" s="237">
        <f>$H$2*603</f>
        <v>20502</v>
      </c>
      <c r="G33" s="237">
        <f>$H$2*595</f>
        <v>20230</v>
      </c>
      <c r="H33" s="237">
        <f>$H$2*588</f>
        <v>19992</v>
      </c>
      <c r="I33" s="237">
        <f>$H$2*580</f>
        <v>19720</v>
      </c>
      <c r="J33" s="237">
        <f>$H$2*573</f>
        <v>19482</v>
      </c>
      <c r="K33" s="237">
        <f>$H$2*565</f>
        <v>19210</v>
      </c>
      <c r="L33" s="237">
        <f>$H$2*558</f>
        <v>18972</v>
      </c>
      <c r="M33" s="237">
        <f>$H$2*550</f>
        <v>18700</v>
      </c>
      <c r="N33" s="123"/>
    </row>
    <row r="34" spans="1:14" ht="3" customHeight="1">
      <c r="A34" s="239"/>
      <c r="B34" s="240"/>
      <c r="C34" s="241"/>
      <c r="D34" s="241"/>
      <c r="E34" s="241"/>
      <c r="F34" s="241"/>
      <c r="G34" s="241"/>
      <c r="H34" s="241"/>
      <c r="I34" s="241"/>
      <c r="J34" s="241"/>
      <c r="K34" s="241"/>
      <c r="L34" s="241"/>
      <c r="M34" s="242"/>
      <c r="N34" s="123"/>
    </row>
    <row r="35" spans="1:14">
      <c r="A35" s="123" t="s">
        <v>154</v>
      </c>
      <c r="B35" s="238"/>
      <c r="M35" s="3"/>
      <c r="N35" s="123"/>
    </row>
    <row r="36" spans="1:14">
      <c r="A36" s="123" t="s">
        <v>155</v>
      </c>
      <c r="B36" s="238"/>
      <c r="C36" s="237">
        <f>$H$2*460</f>
        <v>15640</v>
      </c>
      <c r="M36" s="3"/>
      <c r="N36" s="123"/>
    </row>
    <row r="37" spans="1:14">
      <c r="A37" s="85" t="s">
        <v>156</v>
      </c>
      <c r="B37" s="233"/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123"/>
    </row>
  </sheetData>
  <sheetProtection password="836F" sheet="1" objects="1" scenarios="1"/>
  <phoneticPr fontId="30" type="noConversion"/>
  <pageMargins left="0.78740157480314965" right="0.51181102362204722" top="0.98425196850393704" bottom="0.98425196850393704" header="0.51181102362204722" footer="0.51181102362204722"/>
  <pageSetup paperSize="9" orientation="portrait" horizontalDpi="360" verticalDpi="300" r:id="rId1"/>
  <headerFooter alignWithMargins="0">
    <oddHeader>&amp;L&amp;"Times New Roman,Fet\&amp;14Sveriges Elleverantörer&amp;R&amp;D</oddHeader>
    <oddFooter>&amp;L&amp;8&amp;F\&amp;A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Blad19"/>
  <dimension ref="A1:N37"/>
  <sheetViews>
    <sheetView workbookViewId="0">
      <selection activeCell="C7" sqref="C7"/>
    </sheetView>
  </sheetViews>
  <sheetFormatPr defaultRowHeight="12.75"/>
  <cols>
    <col min="1" max="1" width="10.85546875" customWidth="1"/>
    <col min="2" max="2" width="5.42578125" customWidth="1"/>
    <col min="3" max="13" width="6.28515625" customWidth="1"/>
    <col min="14" max="14" width="0.28515625" customWidth="1"/>
  </cols>
  <sheetData>
    <row r="1" spans="1:14" ht="24" customHeight="1">
      <c r="A1" s="228" t="s">
        <v>140</v>
      </c>
    </row>
    <row r="2" spans="1:14" ht="24" customHeight="1">
      <c r="A2" s="78" t="s">
        <v>141</v>
      </c>
      <c r="H2" s="229">
        <f>Fakta!$C$22</f>
        <v>34</v>
      </c>
    </row>
    <row r="3" spans="1:14" ht="24" customHeight="1">
      <c r="A3" s="78" t="s">
        <v>160</v>
      </c>
    </row>
    <row r="5" spans="1:14">
      <c r="A5" s="230" t="s">
        <v>143</v>
      </c>
      <c r="B5" s="231" t="s">
        <v>144</v>
      </c>
      <c r="C5" s="232" t="s">
        <v>145</v>
      </c>
      <c r="D5" s="232"/>
      <c r="E5" s="232"/>
      <c r="F5" s="232"/>
      <c r="G5" s="232"/>
      <c r="H5" s="232"/>
      <c r="I5" s="232"/>
      <c r="J5" s="232"/>
      <c r="K5" s="232"/>
      <c r="L5" s="232"/>
      <c r="M5" s="232"/>
      <c r="N5" s="123"/>
    </row>
    <row r="6" spans="1:14">
      <c r="A6" s="85" t="s">
        <v>146</v>
      </c>
      <c r="B6" s="233" t="s">
        <v>147</v>
      </c>
      <c r="C6" s="234">
        <v>10</v>
      </c>
      <c r="D6" s="234">
        <v>9.1</v>
      </c>
      <c r="E6" s="234">
        <v>8.1999999999999993</v>
      </c>
      <c r="F6" s="234">
        <v>7.3</v>
      </c>
      <c r="G6" s="234">
        <v>6.4</v>
      </c>
      <c r="H6" s="234">
        <v>5.5</v>
      </c>
      <c r="I6" s="234">
        <v>4.5999999999999996</v>
      </c>
      <c r="J6" s="234">
        <v>3.7</v>
      </c>
      <c r="K6" s="234">
        <v>2.8</v>
      </c>
      <c r="L6" s="234">
        <v>1.9</v>
      </c>
      <c r="M6" s="234">
        <v>0.1</v>
      </c>
      <c r="N6" s="123"/>
    </row>
    <row r="7" spans="1:14">
      <c r="A7" s="123"/>
      <c r="B7" s="235">
        <v>1</v>
      </c>
      <c r="C7" s="236">
        <f>$H$2*430</f>
        <v>14620</v>
      </c>
      <c r="D7" s="236">
        <f>$H$2*423</f>
        <v>14382</v>
      </c>
      <c r="E7" s="236">
        <f>$H$2*416</f>
        <v>14144</v>
      </c>
      <c r="F7" s="236">
        <f>$H$2*409</f>
        <v>13906</v>
      </c>
      <c r="G7" s="236">
        <f>$H$2*402</f>
        <v>13668</v>
      </c>
      <c r="H7" s="236">
        <f>$H$2*395</f>
        <v>13430</v>
      </c>
      <c r="I7" s="236">
        <f>$H$2*388</f>
        <v>13192</v>
      </c>
      <c r="J7" s="236">
        <f>$H$2*381</f>
        <v>12954</v>
      </c>
      <c r="K7" s="236">
        <f>$H$2*374</f>
        <v>12716</v>
      </c>
      <c r="L7" s="236">
        <f>$H$2*367</f>
        <v>12478</v>
      </c>
      <c r="M7" s="237">
        <f>$H$2*360</f>
        <v>12240</v>
      </c>
      <c r="N7" s="123"/>
    </row>
    <row r="8" spans="1:14">
      <c r="A8" s="123"/>
      <c r="B8" s="238">
        <v>0.9</v>
      </c>
      <c r="C8" s="236">
        <f>$H$2*416</f>
        <v>14144</v>
      </c>
      <c r="D8" s="236">
        <f>$H$2*409</f>
        <v>13906</v>
      </c>
      <c r="E8" s="236">
        <f>$H$2*402</f>
        <v>13668</v>
      </c>
      <c r="F8" s="236">
        <f>$H$2*395</f>
        <v>13430</v>
      </c>
      <c r="G8" s="236">
        <f>$H$2*388</f>
        <v>13192</v>
      </c>
      <c r="H8" s="236">
        <f>$H$2*381</f>
        <v>12954</v>
      </c>
      <c r="I8" s="236">
        <f>$H$2*374</f>
        <v>12716</v>
      </c>
      <c r="J8" s="236">
        <f>$H$2*367</f>
        <v>12478</v>
      </c>
      <c r="K8" s="237">
        <f>$H$2*360</f>
        <v>12240</v>
      </c>
      <c r="L8" s="236">
        <f>$H$2*353</f>
        <v>12002</v>
      </c>
      <c r="M8" s="237">
        <f>$H$2*346</f>
        <v>11764</v>
      </c>
      <c r="N8" s="123"/>
    </row>
    <row r="9" spans="1:14">
      <c r="A9" s="123" t="s">
        <v>148</v>
      </c>
      <c r="B9" s="238">
        <v>0.8</v>
      </c>
      <c r="C9" s="236">
        <f>$H$2*402</f>
        <v>13668</v>
      </c>
      <c r="D9" s="236">
        <f>$H$2*395</f>
        <v>13430</v>
      </c>
      <c r="E9" s="236">
        <f>$H$2*388</f>
        <v>13192</v>
      </c>
      <c r="F9" s="236">
        <f>$H$2*381</f>
        <v>12954</v>
      </c>
      <c r="G9" s="236">
        <f>$H$2*374</f>
        <v>12716</v>
      </c>
      <c r="H9" s="236">
        <f>$H$2*367</f>
        <v>12478</v>
      </c>
      <c r="I9" s="237">
        <f>$H$2*360</f>
        <v>12240</v>
      </c>
      <c r="J9" s="236">
        <f>$H$2*353</f>
        <v>12002</v>
      </c>
      <c r="K9" s="237">
        <f>$H$2*346</f>
        <v>11764</v>
      </c>
      <c r="L9" s="236">
        <f>$H$2*339</f>
        <v>11526</v>
      </c>
      <c r="M9" s="237">
        <f>$H$2*332</f>
        <v>11288</v>
      </c>
      <c r="N9" s="123"/>
    </row>
    <row r="10" spans="1:14">
      <c r="A10" s="123" t="s">
        <v>149</v>
      </c>
      <c r="B10" s="238">
        <v>0.7</v>
      </c>
      <c r="C10" s="236">
        <f>$H$2*388</f>
        <v>13192</v>
      </c>
      <c r="D10" s="236">
        <f>$H$2*381</f>
        <v>12954</v>
      </c>
      <c r="E10" s="236">
        <f>$H$2*374</f>
        <v>12716</v>
      </c>
      <c r="F10" s="236">
        <f>$H$2*367</f>
        <v>12478</v>
      </c>
      <c r="G10" s="237">
        <f>$H$2*360</f>
        <v>12240</v>
      </c>
      <c r="H10" s="236">
        <f>$H$2*353</f>
        <v>12002</v>
      </c>
      <c r="I10" s="237">
        <f>$H$2*346</f>
        <v>11764</v>
      </c>
      <c r="J10" s="236">
        <f>$H$2*339</f>
        <v>11526</v>
      </c>
      <c r="K10" s="237">
        <f>$H$2*332</f>
        <v>11288</v>
      </c>
      <c r="L10" s="236">
        <f>$H$2*325</f>
        <v>11050</v>
      </c>
      <c r="M10" s="237">
        <f>$H$2*318</f>
        <v>10812</v>
      </c>
      <c r="N10" s="123"/>
    </row>
    <row r="11" spans="1:14">
      <c r="A11" s="123"/>
      <c r="B11" s="238">
        <v>0.6</v>
      </c>
      <c r="C11" s="236">
        <f>$H$2*374</f>
        <v>12716</v>
      </c>
      <c r="D11" s="236">
        <f>$H$2*367</f>
        <v>12478</v>
      </c>
      <c r="E11" s="237">
        <f>$H$2*360</f>
        <v>12240</v>
      </c>
      <c r="F11" s="236">
        <f>$H$2*353</f>
        <v>12002</v>
      </c>
      <c r="G11" s="237">
        <f>$H$2*346</f>
        <v>11764</v>
      </c>
      <c r="H11" s="236">
        <f>$H$2*339</f>
        <v>11526</v>
      </c>
      <c r="I11" s="237">
        <f>$H$2*332</f>
        <v>11288</v>
      </c>
      <c r="J11" s="236">
        <f>$H$2*325</f>
        <v>11050</v>
      </c>
      <c r="K11" s="237">
        <f>$H$2*318</f>
        <v>10812</v>
      </c>
      <c r="L11" s="236">
        <f>$H$2*311</f>
        <v>10574</v>
      </c>
      <c r="M11" s="237">
        <f>$H$2*304</f>
        <v>10336</v>
      </c>
      <c r="N11" s="123"/>
    </row>
    <row r="12" spans="1:14">
      <c r="A12" s="123"/>
      <c r="B12" s="238">
        <v>0.5</v>
      </c>
      <c r="C12" s="237">
        <f>$H$2*360</f>
        <v>12240</v>
      </c>
      <c r="D12" s="236">
        <f>$H$2*353</f>
        <v>12002</v>
      </c>
      <c r="E12" s="237">
        <f>$H$2*346</f>
        <v>11764</v>
      </c>
      <c r="F12" s="236">
        <f>$H$2*339</f>
        <v>11526</v>
      </c>
      <c r="G12" s="237">
        <f>$H$2*332</f>
        <v>11288</v>
      </c>
      <c r="H12" s="236">
        <f>$H$2*325</f>
        <v>11050</v>
      </c>
      <c r="I12" s="237">
        <f>$H$2*318</f>
        <v>10812</v>
      </c>
      <c r="J12" s="236">
        <f>$H$2*311</f>
        <v>10574</v>
      </c>
      <c r="K12" s="237">
        <f>$H$2*304</f>
        <v>10336</v>
      </c>
      <c r="L12" s="236">
        <f>$H$2*297</f>
        <v>10098</v>
      </c>
      <c r="M12" s="237">
        <f>$H$2*290</f>
        <v>9860</v>
      </c>
      <c r="N12" s="123"/>
    </row>
    <row r="13" spans="1:14" ht="3" customHeight="1">
      <c r="A13" s="239"/>
      <c r="B13" s="240"/>
      <c r="C13" s="241"/>
      <c r="D13" s="241"/>
      <c r="E13" s="241"/>
      <c r="F13" s="241"/>
      <c r="G13" s="241"/>
      <c r="H13" s="241"/>
      <c r="I13" s="241"/>
      <c r="J13" s="241"/>
      <c r="K13" s="241"/>
      <c r="L13" s="241"/>
      <c r="M13" s="242"/>
      <c r="N13" s="123"/>
    </row>
    <row r="14" spans="1:14">
      <c r="A14" s="123"/>
      <c r="B14" s="235">
        <v>1</v>
      </c>
      <c r="C14" s="236">
        <f>$H$2*600</f>
        <v>20400</v>
      </c>
      <c r="D14" s="236">
        <f>$H$2*588</f>
        <v>19992</v>
      </c>
      <c r="E14" s="236">
        <f>$H$2*576</f>
        <v>19584</v>
      </c>
      <c r="F14" s="236">
        <f>$H$2*564</f>
        <v>19176</v>
      </c>
      <c r="G14" s="236">
        <f>$H$2*552</f>
        <v>18768</v>
      </c>
      <c r="H14" s="236">
        <f>$H$2*540</f>
        <v>18360</v>
      </c>
      <c r="I14" s="236">
        <f>$H$2*528</f>
        <v>17952</v>
      </c>
      <c r="J14" s="236">
        <f>$H$2*516</f>
        <v>17544</v>
      </c>
      <c r="K14" s="236">
        <f>$H$2*504</f>
        <v>17136</v>
      </c>
      <c r="L14" s="236">
        <f>$H$2*492</f>
        <v>16728</v>
      </c>
      <c r="M14" s="237">
        <f>$H$2*480</f>
        <v>16320</v>
      </c>
      <c r="N14" s="123"/>
    </row>
    <row r="15" spans="1:14">
      <c r="A15" s="123"/>
      <c r="B15" s="238">
        <v>0.9</v>
      </c>
      <c r="C15" s="236">
        <f>$H$2*576</f>
        <v>19584</v>
      </c>
      <c r="D15" s="236">
        <f>$H$2*564</f>
        <v>19176</v>
      </c>
      <c r="E15" s="236">
        <f>$H$2*552</f>
        <v>18768</v>
      </c>
      <c r="F15" s="236">
        <f>$H$2*540</f>
        <v>18360</v>
      </c>
      <c r="G15" s="236">
        <f>$H$2*528</f>
        <v>17952</v>
      </c>
      <c r="H15" s="236">
        <f>$H$2*516</f>
        <v>17544</v>
      </c>
      <c r="I15" s="236">
        <f>$H$2*504</f>
        <v>17136</v>
      </c>
      <c r="J15" s="236">
        <f>$H$2*492</f>
        <v>16728</v>
      </c>
      <c r="K15" s="237">
        <f>$H$2*480</f>
        <v>16320</v>
      </c>
      <c r="L15" s="237">
        <f>$H$2*468</f>
        <v>15912</v>
      </c>
      <c r="M15" s="237">
        <f>$H$2*456</f>
        <v>15504</v>
      </c>
      <c r="N15" s="123"/>
    </row>
    <row r="16" spans="1:14">
      <c r="A16" s="123" t="s">
        <v>150</v>
      </c>
      <c r="B16" s="238">
        <v>0.8</v>
      </c>
      <c r="C16" s="236">
        <f>$H$2*552</f>
        <v>18768</v>
      </c>
      <c r="D16" s="236">
        <f>$H$2*540</f>
        <v>18360</v>
      </c>
      <c r="E16" s="236">
        <f>$H$2*528</f>
        <v>17952</v>
      </c>
      <c r="F16" s="236">
        <f>$H$2*516</f>
        <v>17544</v>
      </c>
      <c r="G16" s="236">
        <f>$H$2*504</f>
        <v>17136</v>
      </c>
      <c r="H16" s="236">
        <f>$H$2*492</f>
        <v>16728</v>
      </c>
      <c r="I16" s="237">
        <f>$H$2*480</f>
        <v>16320</v>
      </c>
      <c r="J16" s="237">
        <f>$H$2*468</f>
        <v>15912</v>
      </c>
      <c r="K16" s="237">
        <f>$H$2*456</f>
        <v>15504</v>
      </c>
      <c r="L16" s="237">
        <f>$H$2*444</f>
        <v>15096</v>
      </c>
      <c r="M16" s="237">
        <f>$H$2*432</f>
        <v>14688</v>
      </c>
      <c r="N16" s="123"/>
    </row>
    <row r="17" spans="1:14">
      <c r="A17" s="123" t="s">
        <v>149</v>
      </c>
      <c r="B17" s="238">
        <v>0.7</v>
      </c>
      <c r="C17" s="236">
        <f>$H$2*528</f>
        <v>17952</v>
      </c>
      <c r="D17" s="236">
        <f>$H$2*516</f>
        <v>17544</v>
      </c>
      <c r="E17" s="236">
        <f>$H$2*504</f>
        <v>17136</v>
      </c>
      <c r="F17" s="236">
        <f>$H$2*492</f>
        <v>16728</v>
      </c>
      <c r="G17" s="237">
        <f>$H$2*480</f>
        <v>16320</v>
      </c>
      <c r="H17" s="237">
        <f>$H$2*468</f>
        <v>15912</v>
      </c>
      <c r="I17" s="237">
        <f>$H$2*456</f>
        <v>15504</v>
      </c>
      <c r="J17" s="237">
        <f>$H$2*444</f>
        <v>15096</v>
      </c>
      <c r="K17" s="237">
        <f>$H$2*432</f>
        <v>14688</v>
      </c>
      <c r="L17" s="237">
        <f>$H$2*420</f>
        <v>14280</v>
      </c>
      <c r="M17" s="237">
        <f>$H$2*408</f>
        <v>13872</v>
      </c>
      <c r="N17" s="123"/>
    </row>
    <row r="18" spans="1:14">
      <c r="A18" s="123"/>
      <c r="B18" s="238">
        <v>0.6</v>
      </c>
      <c r="C18" s="236">
        <f>$H$2*504</f>
        <v>17136</v>
      </c>
      <c r="D18" s="236">
        <f>$H$2*492</f>
        <v>16728</v>
      </c>
      <c r="E18" s="237">
        <f>$H$2*480</f>
        <v>16320</v>
      </c>
      <c r="F18" s="237">
        <f>$H$2*468</f>
        <v>15912</v>
      </c>
      <c r="G18" s="237">
        <f>$H$2*456</f>
        <v>15504</v>
      </c>
      <c r="H18" s="237">
        <f>$H$2*444</f>
        <v>15096</v>
      </c>
      <c r="I18" s="237">
        <f>$H$2*432</f>
        <v>14688</v>
      </c>
      <c r="J18" s="237">
        <f>$H$2*420</f>
        <v>14280</v>
      </c>
      <c r="K18" s="237">
        <f>$H$2*408</f>
        <v>13872</v>
      </c>
      <c r="L18" s="237">
        <f>$H$2*396</f>
        <v>13464</v>
      </c>
      <c r="M18" s="237">
        <f>$H$2*384</f>
        <v>13056</v>
      </c>
      <c r="N18" s="123"/>
    </row>
    <row r="19" spans="1:14">
      <c r="A19" s="123"/>
      <c r="B19" s="238">
        <v>0.5</v>
      </c>
      <c r="C19" s="237">
        <f>$H$2*480</f>
        <v>16320</v>
      </c>
      <c r="D19" s="237">
        <f>$H$2*468</f>
        <v>15912</v>
      </c>
      <c r="E19" s="237">
        <f>$H$2*456</f>
        <v>15504</v>
      </c>
      <c r="F19" s="237">
        <f>$H$2*444</f>
        <v>15096</v>
      </c>
      <c r="G19" s="237">
        <f>$H$2*432</f>
        <v>14688</v>
      </c>
      <c r="H19" s="237">
        <f>$H$2*420</f>
        <v>14280</v>
      </c>
      <c r="I19" s="237">
        <f>$H$2*408</f>
        <v>13872</v>
      </c>
      <c r="J19" s="237">
        <f>$H$2*396</f>
        <v>13464</v>
      </c>
      <c r="K19" s="237">
        <f>$H$2*384</f>
        <v>13056</v>
      </c>
      <c r="L19" s="237">
        <f>$H$2*372</f>
        <v>12648</v>
      </c>
      <c r="M19" s="237">
        <f>$H$2*360</f>
        <v>12240</v>
      </c>
      <c r="N19" s="123"/>
    </row>
    <row r="20" spans="1:14" ht="3" customHeight="1">
      <c r="A20" s="239"/>
      <c r="B20" s="240"/>
      <c r="C20" s="241"/>
      <c r="D20" s="241"/>
      <c r="E20" s="241"/>
      <c r="F20" s="241"/>
      <c r="G20" s="241"/>
      <c r="H20" s="241"/>
      <c r="I20" s="241"/>
      <c r="J20" s="241"/>
      <c r="K20" s="241"/>
      <c r="L20" s="241"/>
      <c r="M20" s="242"/>
      <c r="N20" s="123"/>
    </row>
    <row r="21" spans="1:14">
      <c r="A21" s="123"/>
      <c r="B21" s="235">
        <v>1</v>
      </c>
      <c r="C21" s="237">
        <f>$H$2*460</f>
        <v>15640</v>
      </c>
      <c r="D21" s="237">
        <f>$H$2*453</f>
        <v>15402</v>
      </c>
      <c r="E21" s="237">
        <f>$H$2*445</f>
        <v>15130</v>
      </c>
      <c r="F21" s="237">
        <f>$H$2*438</f>
        <v>14892</v>
      </c>
      <c r="G21" s="237">
        <f>$H$2*430</f>
        <v>14620</v>
      </c>
      <c r="H21" s="237">
        <f>$H$2*423</f>
        <v>14382</v>
      </c>
      <c r="I21" s="237">
        <f>$H$2*415</f>
        <v>14110</v>
      </c>
      <c r="J21" s="237">
        <f>$H$2*408</f>
        <v>13872</v>
      </c>
      <c r="K21" s="237">
        <f>$H$2*400</f>
        <v>13600</v>
      </c>
      <c r="L21" s="237">
        <f>$H$2*393</f>
        <v>13362</v>
      </c>
      <c r="M21" s="237">
        <f>$H$2*385</f>
        <v>13090</v>
      </c>
      <c r="N21" s="123"/>
    </row>
    <row r="22" spans="1:14">
      <c r="A22" s="123"/>
      <c r="B22" s="238">
        <v>0.9</v>
      </c>
      <c r="C22" s="237">
        <f>$H$2*445</f>
        <v>15130</v>
      </c>
      <c r="D22" s="237">
        <f>$H$2*438</f>
        <v>14892</v>
      </c>
      <c r="E22" s="237">
        <f>$H$2*430</f>
        <v>14620</v>
      </c>
      <c r="F22" s="237">
        <f>$H$2*423</f>
        <v>14382</v>
      </c>
      <c r="G22" s="237">
        <f>$H$2*415</f>
        <v>14110</v>
      </c>
      <c r="H22" s="237">
        <f>$H$2*408</f>
        <v>13872</v>
      </c>
      <c r="I22" s="237">
        <f>$H$2*400</f>
        <v>13600</v>
      </c>
      <c r="J22" s="237">
        <f>$H$2*393</f>
        <v>13362</v>
      </c>
      <c r="K22" s="237">
        <f>$H$2*385</f>
        <v>13090</v>
      </c>
      <c r="L22" s="237">
        <f>$H$2*378</f>
        <v>12852</v>
      </c>
      <c r="M22" s="237">
        <f>$H$2*370</f>
        <v>12580</v>
      </c>
      <c r="N22" s="123"/>
    </row>
    <row r="23" spans="1:14">
      <c r="A23" s="123" t="s">
        <v>151</v>
      </c>
      <c r="B23" s="238">
        <v>0.8</v>
      </c>
      <c r="C23" s="237">
        <f>$H$2*430</f>
        <v>14620</v>
      </c>
      <c r="D23" s="237">
        <f>$H$2*423</f>
        <v>14382</v>
      </c>
      <c r="E23" s="237">
        <f>$H$2*415</f>
        <v>14110</v>
      </c>
      <c r="F23" s="237">
        <f>$H$2*408</f>
        <v>13872</v>
      </c>
      <c r="G23" s="237">
        <f>$H$2*400</f>
        <v>13600</v>
      </c>
      <c r="H23" s="237">
        <f>$H$2*393</f>
        <v>13362</v>
      </c>
      <c r="I23" s="237">
        <f>$H$2*385</f>
        <v>13090</v>
      </c>
      <c r="J23" s="237">
        <f>$H$2*378</f>
        <v>12852</v>
      </c>
      <c r="K23" s="237">
        <f>$H$2*370</f>
        <v>12580</v>
      </c>
      <c r="L23" s="237">
        <f>$H$2*363</f>
        <v>12342</v>
      </c>
      <c r="M23" s="237">
        <f>$H$2*355</f>
        <v>12070</v>
      </c>
      <c r="N23" s="123"/>
    </row>
    <row r="24" spans="1:14">
      <c r="A24" s="123" t="s">
        <v>149</v>
      </c>
      <c r="B24" s="238">
        <v>0.7</v>
      </c>
      <c r="C24" s="237">
        <f>$H$2*415</f>
        <v>14110</v>
      </c>
      <c r="D24" s="237">
        <f>$H$2*408</f>
        <v>13872</v>
      </c>
      <c r="E24" s="237">
        <f>$H$2*400</f>
        <v>13600</v>
      </c>
      <c r="F24" s="237">
        <f>$H$2*393</f>
        <v>13362</v>
      </c>
      <c r="G24" s="237">
        <f>$H$2*385</f>
        <v>13090</v>
      </c>
      <c r="H24" s="237">
        <f>$H$2*378</f>
        <v>12852</v>
      </c>
      <c r="I24" s="237">
        <f>$H$2*370</f>
        <v>12580</v>
      </c>
      <c r="J24" s="237">
        <f>$H$2*363</f>
        <v>12342</v>
      </c>
      <c r="K24" s="237">
        <f>$H$2*355</f>
        <v>12070</v>
      </c>
      <c r="L24" s="237">
        <f>$H$2*348</f>
        <v>11832</v>
      </c>
      <c r="M24" s="237">
        <f>$H$2*340</f>
        <v>11560</v>
      </c>
      <c r="N24" s="123"/>
    </row>
    <row r="25" spans="1:14">
      <c r="A25" s="123"/>
      <c r="B25" s="238">
        <v>0.6</v>
      </c>
      <c r="C25" s="237">
        <f>$H$2*400</f>
        <v>13600</v>
      </c>
      <c r="D25" s="237">
        <f>$H$2*393</f>
        <v>13362</v>
      </c>
      <c r="E25" s="237">
        <f>$H$2*385</f>
        <v>13090</v>
      </c>
      <c r="F25" s="237">
        <f>$H$2*378</f>
        <v>12852</v>
      </c>
      <c r="G25" s="237">
        <f>$H$2*370</f>
        <v>12580</v>
      </c>
      <c r="H25" s="237">
        <f>$H$2*363</f>
        <v>12342</v>
      </c>
      <c r="I25" s="237">
        <f>$H$2*355</f>
        <v>12070</v>
      </c>
      <c r="J25" s="237">
        <f>$H$2*348</f>
        <v>11832</v>
      </c>
      <c r="K25" s="237">
        <f>$H$2*340</f>
        <v>11560</v>
      </c>
      <c r="L25" s="237">
        <f>$H$2*333</f>
        <v>11322</v>
      </c>
      <c r="M25" s="237">
        <f>$H$2*325</f>
        <v>11050</v>
      </c>
      <c r="N25" s="123"/>
    </row>
    <row r="26" spans="1:14">
      <c r="A26" s="123"/>
      <c r="B26" s="238">
        <v>0.5</v>
      </c>
      <c r="C26" s="237">
        <f>$H$2*385</f>
        <v>13090</v>
      </c>
      <c r="D26" s="237">
        <f>$H$2*378</f>
        <v>12852</v>
      </c>
      <c r="E26" s="237">
        <f>$H$2*370</f>
        <v>12580</v>
      </c>
      <c r="F26" s="237">
        <f>$H$2*363</f>
        <v>12342</v>
      </c>
      <c r="G26" s="237">
        <f>$H$2*355</f>
        <v>12070</v>
      </c>
      <c r="H26" s="237">
        <f>$H$2*348</f>
        <v>11832</v>
      </c>
      <c r="I26" s="237">
        <f>$H$2*340</f>
        <v>11560</v>
      </c>
      <c r="J26" s="237">
        <f>$H$2*333</f>
        <v>11322</v>
      </c>
      <c r="K26" s="237">
        <f>$H$2*325</f>
        <v>11050</v>
      </c>
      <c r="L26" s="237">
        <f>$H$2*318</f>
        <v>10812</v>
      </c>
      <c r="M26" s="237">
        <f>$H$2*310</f>
        <v>10540</v>
      </c>
      <c r="N26" s="123"/>
    </row>
    <row r="27" spans="1:14" ht="3" customHeight="1">
      <c r="A27" s="239"/>
      <c r="B27" s="240"/>
      <c r="C27" s="241"/>
      <c r="D27" s="241"/>
      <c r="E27" s="241"/>
      <c r="F27" s="241"/>
      <c r="G27" s="241"/>
      <c r="H27" s="241"/>
      <c r="I27" s="241"/>
      <c r="J27" s="241"/>
      <c r="K27" s="241"/>
      <c r="L27" s="241"/>
      <c r="M27" s="242"/>
      <c r="N27" s="123"/>
    </row>
    <row r="28" spans="1:14">
      <c r="A28" s="123"/>
      <c r="B28" s="235">
        <v>1</v>
      </c>
      <c r="C28" s="237">
        <f>$H$2*400</f>
        <v>13600</v>
      </c>
      <c r="D28" s="237">
        <f>$H$2*395</f>
        <v>13430</v>
      </c>
      <c r="E28" s="237">
        <f>$H$2*390</f>
        <v>13260</v>
      </c>
      <c r="F28" s="237">
        <f>$H$2*385</f>
        <v>13090</v>
      </c>
      <c r="G28" s="237">
        <f>$H$2*380</f>
        <v>12920</v>
      </c>
      <c r="H28" s="237">
        <f>$H$2*375</f>
        <v>12750</v>
      </c>
      <c r="I28" s="237">
        <f>$H$2*370</f>
        <v>12580</v>
      </c>
      <c r="J28" s="237">
        <f>$H$2*365</f>
        <v>12410</v>
      </c>
      <c r="K28" s="237">
        <f>$H$2*360</f>
        <v>12240</v>
      </c>
      <c r="L28" s="237">
        <f>$H$2*355</f>
        <v>12070</v>
      </c>
      <c r="M28" s="237">
        <f>$H$2*350</f>
        <v>11900</v>
      </c>
      <c r="N28" s="237">
        <f>$H$2*360</f>
        <v>12240</v>
      </c>
    </row>
    <row r="29" spans="1:14">
      <c r="A29" s="123"/>
      <c r="B29" s="238">
        <v>0.9</v>
      </c>
      <c r="C29" s="237">
        <f>$H$2*390</f>
        <v>13260</v>
      </c>
      <c r="D29" s="237">
        <f>$H$2*385</f>
        <v>13090</v>
      </c>
      <c r="E29" s="237">
        <f>$H$2*380</f>
        <v>12920</v>
      </c>
      <c r="F29" s="237">
        <f>$H$2*375</f>
        <v>12750</v>
      </c>
      <c r="G29" s="237">
        <f>$H$2*370</f>
        <v>12580</v>
      </c>
      <c r="H29" s="237">
        <f>$H$2*365</f>
        <v>12410</v>
      </c>
      <c r="I29" s="237">
        <f>$H$2*360</f>
        <v>12240</v>
      </c>
      <c r="J29" s="237">
        <f>$H$2*355</f>
        <v>12070</v>
      </c>
      <c r="K29" s="237">
        <f>$H$2*350</f>
        <v>11900</v>
      </c>
      <c r="L29" s="237">
        <f>$H$2*345</f>
        <v>11730</v>
      </c>
      <c r="M29" s="237">
        <f>$H$2*340</f>
        <v>11560</v>
      </c>
      <c r="N29" s="123"/>
    </row>
    <row r="30" spans="1:14">
      <c r="A30" s="123" t="s">
        <v>152</v>
      </c>
      <c r="B30" s="238">
        <v>0.8</v>
      </c>
      <c r="C30" s="237">
        <f>$H$2*380</f>
        <v>12920</v>
      </c>
      <c r="D30" s="237">
        <f>$H$2*375</f>
        <v>12750</v>
      </c>
      <c r="E30" s="237">
        <f>$H$2*370</f>
        <v>12580</v>
      </c>
      <c r="F30" s="237">
        <f>$H$2*365</f>
        <v>12410</v>
      </c>
      <c r="G30" s="237">
        <f>$H$2*360</f>
        <v>12240</v>
      </c>
      <c r="H30" s="237">
        <f>$H$2*355</f>
        <v>12070</v>
      </c>
      <c r="I30" s="237">
        <f>$H$2*350</f>
        <v>11900</v>
      </c>
      <c r="J30" s="237">
        <f>$H$2*345</f>
        <v>11730</v>
      </c>
      <c r="K30" s="237">
        <f>$H$2*340</f>
        <v>11560</v>
      </c>
      <c r="L30" s="237">
        <f>$H$2*335</f>
        <v>11390</v>
      </c>
      <c r="M30" s="237">
        <f>$H$2*330</f>
        <v>11220</v>
      </c>
      <c r="N30" s="123"/>
    </row>
    <row r="31" spans="1:14">
      <c r="A31" s="123" t="s">
        <v>153</v>
      </c>
      <c r="B31" s="238">
        <v>0.7</v>
      </c>
      <c r="C31" s="237">
        <f>$H$2*370</f>
        <v>12580</v>
      </c>
      <c r="D31" s="237">
        <f>$H$2*365</f>
        <v>12410</v>
      </c>
      <c r="E31" s="237">
        <f>$H$2*360</f>
        <v>12240</v>
      </c>
      <c r="F31" s="237">
        <f>$H$2*355</f>
        <v>12070</v>
      </c>
      <c r="G31" s="237">
        <f>$H$2*350</f>
        <v>11900</v>
      </c>
      <c r="H31" s="237">
        <f>$H$2*345</f>
        <v>11730</v>
      </c>
      <c r="I31" s="237">
        <f>$H$2*340</f>
        <v>11560</v>
      </c>
      <c r="J31" s="237">
        <f>$H$2*335</f>
        <v>11390</v>
      </c>
      <c r="K31" s="237">
        <f>$H$2*330</f>
        <v>11220</v>
      </c>
      <c r="L31" s="237">
        <f>$H$2*325</f>
        <v>11050</v>
      </c>
      <c r="M31" s="237">
        <f>$H$2*320</f>
        <v>10880</v>
      </c>
      <c r="N31" s="123"/>
    </row>
    <row r="32" spans="1:14">
      <c r="A32" s="123"/>
      <c r="B32" s="238">
        <v>0.6</v>
      </c>
      <c r="C32" s="237">
        <f>$H$2*360</f>
        <v>12240</v>
      </c>
      <c r="D32" s="237">
        <f>$H$2*355</f>
        <v>12070</v>
      </c>
      <c r="E32" s="237">
        <f>$H$2*350</f>
        <v>11900</v>
      </c>
      <c r="F32" s="237">
        <f>$H$2*345</f>
        <v>11730</v>
      </c>
      <c r="G32" s="237">
        <f>$H$2*340</f>
        <v>11560</v>
      </c>
      <c r="H32" s="237">
        <f>$H$2*335</f>
        <v>11390</v>
      </c>
      <c r="I32" s="237">
        <f>$H$2*330</f>
        <v>11220</v>
      </c>
      <c r="J32" s="237">
        <f>$H$2*325</f>
        <v>11050</v>
      </c>
      <c r="K32" s="237">
        <f>$H$2*320</f>
        <v>10880</v>
      </c>
      <c r="L32" s="237">
        <f>$H$2*315</f>
        <v>10710</v>
      </c>
      <c r="M32" s="237">
        <f>$H$2*310</f>
        <v>10540</v>
      </c>
      <c r="N32" s="123"/>
    </row>
    <row r="33" spans="1:14">
      <c r="A33" s="123"/>
      <c r="B33" s="238">
        <v>0.5</v>
      </c>
      <c r="C33" s="237">
        <f>$H$2*350</f>
        <v>11900</v>
      </c>
      <c r="D33" s="237">
        <f>$H$2*345</f>
        <v>11730</v>
      </c>
      <c r="E33" s="237">
        <f>$H$2*340</f>
        <v>11560</v>
      </c>
      <c r="F33" s="237">
        <f>$H$2*335</f>
        <v>11390</v>
      </c>
      <c r="G33" s="237">
        <f>$H$2*330</f>
        <v>11220</v>
      </c>
      <c r="H33" s="237">
        <f>$H$2*325</f>
        <v>11050</v>
      </c>
      <c r="I33" s="237">
        <f>$H$2*320</f>
        <v>10880</v>
      </c>
      <c r="J33" s="237">
        <f>$H$2*315</f>
        <v>10710</v>
      </c>
      <c r="K33" s="237">
        <f>$H$2*310</f>
        <v>10540</v>
      </c>
      <c r="L33" s="237">
        <f>$H$2*305</f>
        <v>10370</v>
      </c>
      <c r="M33" s="237">
        <f>$H$2*300</f>
        <v>10200</v>
      </c>
      <c r="N33" s="123"/>
    </row>
    <row r="34" spans="1:14" ht="3" customHeight="1">
      <c r="A34" s="239"/>
      <c r="B34" s="240"/>
      <c r="C34" s="241"/>
      <c r="D34" s="241"/>
      <c r="E34" s="241"/>
      <c r="F34" s="241"/>
      <c r="G34" s="241"/>
      <c r="H34" s="241"/>
      <c r="I34" s="241"/>
      <c r="J34" s="241"/>
      <c r="K34" s="241"/>
      <c r="L34" s="241"/>
      <c r="M34" s="242"/>
      <c r="N34" s="123"/>
    </row>
    <row r="35" spans="1:14">
      <c r="A35" s="123" t="s">
        <v>154</v>
      </c>
      <c r="B35" s="238"/>
      <c r="M35" s="3"/>
      <c r="N35" s="123"/>
    </row>
    <row r="36" spans="1:14">
      <c r="A36" s="123" t="s">
        <v>155</v>
      </c>
      <c r="B36" s="238"/>
      <c r="C36" s="237">
        <f>$H$2*260</f>
        <v>8840</v>
      </c>
      <c r="M36" s="3"/>
      <c r="N36" s="123"/>
    </row>
    <row r="37" spans="1:14">
      <c r="A37" s="85" t="s">
        <v>156</v>
      </c>
      <c r="B37" s="233"/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123"/>
    </row>
  </sheetData>
  <sheetProtection password="836F" sheet="1" objects="1" scenarios="1"/>
  <phoneticPr fontId="30" type="noConversion"/>
  <pageMargins left="0.78740157480314965" right="0.51181102362204722" top="0.98425196850393704" bottom="0.98425196850393704" header="0.51181102362204722" footer="0.51181102362204722"/>
  <pageSetup paperSize="256" orientation="portrait" horizontalDpi="4294967294" verticalDpi="144" r:id="rId1"/>
  <headerFooter alignWithMargins="0">
    <oddHeader>&amp;L&amp;"Times New Roman,Fet\&amp;14Sveriges Elleverantörer&amp;R&amp;D</oddHeader>
    <oddFooter>&amp;L&amp;8&amp;F\&amp;A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Blad20"/>
  <dimension ref="A1:N37"/>
  <sheetViews>
    <sheetView workbookViewId="0">
      <selection activeCell="I14" sqref="I14"/>
    </sheetView>
  </sheetViews>
  <sheetFormatPr defaultRowHeight="12.75"/>
  <cols>
    <col min="1" max="1" width="10.85546875" customWidth="1"/>
    <col min="2" max="2" width="5.42578125" customWidth="1"/>
    <col min="3" max="13" width="6.28515625" customWidth="1"/>
    <col min="14" max="14" width="0.28515625" customWidth="1"/>
  </cols>
  <sheetData>
    <row r="1" spans="1:14" ht="24" customHeight="1">
      <c r="A1" s="228" t="s">
        <v>140</v>
      </c>
    </row>
    <row r="2" spans="1:14" ht="24" customHeight="1">
      <c r="A2" s="78" t="s">
        <v>141</v>
      </c>
      <c r="H2" s="229">
        <f>Fakta!$C$22</f>
        <v>34</v>
      </c>
    </row>
    <row r="3" spans="1:14" ht="24" customHeight="1">
      <c r="A3" s="78" t="s">
        <v>161</v>
      </c>
    </row>
    <row r="5" spans="1:14">
      <c r="A5" s="230" t="s">
        <v>143</v>
      </c>
      <c r="B5" s="231" t="s">
        <v>144</v>
      </c>
      <c r="C5" s="232" t="s">
        <v>145</v>
      </c>
      <c r="D5" s="232"/>
      <c r="E5" s="232"/>
      <c r="F5" s="232"/>
      <c r="G5" s="232"/>
      <c r="H5" s="232"/>
      <c r="I5" s="232"/>
      <c r="J5" s="232"/>
      <c r="K5" s="232"/>
      <c r="L5" s="232"/>
      <c r="M5" s="232"/>
      <c r="N5" s="123"/>
    </row>
    <row r="6" spans="1:14">
      <c r="A6" s="85" t="s">
        <v>146</v>
      </c>
      <c r="B6" s="233" t="s">
        <v>147</v>
      </c>
      <c r="C6" s="234">
        <v>10</v>
      </c>
      <c r="D6" s="234">
        <v>9.1</v>
      </c>
      <c r="E6" s="234">
        <v>8.1999999999999993</v>
      </c>
      <c r="F6" s="234">
        <v>7.3</v>
      </c>
      <c r="G6" s="234">
        <v>6.4</v>
      </c>
      <c r="H6" s="234">
        <v>5.5</v>
      </c>
      <c r="I6" s="234">
        <v>4.5999999999999996</v>
      </c>
      <c r="J6" s="234">
        <v>3.7</v>
      </c>
      <c r="K6" s="234">
        <v>2.8</v>
      </c>
      <c r="L6" s="234">
        <v>1.9</v>
      </c>
      <c r="M6" s="234">
        <v>0.1</v>
      </c>
      <c r="N6" s="123"/>
    </row>
    <row r="7" spans="1:14">
      <c r="A7" s="123"/>
      <c r="B7" s="235">
        <v>1</v>
      </c>
      <c r="C7" s="236">
        <f>$H$2*240</f>
        <v>8160</v>
      </c>
      <c r="D7" s="236">
        <f>$H$2*236</f>
        <v>8024</v>
      </c>
      <c r="E7" s="236">
        <f>$H$2*232</f>
        <v>7888</v>
      </c>
      <c r="F7" s="236">
        <f>$H$2*228</f>
        <v>7752</v>
      </c>
      <c r="G7" s="236">
        <f>$H$2*224</f>
        <v>7616</v>
      </c>
      <c r="H7" s="236">
        <f>$H$2*220</f>
        <v>7480</v>
      </c>
      <c r="I7" s="236">
        <f>$H$2*216</f>
        <v>7344</v>
      </c>
      <c r="J7" s="236">
        <f>$H$2*212</f>
        <v>7208</v>
      </c>
      <c r="K7" s="236">
        <f>$H$2*208</f>
        <v>7072</v>
      </c>
      <c r="L7" s="236">
        <f>$H$2*204</f>
        <v>6936</v>
      </c>
      <c r="M7" s="237">
        <f>$H$2*200</f>
        <v>6800</v>
      </c>
      <c r="N7" s="123"/>
    </row>
    <row r="8" spans="1:14">
      <c r="A8" s="123"/>
      <c r="B8" s="238">
        <v>0.9</v>
      </c>
      <c r="C8" s="236">
        <f>$H$2*232</f>
        <v>7888</v>
      </c>
      <c r="D8" s="236">
        <f>$H$2*228</f>
        <v>7752</v>
      </c>
      <c r="E8" s="236">
        <f>$H$2*224</f>
        <v>7616</v>
      </c>
      <c r="F8" s="236">
        <f>$H$2*220</f>
        <v>7480</v>
      </c>
      <c r="G8" s="236">
        <f>$H$2*216</f>
        <v>7344</v>
      </c>
      <c r="H8" s="236">
        <f>$H$2*212</f>
        <v>7208</v>
      </c>
      <c r="I8" s="236">
        <f>$H$2*208</f>
        <v>7072</v>
      </c>
      <c r="J8" s="236">
        <f>$H$2*204</f>
        <v>6936</v>
      </c>
      <c r="K8" s="237">
        <f>$H$2*200</f>
        <v>6800</v>
      </c>
      <c r="L8" s="236">
        <f>$H$2*196</f>
        <v>6664</v>
      </c>
      <c r="M8" s="237">
        <f>$H$2*192</f>
        <v>6528</v>
      </c>
      <c r="N8" s="123"/>
    </row>
    <row r="9" spans="1:14">
      <c r="A9" s="123" t="s">
        <v>148</v>
      </c>
      <c r="B9" s="238">
        <v>0.8</v>
      </c>
      <c r="C9" s="236">
        <f>$H$2*224</f>
        <v>7616</v>
      </c>
      <c r="D9" s="236">
        <f>$H$2*220</f>
        <v>7480</v>
      </c>
      <c r="E9" s="236">
        <f>$H$2*216</f>
        <v>7344</v>
      </c>
      <c r="F9" s="236">
        <f>$H$2*212</f>
        <v>7208</v>
      </c>
      <c r="G9" s="236">
        <f>$H$2*208</f>
        <v>7072</v>
      </c>
      <c r="H9" s="236">
        <f>$H$2*204</f>
        <v>6936</v>
      </c>
      <c r="I9" s="237">
        <f>$H$2*200</f>
        <v>6800</v>
      </c>
      <c r="J9" s="236">
        <f>$H$2*196</f>
        <v>6664</v>
      </c>
      <c r="K9" s="237">
        <f>$H$2*192</f>
        <v>6528</v>
      </c>
      <c r="L9" s="236">
        <f>$H$2*188</f>
        <v>6392</v>
      </c>
      <c r="M9" s="237">
        <f>$H$2*184</f>
        <v>6256</v>
      </c>
      <c r="N9" s="123"/>
    </row>
    <row r="10" spans="1:14">
      <c r="A10" s="123" t="s">
        <v>149</v>
      </c>
      <c r="B10" s="238">
        <v>0.7</v>
      </c>
      <c r="C10" s="236">
        <f>$H$2*216</f>
        <v>7344</v>
      </c>
      <c r="D10" s="236">
        <f>$H$2*212</f>
        <v>7208</v>
      </c>
      <c r="E10" s="236">
        <f>$H$2*208</f>
        <v>7072</v>
      </c>
      <c r="F10" s="236">
        <f>$H$2*204</f>
        <v>6936</v>
      </c>
      <c r="G10" s="237">
        <f>$H$2*200</f>
        <v>6800</v>
      </c>
      <c r="H10" s="236">
        <f>$H$2*196</f>
        <v>6664</v>
      </c>
      <c r="I10" s="237">
        <f>$H$2*192</f>
        <v>6528</v>
      </c>
      <c r="J10" s="236">
        <f>$H$2*188</f>
        <v>6392</v>
      </c>
      <c r="K10" s="237">
        <f>$H$2*184</f>
        <v>6256</v>
      </c>
      <c r="L10" s="236">
        <f>$H$2*180</f>
        <v>6120</v>
      </c>
      <c r="M10" s="237">
        <f>$H$2*176</f>
        <v>5984</v>
      </c>
      <c r="N10" s="123"/>
    </row>
    <row r="11" spans="1:14">
      <c r="A11" s="123"/>
      <c r="B11" s="238">
        <v>0.6</v>
      </c>
      <c r="C11" s="236">
        <f>$H$2*208</f>
        <v>7072</v>
      </c>
      <c r="D11" s="236">
        <f>$H$2*204</f>
        <v>6936</v>
      </c>
      <c r="E11" s="237">
        <f>$H$2*200</f>
        <v>6800</v>
      </c>
      <c r="F11" s="236">
        <f>$H$2*196</f>
        <v>6664</v>
      </c>
      <c r="G11" s="237">
        <f>$H$2*192</f>
        <v>6528</v>
      </c>
      <c r="H11" s="236">
        <f>$H$2*188</f>
        <v>6392</v>
      </c>
      <c r="I11" s="237">
        <f>$H$2*184</f>
        <v>6256</v>
      </c>
      <c r="J11" s="236">
        <f>$H$2*180</f>
        <v>6120</v>
      </c>
      <c r="K11" s="237">
        <f>$H$2*176</f>
        <v>5984</v>
      </c>
      <c r="L11" s="236">
        <f>$H$2*172</f>
        <v>5848</v>
      </c>
      <c r="M11" s="237">
        <f>$H$2*168</f>
        <v>5712</v>
      </c>
      <c r="N11" s="123"/>
    </row>
    <row r="12" spans="1:14">
      <c r="A12" s="123"/>
      <c r="B12" s="238">
        <v>0.5</v>
      </c>
      <c r="C12" s="237">
        <f>$H$2*200</f>
        <v>6800</v>
      </c>
      <c r="D12" s="236">
        <f>$H$2*196</f>
        <v>6664</v>
      </c>
      <c r="E12" s="237">
        <f>$H$2*192</f>
        <v>6528</v>
      </c>
      <c r="F12" s="236">
        <f>$H$2*188</f>
        <v>6392</v>
      </c>
      <c r="G12" s="237">
        <f>$H$2*184</f>
        <v>6256</v>
      </c>
      <c r="H12" s="236">
        <f>$H$2*180</f>
        <v>6120</v>
      </c>
      <c r="I12" s="237">
        <f>$H$2*176</f>
        <v>5984</v>
      </c>
      <c r="J12" s="236">
        <f>$H$2*172</f>
        <v>5848</v>
      </c>
      <c r="K12" s="237">
        <f>$H$2*168</f>
        <v>5712</v>
      </c>
      <c r="L12" s="236">
        <f>$H$2*164</f>
        <v>5576</v>
      </c>
      <c r="M12" s="237">
        <f>$H$2*160</f>
        <v>5440</v>
      </c>
      <c r="N12" s="123"/>
    </row>
    <row r="13" spans="1:14" ht="3" customHeight="1">
      <c r="A13" s="239"/>
      <c r="B13" s="240"/>
      <c r="C13" s="241"/>
      <c r="D13" s="241"/>
      <c r="E13" s="241"/>
      <c r="F13" s="241"/>
      <c r="G13" s="241"/>
      <c r="H13" s="241"/>
      <c r="I13" s="241"/>
      <c r="J13" s="241"/>
      <c r="K13" s="241"/>
      <c r="L13" s="241"/>
      <c r="M13" s="242"/>
      <c r="N13" s="123"/>
    </row>
    <row r="14" spans="1:14">
      <c r="A14" s="123"/>
      <c r="B14" s="235">
        <v>1</v>
      </c>
      <c r="C14" s="236">
        <f>$H$2*350</f>
        <v>11900</v>
      </c>
      <c r="D14" s="236">
        <f>$H$2*343</f>
        <v>11662</v>
      </c>
      <c r="E14" s="236">
        <f>$H$2*335</f>
        <v>11390</v>
      </c>
      <c r="F14" s="236">
        <f>$H$2*328</f>
        <v>11152</v>
      </c>
      <c r="G14" s="236">
        <f>$H$2*320</f>
        <v>10880</v>
      </c>
      <c r="H14" s="236">
        <f>$H$2*313</f>
        <v>10642</v>
      </c>
      <c r="I14" s="236">
        <f>$H$2*305</f>
        <v>10370</v>
      </c>
      <c r="J14" s="236">
        <f>$H$2*298</f>
        <v>10132</v>
      </c>
      <c r="K14" s="236">
        <f>$H$2*290</f>
        <v>9860</v>
      </c>
      <c r="L14" s="236">
        <f>$H$2*283</f>
        <v>9622</v>
      </c>
      <c r="M14" s="237">
        <f>$H$2*275</f>
        <v>9350</v>
      </c>
      <c r="N14" s="123"/>
    </row>
    <row r="15" spans="1:14">
      <c r="A15" s="123"/>
      <c r="B15" s="238">
        <v>0.9</v>
      </c>
      <c r="C15" s="236">
        <f>$H$2*335</f>
        <v>11390</v>
      </c>
      <c r="D15" s="236">
        <f>$H$2*328</f>
        <v>11152</v>
      </c>
      <c r="E15" s="236">
        <f>$H$2*320</f>
        <v>10880</v>
      </c>
      <c r="F15" s="236">
        <f>$H$2*313</f>
        <v>10642</v>
      </c>
      <c r="G15" s="236">
        <f>$H$2*305</f>
        <v>10370</v>
      </c>
      <c r="H15" s="236">
        <f>$H$2*298</f>
        <v>10132</v>
      </c>
      <c r="I15" s="236">
        <f>$H$2*290</f>
        <v>9860</v>
      </c>
      <c r="J15" s="236">
        <f>$H$2*283</f>
        <v>9622</v>
      </c>
      <c r="K15" s="237">
        <f>$H$2*275</f>
        <v>9350</v>
      </c>
      <c r="L15" s="237">
        <f>$H$2*268</f>
        <v>9112</v>
      </c>
      <c r="M15" s="237">
        <f>$H$2*260</f>
        <v>8840</v>
      </c>
      <c r="N15" s="123"/>
    </row>
    <row r="16" spans="1:14">
      <c r="A16" s="123" t="s">
        <v>150</v>
      </c>
      <c r="B16" s="238">
        <v>0.8</v>
      </c>
      <c r="C16" s="236">
        <f>$H$2*320</f>
        <v>10880</v>
      </c>
      <c r="D16" s="236">
        <f>$H$2*313</f>
        <v>10642</v>
      </c>
      <c r="E16" s="236">
        <f>$H$2*305</f>
        <v>10370</v>
      </c>
      <c r="F16" s="236">
        <f>$H$2*298</f>
        <v>10132</v>
      </c>
      <c r="G16" s="236">
        <f>$H$2*290</f>
        <v>9860</v>
      </c>
      <c r="H16" s="236">
        <f>$H$2*283</f>
        <v>9622</v>
      </c>
      <c r="I16" s="237">
        <f>$H$2*275</f>
        <v>9350</v>
      </c>
      <c r="J16" s="237">
        <f>$H$2*268</f>
        <v>9112</v>
      </c>
      <c r="K16" s="237">
        <f>$H$2*260</f>
        <v>8840</v>
      </c>
      <c r="L16" s="237">
        <f>$H$2*253</f>
        <v>8602</v>
      </c>
      <c r="M16" s="237">
        <f>$H$2*245</f>
        <v>8330</v>
      </c>
      <c r="N16" s="123"/>
    </row>
    <row r="17" spans="1:14">
      <c r="A17" s="123" t="s">
        <v>149</v>
      </c>
      <c r="B17" s="238">
        <v>0.7</v>
      </c>
      <c r="C17" s="236">
        <f>$H$2*305</f>
        <v>10370</v>
      </c>
      <c r="D17" s="236">
        <f>$H$2*298</f>
        <v>10132</v>
      </c>
      <c r="E17" s="236">
        <f>$H$2*290</f>
        <v>9860</v>
      </c>
      <c r="F17" s="236">
        <f>$H$2*283</f>
        <v>9622</v>
      </c>
      <c r="G17" s="237">
        <f>$H$2*275</f>
        <v>9350</v>
      </c>
      <c r="H17" s="237">
        <f>$H$2*268</f>
        <v>9112</v>
      </c>
      <c r="I17" s="237">
        <f>$H$2*260</f>
        <v>8840</v>
      </c>
      <c r="J17" s="237">
        <f>$H$2*253</f>
        <v>8602</v>
      </c>
      <c r="K17" s="237">
        <f>$H$2*245</f>
        <v>8330</v>
      </c>
      <c r="L17" s="237">
        <f>$H$2*238</f>
        <v>8092</v>
      </c>
      <c r="M17" s="237">
        <f>$H$2*230</f>
        <v>7820</v>
      </c>
      <c r="N17" s="123"/>
    </row>
    <row r="18" spans="1:14">
      <c r="A18" s="123"/>
      <c r="B18" s="238">
        <v>0.6</v>
      </c>
      <c r="C18" s="236">
        <f>$H$2*290</f>
        <v>9860</v>
      </c>
      <c r="D18" s="236">
        <f>$H$2*283</f>
        <v>9622</v>
      </c>
      <c r="E18" s="237">
        <f>$H$2*275</f>
        <v>9350</v>
      </c>
      <c r="F18" s="237">
        <f>$H$2*268</f>
        <v>9112</v>
      </c>
      <c r="G18" s="237">
        <f>$H$2*260</f>
        <v>8840</v>
      </c>
      <c r="H18" s="237">
        <f>$H$2*253</f>
        <v>8602</v>
      </c>
      <c r="I18" s="237">
        <f>$H$2*245</f>
        <v>8330</v>
      </c>
      <c r="J18" s="237">
        <f>$H$2*238</f>
        <v>8092</v>
      </c>
      <c r="K18" s="237">
        <f>$H$2*230</f>
        <v>7820</v>
      </c>
      <c r="L18" s="237">
        <f>$H$2*223</f>
        <v>7582</v>
      </c>
      <c r="M18" s="237">
        <f>$H$2*215</f>
        <v>7310</v>
      </c>
      <c r="N18" s="123"/>
    </row>
    <row r="19" spans="1:14">
      <c r="A19" s="123"/>
      <c r="B19" s="238">
        <v>0.5</v>
      </c>
      <c r="C19" s="237">
        <f>$H$2*275</f>
        <v>9350</v>
      </c>
      <c r="D19" s="237">
        <f>$H$2*268</f>
        <v>9112</v>
      </c>
      <c r="E19" s="237">
        <f>$H$2*260</f>
        <v>8840</v>
      </c>
      <c r="F19" s="237">
        <f>$H$2*253</f>
        <v>8602</v>
      </c>
      <c r="G19" s="237">
        <f>$H$2*245</f>
        <v>8330</v>
      </c>
      <c r="H19" s="237">
        <f>$H$2*238</f>
        <v>8092</v>
      </c>
      <c r="I19" s="237">
        <f>$H$2*230</f>
        <v>7820</v>
      </c>
      <c r="J19" s="237">
        <f>$H$2*223</f>
        <v>7582</v>
      </c>
      <c r="K19" s="237">
        <f>$H$2*215</f>
        <v>7310</v>
      </c>
      <c r="L19" s="237">
        <f>$H$2*208</f>
        <v>7072</v>
      </c>
      <c r="M19" s="237">
        <f>$H$2*200</f>
        <v>6800</v>
      </c>
      <c r="N19" s="123"/>
    </row>
    <row r="20" spans="1:14" ht="3" customHeight="1">
      <c r="A20" s="239"/>
      <c r="B20" s="240"/>
      <c r="C20" s="241"/>
      <c r="D20" s="241"/>
      <c r="E20" s="241"/>
      <c r="F20" s="241"/>
      <c r="G20" s="241"/>
      <c r="H20" s="241"/>
      <c r="I20" s="241"/>
      <c r="J20" s="241"/>
      <c r="K20" s="241"/>
      <c r="L20" s="241"/>
      <c r="M20" s="242"/>
      <c r="N20" s="123"/>
    </row>
    <row r="21" spans="1:14">
      <c r="A21" s="123"/>
      <c r="B21" s="235">
        <v>1</v>
      </c>
      <c r="C21" s="237">
        <f>$H$2*290</f>
        <v>9860</v>
      </c>
      <c r="D21" s="237">
        <f>$H$2*285</f>
        <v>9690</v>
      </c>
      <c r="E21" s="237">
        <f>$H$2*279</f>
        <v>9486</v>
      </c>
      <c r="F21" s="237">
        <f>$H$2*274</f>
        <v>9316</v>
      </c>
      <c r="G21" s="237">
        <f>$H$2*268</f>
        <v>9112</v>
      </c>
      <c r="H21" s="237">
        <f>$H$2*263</f>
        <v>8942</v>
      </c>
      <c r="I21" s="237">
        <f>$H$2*257</f>
        <v>8738</v>
      </c>
      <c r="J21" s="237">
        <f>$H$2*252</f>
        <v>8568</v>
      </c>
      <c r="K21" s="237">
        <f>$H$2*246</f>
        <v>8364</v>
      </c>
      <c r="L21" s="237">
        <f>$H$2*241</f>
        <v>8194</v>
      </c>
      <c r="M21" s="237">
        <f>$H$2*235</f>
        <v>7990</v>
      </c>
      <c r="N21" s="123"/>
    </row>
    <row r="22" spans="1:14">
      <c r="A22" s="123"/>
      <c r="B22" s="238">
        <v>0.9</v>
      </c>
      <c r="C22" s="237">
        <f>$H$2*279</f>
        <v>9486</v>
      </c>
      <c r="D22" s="237">
        <f>$H$2*274</f>
        <v>9316</v>
      </c>
      <c r="E22" s="237">
        <f>$H$2*268</f>
        <v>9112</v>
      </c>
      <c r="F22" s="237">
        <f>$H$2*263</f>
        <v>8942</v>
      </c>
      <c r="G22" s="237">
        <f>$H$2*257</f>
        <v>8738</v>
      </c>
      <c r="H22" s="237">
        <f>$H$2*252</f>
        <v>8568</v>
      </c>
      <c r="I22" s="237">
        <f>$H$2*246</f>
        <v>8364</v>
      </c>
      <c r="J22" s="237">
        <f>$H$2*241</f>
        <v>8194</v>
      </c>
      <c r="K22" s="237">
        <f>$H$2*235</f>
        <v>7990</v>
      </c>
      <c r="L22" s="237">
        <f>$H$2*230</f>
        <v>7820</v>
      </c>
      <c r="M22" s="237">
        <f>$H$2*224</f>
        <v>7616</v>
      </c>
      <c r="N22" s="123"/>
    </row>
    <row r="23" spans="1:14">
      <c r="A23" s="123" t="s">
        <v>151</v>
      </c>
      <c r="B23" s="238">
        <v>0.8</v>
      </c>
      <c r="C23" s="237">
        <f>$H$2*268</f>
        <v>9112</v>
      </c>
      <c r="D23" s="237">
        <f>$H$2*263</f>
        <v>8942</v>
      </c>
      <c r="E23" s="237">
        <f>$H$2*257</f>
        <v>8738</v>
      </c>
      <c r="F23" s="237">
        <f>$H$2*252</f>
        <v>8568</v>
      </c>
      <c r="G23" s="237">
        <f>$H$2*246</f>
        <v>8364</v>
      </c>
      <c r="H23" s="237">
        <f>$H$2*241</f>
        <v>8194</v>
      </c>
      <c r="I23" s="237">
        <f>$H$2*235</f>
        <v>7990</v>
      </c>
      <c r="J23" s="237">
        <f>$H$2*230</f>
        <v>7820</v>
      </c>
      <c r="K23" s="237">
        <f>$H$2*224</f>
        <v>7616</v>
      </c>
      <c r="L23" s="237">
        <f>$H$2*219</f>
        <v>7446</v>
      </c>
      <c r="M23" s="237">
        <f>$H$2*213</f>
        <v>7242</v>
      </c>
      <c r="N23" s="123"/>
    </row>
    <row r="24" spans="1:14">
      <c r="A24" s="123" t="s">
        <v>149</v>
      </c>
      <c r="B24" s="238">
        <v>0.7</v>
      </c>
      <c r="C24" s="237">
        <f>$H$2*257</f>
        <v>8738</v>
      </c>
      <c r="D24" s="237">
        <f>$H$2*252</f>
        <v>8568</v>
      </c>
      <c r="E24" s="237">
        <f>$H$2*246</f>
        <v>8364</v>
      </c>
      <c r="F24" s="237">
        <f>$H$2*241</f>
        <v>8194</v>
      </c>
      <c r="G24" s="237">
        <f>$H$2*235</f>
        <v>7990</v>
      </c>
      <c r="H24" s="237">
        <f>$H$2*230</f>
        <v>7820</v>
      </c>
      <c r="I24" s="237">
        <f>$H$2*224</f>
        <v>7616</v>
      </c>
      <c r="J24" s="237">
        <f>$H$2*219</f>
        <v>7446</v>
      </c>
      <c r="K24" s="237">
        <f>$H$2*213</f>
        <v>7242</v>
      </c>
      <c r="L24" s="237">
        <f>$H$2*208</f>
        <v>7072</v>
      </c>
      <c r="M24" s="237">
        <f>$H$2*202</f>
        <v>6868</v>
      </c>
      <c r="N24" s="123"/>
    </row>
    <row r="25" spans="1:14">
      <c r="A25" s="123"/>
      <c r="B25" s="238">
        <v>0.6</v>
      </c>
      <c r="C25" s="237">
        <f>$H$2*246</f>
        <v>8364</v>
      </c>
      <c r="D25" s="237">
        <f>$H$2*241</f>
        <v>8194</v>
      </c>
      <c r="E25" s="237">
        <f>$H$2*235</f>
        <v>7990</v>
      </c>
      <c r="F25" s="237">
        <f>$H$2*230</f>
        <v>7820</v>
      </c>
      <c r="G25" s="237">
        <f>$H$2*224</f>
        <v>7616</v>
      </c>
      <c r="H25" s="237">
        <f>$H$2*219</f>
        <v>7446</v>
      </c>
      <c r="I25" s="237">
        <f>$H$2*213</f>
        <v>7242</v>
      </c>
      <c r="J25" s="237">
        <f>$H$2*208</f>
        <v>7072</v>
      </c>
      <c r="K25" s="237">
        <f>$H$2*202</f>
        <v>6868</v>
      </c>
      <c r="L25" s="237">
        <f>$H$2*197</f>
        <v>6698</v>
      </c>
      <c r="M25" s="237">
        <f>$H$2*191</f>
        <v>6494</v>
      </c>
      <c r="N25" s="123"/>
    </row>
    <row r="26" spans="1:14">
      <c r="A26" s="123"/>
      <c r="B26" s="238">
        <v>0.5</v>
      </c>
      <c r="C26" s="237">
        <f>$H$2*235</f>
        <v>7990</v>
      </c>
      <c r="D26" s="237">
        <f>$H$2*230</f>
        <v>7820</v>
      </c>
      <c r="E26" s="237">
        <f>$H$2*224</f>
        <v>7616</v>
      </c>
      <c r="F26" s="237">
        <f>$H$2*219</f>
        <v>7446</v>
      </c>
      <c r="G26" s="237">
        <f>$H$2*213</f>
        <v>7242</v>
      </c>
      <c r="H26" s="237">
        <f>$H$2*208</f>
        <v>7072</v>
      </c>
      <c r="I26" s="237">
        <f>$H$2*202</f>
        <v>6868</v>
      </c>
      <c r="J26" s="237">
        <f>$H$2*197</f>
        <v>6698</v>
      </c>
      <c r="K26" s="237">
        <f>$H$2*191</f>
        <v>6494</v>
      </c>
      <c r="L26" s="237">
        <f>$H$2*186</f>
        <v>6324</v>
      </c>
      <c r="M26" s="237">
        <f>$H$2*180</f>
        <v>6120</v>
      </c>
      <c r="N26" s="123"/>
    </row>
    <row r="27" spans="1:14" ht="3" customHeight="1">
      <c r="A27" s="239"/>
      <c r="B27" s="240"/>
      <c r="C27" s="241"/>
      <c r="D27" s="241"/>
      <c r="E27" s="241"/>
      <c r="F27" s="241"/>
      <c r="G27" s="241"/>
      <c r="H27" s="241"/>
      <c r="I27" s="241"/>
      <c r="J27" s="241"/>
      <c r="K27" s="241"/>
      <c r="L27" s="241"/>
      <c r="M27" s="242"/>
      <c r="N27" s="123"/>
    </row>
    <row r="28" spans="1:14">
      <c r="A28" s="123"/>
      <c r="B28" s="235">
        <v>1</v>
      </c>
      <c r="C28" s="237">
        <f>$H$2*200</f>
        <v>6800</v>
      </c>
      <c r="D28" s="237">
        <f>$H$2*198</f>
        <v>6732</v>
      </c>
      <c r="E28" s="237">
        <f>$H$2*196</f>
        <v>6664</v>
      </c>
      <c r="F28" s="237">
        <f>$H$2*194</f>
        <v>6596</v>
      </c>
      <c r="G28" s="237">
        <f>$H$2*192</f>
        <v>6528</v>
      </c>
      <c r="H28" s="237">
        <f>$H$2*190</f>
        <v>6460</v>
      </c>
      <c r="I28" s="237">
        <f>$H$2*188</f>
        <v>6392</v>
      </c>
      <c r="J28" s="237">
        <f>$H$2*186</f>
        <v>6324</v>
      </c>
      <c r="K28" s="237">
        <f>$H$2*184</f>
        <v>6256</v>
      </c>
      <c r="L28" s="237">
        <f>$H$2*182</f>
        <v>6188</v>
      </c>
      <c r="M28" s="237">
        <f>$H$2*180</f>
        <v>6120</v>
      </c>
      <c r="N28" s="237">
        <f>$H$2*360</f>
        <v>12240</v>
      </c>
    </row>
    <row r="29" spans="1:14">
      <c r="A29" s="123"/>
      <c r="B29" s="238">
        <v>0.9</v>
      </c>
      <c r="C29" s="237">
        <f>$H$2*196</f>
        <v>6664</v>
      </c>
      <c r="D29" s="237">
        <f>$H$2*194</f>
        <v>6596</v>
      </c>
      <c r="E29" s="237">
        <f>$H$2*192</f>
        <v>6528</v>
      </c>
      <c r="F29" s="237">
        <f>$H$2*190</f>
        <v>6460</v>
      </c>
      <c r="G29" s="237">
        <f>$H$2*188</f>
        <v>6392</v>
      </c>
      <c r="H29" s="237">
        <f>$H$2*186</f>
        <v>6324</v>
      </c>
      <c r="I29" s="237">
        <f>$H$2*184</f>
        <v>6256</v>
      </c>
      <c r="J29" s="237">
        <f>$H$2*182</f>
        <v>6188</v>
      </c>
      <c r="K29" s="237">
        <f>$H$2*180</f>
        <v>6120</v>
      </c>
      <c r="L29" s="237">
        <f>$H$2*178</f>
        <v>6052</v>
      </c>
      <c r="M29" s="237">
        <f>$H$2*176</f>
        <v>5984</v>
      </c>
      <c r="N29" s="123"/>
    </row>
    <row r="30" spans="1:14">
      <c r="A30" s="123" t="s">
        <v>152</v>
      </c>
      <c r="B30" s="238">
        <v>0.8</v>
      </c>
      <c r="C30" s="237">
        <f>$H$2*192</f>
        <v>6528</v>
      </c>
      <c r="D30" s="237">
        <f>$H$2*190</f>
        <v>6460</v>
      </c>
      <c r="E30" s="237">
        <f>$H$2*188</f>
        <v>6392</v>
      </c>
      <c r="F30" s="237">
        <f>$H$2*186</f>
        <v>6324</v>
      </c>
      <c r="G30" s="237">
        <f>$H$2*184</f>
        <v>6256</v>
      </c>
      <c r="H30" s="237">
        <f>$H$2*182</f>
        <v>6188</v>
      </c>
      <c r="I30" s="237">
        <f>$H$2*180</f>
        <v>6120</v>
      </c>
      <c r="J30" s="237">
        <f>$H$2*178</f>
        <v>6052</v>
      </c>
      <c r="K30" s="237">
        <f>$H$2*176</f>
        <v>5984</v>
      </c>
      <c r="L30" s="237">
        <f>$H$2*174</f>
        <v>5916</v>
      </c>
      <c r="M30" s="237">
        <f>$H$2*172</f>
        <v>5848</v>
      </c>
      <c r="N30" s="123"/>
    </row>
    <row r="31" spans="1:14">
      <c r="A31" s="123" t="s">
        <v>153</v>
      </c>
      <c r="B31" s="238">
        <v>0.7</v>
      </c>
      <c r="C31" s="237">
        <f>$H$2*188</f>
        <v>6392</v>
      </c>
      <c r="D31" s="237">
        <f>$H$2*186</f>
        <v>6324</v>
      </c>
      <c r="E31" s="237">
        <f>$H$2*184</f>
        <v>6256</v>
      </c>
      <c r="F31" s="237">
        <f>$H$2*182</f>
        <v>6188</v>
      </c>
      <c r="G31" s="237">
        <f>$H$2*180</f>
        <v>6120</v>
      </c>
      <c r="H31" s="237">
        <f>$H$2*178</f>
        <v>6052</v>
      </c>
      <c r="I31" s="237">
        <f>$H$2*176</f>
        <v>5984</v>
      </c>
      <c r="J31" s="237">
        <f>$H$2*174</f>
        <v>5916</v>
      </c>
      <c r="K31" s="237">
        <f>$H$2*172</f>
        <v>5848</v>
      </c>
      <c r="L31" s="237">
        <f>$H$2*170</f>
        <v>5780</v>
      </c>
      <c r="M31" s="237">
        <f>$H$2*168</f>
        <v>5712</v>
      </c>
      <c r="N31" s="123"/>
    </row>
    <row r="32" spans="1:14">
      <c r="A32" s="123"/>
      <c r="B32" s="238">
        <v>0.6</v>
      </c>
      <c r="C32" s="237">
        <f>$H$2*184</f>
        <v>6256</v>
      </c>
      <c r="D32" s="237">
        <f>$H$2*182</f>
        <v>6188</v>
      </c>
      <c r="E32" s="237">
        <f>$H$2*180</f>
        <v>6120</v>
      </c>
      <c r="F32" s="237">
        <f>$H$2*178</f>
        <v>6052</v>
      </c>
      <c r="G32" s="237">
        <f>$H$2*176</f>
        <v>5984</v>
      </c>
      <c r="H32" s="237">
        <f>$H$2*174</f>
        <v>5916</v>
      </c>
      <c r="I32" s="237">
        <f>$H$2*172</f>
        <v>5848</v>
      </c>
      <c r="J32" s="237">
        <f>$H$2*170</f>
        <v>5780</v>
      </c>
      <c r="K32" s="237">
        <f>$H$2*168</f>
        <v>5712</v>
      </c>
      <c r="L32" s="237">
        <f>$H$2*166</f>
        <v>5644</v>
      </c>
      <c r="M32" s="237">
        <f>$H$2*164</f>
        <v>5576</v>
      </c>
      <c r="N32" s="123"/>
    </row>
    <row r="33" spans="1:14">
      <c r="A33" s="123"/>
      <c r="B33" s="238">
        <v>0.5</v>
      </c>
      <c r="C33" s="237">
        <f>$H$2*180</f>
        <v>6120</v>
      </c>
      <c r="D33" s="237">
        <f>$H$2*178</f>
        <v>6052</v>
      </c>
      <c r="E33" s="237">
        <f>$H$2*176</f>
        <v>5984</v>
      </c>
      <c r="F33" s="237">
        <f>$H$2*174</f>
        <v>5916</v>
      </c>
      <c r="G33" s="237">
        <f>$H$2*172</f>
        <v>5848</v>
      </c>
      <c r="H33" s="237">
        <f>$H$2*170</f>
        <v>5780</v>
      </c>
      <c r="I33" s="237">
        <f>$H$2*168</f>
        <v>5712</v>
      </c>
      <c r="J33" s="237">
        <f>$H$2*166</f>
        <v>5644</v>
      </c>
      <c r="K33" s="237">
        <f>$H$2*164</f>
        <v>5576</v>
      </c>
      <c r="L33" s="237">
        <f>$H$2*162</f>
        <v>5508</v>
      </c>
      <c r="M33" s="237">
        <f>$H$2*160</f>
        <v>5440</v>
      </c>
      <c r="N33" s="123"/>
    </row>
    <row r="34" spans="1:14" ht="3" customHeight="1">
      <c r="A34" s="239"/>
      <c r="B34" s="240"/>
      <c r="C34" s="241"/>
      <c r="D34" s="241"/>
      <c r="E34" s="241"/>
      <c r="F34" s="241"/>
      <c r="G34" s="241"/>
      <c r="H34" s="241"/>
      <c r="I34" s="241"/>
      <c r="J34" s="241"/>
      <c r="K34" s="241"/>
      <c r="L34" s="241"/>
      <c r="M34" s="242"/>
      <c r="N34" s="123"/>
    </row>
    <row r="35" spans="1:14">
      <c r="A35" s="123" t="s">
        <v>154</v>
      </c>
      <c r="B35" s="238"/>
      <c r="M35" s="3"/>
      <c r="N35" s="123"/>
    </row>
    <row r="36" spans="1:14">
      <c r="A36" s="123" t="s">
        <v>155</v>
      </c>
      <c r="B36" s="238"/>
      <c r="C36" s="237">
        <f>$H$2*130</f>
        <v>4420</v>
      </c>
      <c r="M36" s="3"/>
      <c r="N36" s="123"/>
    </row>
    <row r="37" spans="1:14">
      <c r="A37" s="85" t="s">
        <v>156</v>
      </c>
      <c r="B37" s="233"/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123"/>
    </row>
  </sheetData>
  <sheetProtection password="836F" sheet="1" objects="1" scenarios="1"/>
  <phoneticPr fontId="30" type="noConversion"/>
  <pageMargins left="0.78740157480314965" right="0.51181102362204722" top="0.98425196850393704" bottom="0.98425196850393704" header="0.51181102362204722" footer="0.51181102362204722"/>
  <pageSetup paperSize="9" orientation="portrait" horizontalDpi="360" verticalDpi="300" r:id="rId1"/>
  <headerFooter alignWithMargins="0">
    <oddHeader>&amp;L&amp;"Times New Roman,Fet\&amp;14Sveriges Elleverantörer&amp;R&amp;D</oddHeader>
    <oddFooter>&amp;L&amp;8&amp;F\&amp;A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Blad2"/>
  <dimension ref="A1:AA100"/>
  <sheetViews>
    <sheetView showGridLines="0" showZeros="0" workbookViewId="0">
      <pane ySplit="11" topLeftCell="A12" activePane="bottomLeft" state="frozen"/>
      <selection pane="bottomLeft" activeCell="K13" sqref="K13"/>
    </sheetView>
  </sheetViews>
  <sheetFormatPr defaultRowHeight="12.75"/>
  <cols>
    <col min="1" max="1" width="5.28515625" customWidth="1"/>
    <col min="2" max="2" width="4.7109375" customWidth="1"/>
    <col min="3" max="3" width="25.140625" customWidth="1"/>
    <col min="4" max="4" width="1.5703125" customWidth="1"/>
    <col min="5" max="5" width="5.28515625" customWidth="1"/>
    <col min="6" max="6" width="2.85546875" hidden="1" customWidth="1"/>
    <col min="7" max="7" width="5.28515625" customWidth="1"/>
    <col min="8" max="8" width="2.85546875" hidden="1" customWidth="1"/>
    <col min="9" max="9" width="8.140625" customWidth="1"/>
    <col min="10" max="10" width="11.5703125" hidden="1" customWidth="1"/>
    <col min="11" max="11" width="5.42578125" customWidth="1"/>
    <col min="12" max="12" width="5.7109375" customWidth="1"/>
    <col min="13" max="13" width="5.5703125" customWidth="1"/>
    <col min="14" max="14" width="9.85546875" customWidth="1"/>
    <col min="15" max="15" width="10" customWidth="1"/>
    <col min="16" max="17" width="9.140625" hidden="1" customWidth="1"/>
    <col min="18" max="18" width="6.42578125" hidden="1" customWidth="1"/>
    <col min="19" max="19" width="11" hidden="1" customWidth="1"/>
    <col min="20" max="20" width="15" hidden="1" customWidth="1"/>
    <col min="21" max="21" width="9.140625" hidden="1" customWidth="1"/>
    <col min="22" max="22" width="10.140625" hidden="1" customWidth="1"/>
    <col min="23" max="24" width="10.42578125" hidden="1" customWidth="1"/>
    <col min="25" max="26" width="10.42578125" customWidth="1"/>
  </cols>
  <sheetData>
    <row r="1" spans="1:27" ht="15.75">
      <c r="A1" s="132"/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45" t="s">
        <v>18</v>
      </c>
      <c r="Z1" s="302"/>
    </row>
    <row r="2" spans="1:27" ht="20.25">
      <c r="A2" s="372" t="str">
        <f>Fakta!$C$5</f>
        <v>Kraftringen Nät AB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270"/>
      <c r="N2" s="132"/>
      <c r="O2" s="312"/>
    </row>
    <row r="3" spans="1:27" ht="11.25" customHeight="1">
      <c r="A3" s="132"/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</row>
    <row r="4" spans="1:27" ht="16.5" customHeight="1" thickBot="1">
      <c r="A4" s="146" t="s">
        <v>19</v>
      </c>
      <c r="B4" s="128"/>
      <c r="C4" s="128"/>
      <c r="D4" s="128"/>
      <c r="E4" s="128"/>
      <c r="F4" s="128"/>
      <c r="G4" s="128"/>
      <c r="H4" s="128"/>
      <c r="I4" s="128"/>
      <c r="J4" s="128"/>
      <c r="K4" s="147" t="s">
        <v>20</v>
      </c>
      <c r="L4" s="430">
        <f>Sammandrag!F10</f>
        <v>0</v>
      </c>
      <c r="M4" s="430"/>
      <c r="N4" s="430"/>
      <c r="O4" s="431"/>
    </row>
    <row r="5" spans="1:27" ht="15" customHeight="1" thickTop="1">
      <c r="A5" s="148"/>
      <c r="B5" s="149"/>
      <c r="C5" s="149"/>
      <c r="D5" s="149"/>
      <c r="E5" s="149"/>
      <c r="F5" s="149"/>
      <c r="G5" s="149"/>
      <c r="H5" s="149"/>
      <c r="I5" s="44"/>
      <c r="J5" s="44"/>
      <c r="K5" s="44"/>
      <c r="L5" s="44"/>
      <c r="M5" s="149"/>
      <c r="N5" s="134" t="s">
        <v>21</v>
      </c>
      <c r="O5" s="305">
        <f>Fakta!$C$11</f>
        <v>282.89</v>
      </c>
      <c r="S5" s="134" t="s">
        <v>21</v>
      </c>
      <c r="T5" s="150">
        <f>Fakta!$C$11</f>
        <v>282.89</v>
      </c>
    </row>
    <row r="6" spans="1:27" ht="15" customHeight="1">
      <c r="A6" s="148" t="s">
        <v>22</v>
      </c>
      <c r="B6" s="44"/>
      <c r="C6" s="374">
        <f>Sammandrag!$B$6</f>
        <v>0</v>
      </c>
      <c r="D6" s="374"/>
      <c r="E6" s="374"/>
      <c r="F6" s="374"/>
      <c r="G6" s="374"/>
      <c r="H6" s="374"/>
      <c r="I6" s="374"/>
      <c r="J6" s="44"/>
      <c r="K6" s="44"/>
      <c r="L6" s="44"/>
      <c r="M6" s="149"/>
      <c r="N6" s="134" t="s">
        <v>23</v>
      </c>
      <c r="O6" s="305">
        <f>Fakta!$C$14</f>
        <v>313.43</v>
      </c>
      <c r="S6" s="134" t="s">
        <v>23</v>
      </c>
      <c r="T6" s="173">
        <f>Fakta!$C$14</f>
        <v>313.43</v>
      </c>
    </row>
    <row r="7" spans="1:27" ht="15" customHeight="1">
      <c r="A7" s="151"/>
      <c r="B7" s="152"/>
      <c r="C7" s="375">
        <f>Sammandrag!$B$7</f>
        <v>0</v>
      </c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3" t="s">
        <v>24</v>
      </c>
      <c r="O7" s="208" t="str">
        <f>Fakta!$C$17</f>
        <v>Gss</v>
      </c>
    </row>
    <row r="8" spans="1:27">
      <c r="A8" s="154" t="s">
        <v>25</v>
      </c>
      <c r="B8" s="44"/>
      <c r="C8" s="44"/>
      <c r="D8" s="131"/>
      <c r="E8" s="429" t="s">
        <v>26</v>
      </c>
      <c r="F8" s="429"/>
      <c r="G8" s="429"/>
      <c r="H8" s="156"/>
      <c r="I8" s="156" t="s">
        <v>193</v>
      </c>
      <c r="J8" s="156"/>
      <c r="K8" s="157" t="s">
        <v>27</v>
      </c>
      <c r="L8" s="158" t="s">
        <v>185</v>
      </c>
      <c r="M8" s="159" t="s">
        <v>28</v>
      </c>
      <c r="N8" s="160" t="s">
        <v>29</v>
      </c>
      <c r="O8" s="161" t="s">
        <v>30</v>
      </c>
    </row>
    <row r="9" spans="1:27">
      <c r="A9" s="154"/>
      <c r="B9" s="44"/>
      <c r="C9" s="44"/>
      <c r="D9" s="131"/>
      <c r="E9" s="155"/>
      <c r="F9" s="155"/>
      <c r="G9" s="162"/>
      <c r="H9" s="156"/>
      <c r="I9" s="156" t="s">
        <v>194</v>
      </c>
      <c r="J9" s="156"/>
      <c r="K9" s="162" t="s">
        <v>31</v>
      </c>
      <c r="L9" s="158"/>
      <c r="M9" s="159" t="s">
        <v>32</v>
      </c>
      <c r="N9" s="160"/>
      <c r="O9" s="161"/>
    </row>
    <row r="10" spans="1:27">
      <c r="A10" s="154"/>
      <c r="B10" s="44"/>
      <c r="C10" s="44"/>
      <c r="D10" s="131"/>
      <c r="E10" s="159" t="s">
        <v>33</v>
      </c>
      <c r="F10" s="159"/>
      <c r="G10" s="162" t="s">
        <v>34</v>
      </c>
      <c r="H10" s="156"/>
      <c r="I10" s="156"/>
      <c r="J10" s="156"/>
      <c r="K10" s="163"/>
      <c r="L10" s="158"/>
      <c r="M10" s="159"/>
      <c r="N10" s="160"/>
      <c r="O10" s="161"/>
    </row>
    <row r="11" spans="1:27">
      <c r="A11" s="164" t="s">
        <v>35</v>
      </c>
      <c r="B11" s="165" t="s">
        <v>36</v>
      </c>
      <c r="C11" s="165"/>
      <c r="D11" s="166"/>
      <c r="E11" s="167" t="s">
        <v>37</v>
      </c>
      <c r="F11" s="167"/>
      <c r="G11" s="168" t="s">
        <v>37</v>
      </c>
      <c r="H11" s="167"/>
      <c r="I11" s="167" t="s">
        <v>188</v>
      </c>
      <c r="J11" s="167"/>
      <c r="K11" s="169" t="s">
        <v>38</v>
      </c>
      <c r="L11" s="167"/>
      <c r="M11" s="170" t="s">
        <v>39</v>
      </c>
      <c r="N11" s="171" t="s">
        <v>40</v>
      </c>
      <c r="O11" s="172" t="s">
        <v>40</v>
      </c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>
      <c r="A12" s="53"/>
      <c r="B12" s="101"/>
      <c r="C12" s="178"/>
      <c r="D12" s="179"/>
      <c r="E12" s="101"/>
      <c r="F12" s="178">
        <f t="shared" ref="F12:F17" si="0">IF(E12&gt;20,E12-20,0)</f>
        <v>0</v>
      </c>
      <c r="G12" s="54"/>
      <c r="H12" s="178">
        <f t="shared" ref="H12:H17" si="1">IF(G12&gt;7,G12-7,0)</f>
        <v>0</v>
      </c>
      <c r="I12" s="102"/>
      <c r="J12" t="e">
        <f>LOOKUP(V12,$W$13:$W$17,$X$13:$X$17)</f>
        <v>#N/A</v>
      </c>
      <c r="K12" s="104"/>
      <c r="L12" s="174" t="str">
        <f ca="1">IF(K12="","",IF(K12="Å",LOOKUP(J12,INDIRECT($O$7&amp;"Lv"),INDIRECT($O$7&amp;"Rv")),IF(K12="B",INDIRECT("Bet"),INDIRECT("Imp"))))</f>
        <v/>
      </c>
      <c r="M12" s="102"/>
      <c r="N12" s="294" t="str">
        <f ca="1">IF(M12="B",ROUND(((INDEX(INDIRECT($O$7),G12-H12+1,E12-F12+1)+INDIRECT($O$7&amp;"l")*F12+INDIRECT($O$7&amp;"b")*H12)*L12)*$O$6/$O$5,0)," ")</f>
        <v xml:space="preserve"> </v>
      </c>
      <c r="O12" s="293" t="str">
        <f t="shared" ref="O12:O42" ca="1" si="2">IF(M12="N",ROUND(((INDEX(INDIRECT($O$7),G12-H12+1,E12-F12+1)+INDIRECT($O$7&amp;"l")*F12+INDIRECT($O$7&amp;"b")*H12)*L12)*$O$6/$O$5,0),"")</f>
        <v/>
      </c>
      <c r="P12" s="300">
        <f t="shared" ref="P12:P28" si="3">IF(K12="å",N12,0)</f>
        <v>0</v>
      </c>
      <c r="Q12" s="300">
        <f t="shared" ref="Q12:Q28" si="4">IF(K12="å",O12,0)</f>
        <v>0</v>
      </c>
      <c r="R12" s="301"/>
      <c r="V12">
        <f>IF(I12="&gt;15 m",4,I12)</f>
        <v>0</v>
      </c>
      <c r="W12" s="102"/>
      <c r="X12" s="174"/>
    </row>
    <row r="13" spans="1:27">
      <c r="A13" s="53"/>
      <c r="B13" s="101"/>
      <c r="C13" s="178"/>
      <c r="D13" s="179"/>
      <c r="E13" s="101"/>
      <c r="F13" s="178">
        <f t="shared" si="0"/>
        <v>0</v>
      </c>
      <c r="G13" s="54"/>
      <c r="H13" s="178">
        <f t="shared" si="1"/>
        <v>0</v>
      </c>
      <c r="I13" s="102"/>
      <c r="J13" t="e">
        <f t="shared" ref="J13:J42" si="5">LOOKUP(V13,$W$13:$W$17,$X$13:$X$17)</f>
        <v>#N/A</v>
      </c>
      <c r="K13" s="104"/>
      <c r="L13" s="174" t="str">
        <f ca="1">IF(K13="","",IF(K13="Å",LOOKUP(J13,INDIRECT($O$7&amp;"Lv"),INDIRECT($O$7&amp;"Rv")),IF(K13="B",INDIRECT("Bet"),INDIRECT("Imp"))))</f>
        <v/>
      </c>
      <c r="M13" s="102"/>
      <c r="N13" s="294" t="str">
        <f t="shared" ref="N13:N42" ca="1" si="6">IF(M13="B",ROUND(((INDEX(INDIRECT($O$7),G13-H13+1,E13-F13+1)+INDIRECT($O$7&amp;"l")*F13+INDIRECT($O$7&amp;"b")*H13)*L13)*$O$6/$O$5,0)," ")</f>
        <v xml:space="preserve"> </v>
      </c>
      <c r="O13" s="293" t="str">
        <f t="shared" ca="1" si="2"/>
        <v/>
      </c>
      <c r="P13">
        <f t="shared" si="3"/>
        <v>0</v>
      </c>
      <c r="Q13">
        <f t="shared" si="4"/>
        <v>0</v>
      </c>
      <c r="V13">
        <f t="shared" ref="V13:V42" si="7">IF(I13="&gt;15 m",4,I13)</f>
        <v>0</v>
      </c>
      <c r="W13" s="102" t="s">
        <v>116</v>
      </c>
      <c r="X13">
        <v>0.5</v>
      </c>
    </row>
    <row r="14" spans="1:27">
      <c r="A14" s="53"/>
      <c r="B14" s="101"/>
      <c r="C14" s="178"/>
      <c r="D14" s="179"/>
      <c r="E14" s="101"/>
      <c r="F14" s="178">
        <f t="shared" si="0"/>
        <v>0</v>
      </c>
      <c r="G14" s="54"/>
      <c r="H14" s="178">
        <f t="shared" si="1"/>
        <v>0</v>
      </c>
      <c r="I14" s="102"/>
      <c r="J14" t="e">
        <f t="shared" si="5"/>
        <v>#N/A</v>
      </c>
      <c r="K14" s="104"/>
      <c r="L14" s="174" t="str">
        <f t="shared" ref="L14:L42" ca="1" si="8">IF(K14="","",IF(K14="Å",LOOKUP(J14,INDIRECT($O$7&amp;"Lv"),INDIRECT($O$7&amp;"Rv")),IF(K14="B",INDIRECT("Bet"),INDIRECT("Imp"))))</f>
        <v/>
      </c>
      <c r="M14" s="102"/>
      <c r="N14" s="294" t="str">
        <f t="shared" ca="1" si="6"/>
        <v xml:space="preserve"> </v>
      </c>
      <c r="O14" s="293" t="str">
        <f t="shared" ca="1" si="2"/>
        <v/>
      </c>
      <c r="P14">
        <f t="shared" si="3"/>
        <v>0</v>
      </c>
      <c r="Q14">
        <f t="shared" si="4"/>
        <v>0</v>
      </c>
      <c r="V14">
        <f t="shared" si="7"/>
        <v>0</v>
      </c>
      <c r="W14" s="102" t="s">
        <v>117</v>
      </c>
      <c r="X14">
        <v>1.5</v>
      </c>
    </row>
    <row r="15" spans="1:27">
      <c r="A15" s="53"/>
      <c r="B15" s="101"/>
      <c r="C15" s="178"/>
      <c r="D15" s="179"/>
      <c r="E15" s="101"/>
      <c r="F15" s="178">
        <f t="shared" si="0"/>
        <v>0</v>
      </c>
      <c r="G15" s="54"/>
      <c r="H15" s="178">
        <f t="shared" si="1"/>
        <v>0</v>
      </c>
      <c r="I15" s="102"/>
      <c r="J15" t="e">
        <f t="shared" si="5"/>
        <v>#N/A</v>
      </c>
      <c r="K15" s="104"/>
      <c r="L15" s="174" t="str">
        <f t="shared" ca="1" si="8"/>
        <v/>
      </c>
      <c r="M15" s="102"/>
      <c r="N15" s="294" t="str">
        <f t="shared" ca="1" si="6"/>
        <v xml:space="preserve"> </v>
      </c>
      <c r="O15" s="293" t="str">
        <f t="shared" ca="1" si="2"/>
        <v/>
      </c>
      <c r="P15">
        <f t="shared" si="3"/>
        <v>0</v>
      </c>
      <c r="Q15">
        <f t="shared" si="4"/>
        <v>0</v>
      </c>
      <c r="V15">
        <f t="shared" si="7"/>
        <v>0</v>
      </c>
      <c r="W15" s="102" t="s">
        <v>118</v>
      </c>
      <c r="X15">
        <v>2.5</v>
      </c>
    </row>
    <row r="16" spans="1:27">
      <c r="A16" s="53"/>
      <c r="B16" s="101"/>
      <c r="C16" s="178"/>
      <c r="D16" s="179"/>
      <c r="E16" s="101"/>
      <c r="F16" s="178">
        <f t="shared" si="0"/>
        <v>0</v>
      </c>
      <c r="G16" s="54"/>
      <c r="H16" s="178">
        <f t="shared" si="1"/>
        <v>0</v>
      </c>
      <c r="I16" s="102"/>
      <c r="J16" t="e">
        <f t="shared" si="5"/>
        <v>#N/A</v>
      </c>
      <c r="K16" s="104"/>
      <c r="L16" s="174" t="str">
        <f t="shared" ca="1" si="8"/>
        <v/>
      </c>
      <c r="M16" s="102"/>
      <c r="N16" s="294" t="str">
        <f t="shared" ca="1" si="6"/>
        <v xml:space="preserve"> </v>
      </c>
      <c r="O16" s="293" t="str">
        <f t="shared" ca="1" si="2"/>
        <v/>
      </c>
      <c r="P16">
        <f t="shared" si="3"/>
        <v>0</v>
      </c>
      <c r="Q16">
        <f t="shared" si="4"/>
        <v>0</v>
      </c>
      <c r="V16">
        <f t="shared" si="7"/>
        <v>0</v>
      </c>
      <c r="W16" s="102" t="s">
        <v>119</v>
      </c>
      <c r="X16">
        <v>5</v>
      </c>
    </row>
    <row r="17" spans="1:24">
      <c r="A17" s="53"/>
      <c r="B17" s="101"/>
      <c r="C17" s="178"/>
      <c r="D17" s="179"/>
      <c r="E17" s="101"/>
      <c r="F17" s="178">
        <f t="shared" si="0"/>
        <v>0</v>
      </c>
      <c r="G17" s="54"/>
      <c r="H17" s="178">
        <f t="shared" si="1"/>
        <v>0</v>
      </c>
      <c r="I17" s="102"/>
      <c r="J17" t="e">
        <f t="shared" si="5"/>
        <v>#N/A</v>
      </c>
      <c r="K17" s="104"/>
      <c r="L17" s="174" t="str">
        <f t="shared" ca="1" si="8"/>
        <v/>
      </c>
      <c r="M17" s="102"/>
      <c r="N17" s="294" t="str">
        <f t="shared" ca="1" si="6"/>
        <v xml:space="preserve"> </v>
      </c>
      <c r="O17" s="293" t="str">
        <f t="shared" ca="1" si="2"/>
        <v/>
      </c>
      <c r="P17">
        <f t="shared" si="3"/>
        <v>0</v>
      </c>
      <c r="Q17">
        <f t="shared" si="4"/>
        <v>0</v>
      </c>
      <c r="V17">
        <f t="shared" si="7"/>
        <v>0</v>
      </c>
      <c r="W17" s="102">
        <v>4</v>
      </c>
      <c r="X17">
        <v>16</v>
      </c>
    </row>
    <row r="18" spans="1:24">
      <c r="A18" s="53"/>
      <c r="B18" s="101"/>
      <c r="C18" s="178"/>
      <c r="D18" s="179"/>
      <c r="E18" s="101"/>
      <c r="F18" s="178">
        <f t="shared" ref="F18:F42" si="9">IF(E18&gt;20,E18-20,0)</f>
        <v>0</v>
      </c>
      <c r="G18" s="54"/>
      <c r="H18" s="178">
        <f t="shared" ref="H18:H42" si="10">IF(G18&gt;7,G18-7,0)</f>
        <v>0</v>
      </c>
      <c r="I18" s="102"/>
      <c r="J18" t="e">
        <f t="shared" si="5"/>
        <v>#N/A</v>
      </c>
      <c r="K18" s="104"/>
      <c r="L18" s="174" t="str">
        <f t="shared" ca="1" si="8"/>
        <v/>
      </c>
      <c r="M18" s="102"/>
      <c r="N18" s="294" t="str">
        <f t="shared" ca="1" si="6"/>
        <v xml:space="preserve"> </v>
      </c>
      <c r="O18" s="293" t="str">
        <f t="shared" ca="1" si="2"/>
        <v/>
      </c>
      <c r="P18">
        <f t="shared" si="3"/>
        <v>0</v>
      </c>
      <c r="Q18">
        <f t="shared" si="4"/>
        <v>0</v>
      </c>
      <c r="V18">
        <f t="shared" si="7"/>
        <v>0</v>
      </c>
      <c r="W18" s="102"/>
    </row>
    <row r="19" spans="1:24">
      <c r="A19" s="53"/>
      <c r="B19" s="101"/>
      <c r="C19" s="178"/>
      <c r="D19" s="179"/>
      <c r="E19" s="101"/>
      <c r="F19" s="178">
        <f t="shared" si="9"/>
        <v>0</v>
      </c>
      <c r="G19" s="54"/>
      <c r="H19" s="178">
        <f t="shared" si="10"/>
        <v>0</v>
      </c>
      <c r="I19" s="102"/>
      <c r="J19" t="e">
        <f t="shared" si="5"/>
        <v>#N/A</v>
      </c>
      <c r="K19" s="104"/>
      <c r="L19" s="174" t="str">
        <f t="shared" ca="1" si="8"/>
        <v/>
      </c>
      <c r="M19" s="102"/>
      <c r="N19" s="294" t="str">
        <f t="shared" ca="1" si="6"/>
        <v xml:space="preserve"> </v>
      </c>
      <c r="O19" s="293" t="str">
        <f t="shared" ca="1" si="2"/>
        <v/>
      </c>
      <c r="P19">
        <f t="shared" si="3"/>
        <v>0</v>
      </c>
      <c r="Q19">
        <f t="shared" si="4"/>
        <v>0</v>
      </c>
      <c r="V19">
        <f t="shared" si="7"/>
        <v>0</v>
      </c>
    </row>
    <row r="20" spans="1:24">
      <c r="A20" s="53"/>
      <c r="B20" s="101"/>
      <c r="C20" s="178"/>
      <c r="D20" s="179"/>
      <c r="E20" s="101"/>
      <c r="F20" s="178">
        <f t="shared" si="9"/>
        <v>0</v>
      </c>
      <c r="G20" s="54"/>
      <c r="H20" s="178">
        <f t="shared" si="10"/>
        <v>0</v>
      </c>
      <c r="I20" s="102"/>
      <c r="J20" t="e">
        <f t="shared" si="5"/>
        <v>#N/A</v>
      </c>
      <c r="K20" s="104"/>
      <c r="L20" s="174" t="str">
        <f t="shared" ca="1" si="8"/>
        <v/>
      </c>
      <c r="M20" s="102"/>
      <c r="N20" s="294" t="str">
        <f t="shared" ca="1" si="6"/>
        <v xml:space="preserve"> </v>
      </c>
      <c r="O20" s="293" t="str">
        <f t="shared" ca="1" si="2"/>
        <v/>
      </c>
      <c r="P20">
        <f t="shared" si="3"/>
        <v>0</v>
      </c>
      <c r="Q20">
        <f t="shared" si="4"/>
        <v>0</v>
      </c>
      <c r="V20">
        <f t="shared" si="7"/>
        <v>0</v>
      </c>
    </row>
    <row r="21" spans="1:24">
      <c r="A21" s="53"/>
      <c r="B21" s="101"/>
      <c r="C21" s="178"/>
      <c r="D21" s="179"/>
      <c r="E21" s="101"/>
      <c r="F21" s="178">
        <f t="shared" si="9"/>
        <v>0</v>
      </c>
      <c r="G21" s="54"/>
      <c r="H21" s="178">
        <f t="shared" si="10"/>
        <v>0</v>
      </c>
      <c r="I21" s="102"/>
      <c r="J21" t="e">
        <f t="shared" si="5"/>
        <v>#N/A</v>
      </c>
      <c r="K21" s="104"/>
      <c r="L21" s="174" t="str">
        <f t="shared" ca="1" si="8"/>
        <v/>
      </c>
      <c r="M21" s="102"/>
      <c r="N21" s="294" t="str">
        <f t="shared" ca="1" si="6"/>
        <v xml:space="preserve"> </v>
      </c>
      <c r="O21" s="293" t="str">
        <f t="shared" ca="1" si="2"/>
        <v/>
      </c>
      <c r="P21">
        <f t="shared" si="3"/>
        <v>0</v>
      </c>
      <c r="Q21">
        <f t="shared" si="4"/>
        <v>0</v>
      </c>
      <c r="V21">
        <f t="shared" si="7"/>
        <v>0</v>
      </c>
    </row>
    <row r="22" spans="1:24">
      <c r="A22" s="53"/>
      <c r="B22" s="101"/>
      <c r="C22" s="178"/>
      <c r="D22" s="179"/>
      <c r="E22" s="101"/>
      <c r="F22" s="178">
        <f t="shared" si="9"/>
        <v>0</v>
      </c>
      <c r="G22" s="54"/>
      <c r="H22" s="178">
        <f t="shared" si="10"/>
        <v>0</v>
      </c>
      <c r="I22" s="102"/>
      <c r="J22" t="e">
        <f t="shared" si="5"/>
        <v>#N/A</v>
      </c>
      <c r="K22" s="104"/>
      <c r="L22" s="174" t="str">
        <f t="shared" ca="1" si="8"/>
        <v/>
      </c>
      <c r="M22" s="102"/>
      <c r="N22" s="294" t="str">
        <f t="shared" ca="1" si="6"/>
        <v xml:space="preserve"> </v>
      </c>
      <c r="O22" s="293" t="str">
        <f t="shared" ca="1" si="2"/>
        <v/>
      </c>
      <c r="P22">
        <f t="shared" si="3"/>
        <v>0</v>
      </c>
      <c r="Q22">
        <f t="shared" si="4"/>
        <v>0</v>
      </c>
      <c r="V22">
        <f t="shared" si="7"/>
        <v>0</v>
      </c>
    </row>
    <row r="23" spans="1:24">
      <c r="A23" s="53"/>
      <c r="B23" s="101"/>
      <c r="C23" s="178"/>
      <c r="D23" s="179"/>
      <c r="E23" s="101"/>
      <c r="F23" s="178">
        <f t="shared" si="9"/>
        <v>0</v>
      </c>
      <c r="G23" s="54"/>
      <c r="H23" s="178">
        <f t="shared" si="10"/>
        <v>0</v>
      </c>
      <c r="I23" s="102"/>
      <c r="J23" t="e">
        <f t="shared" si="5"/>
        <v>#N/A</v>
      </c>
      <c r="K23" s="104"/>
      <c r="L23" s="174" t="str">
        <f t="shared" ca="1" si="8"/>
        <v/>
      </c>
      <c r="M23" s="102"/>
      <c r="N23" s="294" t="str">
        <f t="shared" ca="1" si="6"/>
        <v xml:space="preserve"> </v>
      </c>
      <c r="O23" s="293" t="str">
        <f t="shared" ca="1" si="2"/>
        <v/>
      </c>
      <c r="P23">
        <f t="shared" si="3"/>
        <v>0</v>
      </c>
      <c r="Q23">
        <f t="shared" si="4"/>
        <v>0</v>
      </c>
      <c r="V23">
        <f t="shared" si="7"/>
        <v>0</v>
      </c>
    </row>
    <row r="24" spans="1:24">
      <c r="A24" s="53"/>
      <c r="B24" s="101"/>
      <c r="C24" s="178"/>
      <c r="D24" s="179"/>
      <c r="E24" s="101"/>
      <c r="F24" s="178">
        <f t="shared" si="9"/>
        <v>0</v>
      </c>
      <c r="G24" s="54"/>
      <c r="H24" s="178">
        <f t="shared" si="10"/>
        <v>0</v>
      </c>
      <c r="I24" s="102"/>
      <c r="J24" t="e">
        <f t="shared" si="5"/>
        <v>#N/A</v>
      </c>
      <c r="K24" s="104"/>
      <c r="L24" s="174" t="str">
        <f t="shared" ca="1" si="8"/>
        <v/>
      </c>
      <c r="M24" s="102"/>
      <c r="N24" s="294" t="str">
        <f t="shared" ca="1" si="6"/>
        <v xml:space="preserve"> </v>
      </c>
      <c r="O24" s="293" t="str">
        <f t="shared" ca="1" si="2"/>
        <v/>
      </c>
      <c r="P24">
        <f t="shared" si="3"/>
        <v>0</v>
      </c>
      <c r="Q24">
        <f t="shared" si="4"/>
        <v>0</v>
      </c>
      <c r="V24">
        <f t="shared" si="7"/>
        <v>0</v>
      </c>
    </row>
    <row r="25" spans="1:24">
      <c r="A25" s="53"/>
      <c r="B25" s="101"/>
      <c r="C25" s="178"/>
      <c r="D25" s="179"/>
      <c r="E25" s="101"/>
      <c r="F25" s="178">
        <f t="shared" si="9"/>
        <v>0</v>
      </c>
      <c r="G25" s="54"/>
      <c r="H25" s="178">
        <f t="shared" si="10"/>
        <v>0</v>
      </c>
      <c r="I25" s="102"/>
      <c r="J25" t="e">
        <f t="shared" si="5"/>
        <v>#N/A</v>
      </c>
      <c r="K25" s="104"/>
      <c r="L25" s="174" t="str">
        <f t="shared" ca="1" si="8"/>
        <v/>
      </c>
      <c r="M25" s="102"/>
      <c r="N25" s="294" t="str">
        <f t="shared" ca="1" si="6"/>
        <v xml:space="preserve"> </v>
      </c>
      <c r="O25" s="293" t="str">
        <f t="shared" ca="1" si="2"/>
        <v/>
      </c>
      <c r="P25">
        <f t="shared" si="3"/>
        <v>0</v>
      </c>
      <c r="Q25">
        <f t="shared" si="4"/>
        <v>0</v>
      </c>
      <c r="V25">
        <f t="shared" si="7"/>
        <v>0</v>
      </c>
    </row>
    <row r="26" spans="1:24">
      <c r="A26" s="53"/>
      <c r="B26" s="101"/>
      <c r="C26" s="178"/>
      <c r="D26" s="179"/>
      <c r="E26" s="101"/>
      <c r="F26" s="178">
        <f t="shared" si="9"/>
        <v>0</v>
      </c>
      <c r="G26" s="54"/>
      <c r="H26" s="178">
        <f t="shared" si="10"/>
        <v>0</v>
      </c>
      <c r="I26" s="102"/>
      <c r="J26" t="e">
        <f t="shared" si="5"/>
        <v>#N/A</v>
      </c>
      <c r="K26" s="104"/>
      <c r="L26" s="174" t="str">
        <f t="shared" ca="1" si="8"/>
        <v/>
      </c>
      <c r="M26" s="102"/>
      <c r="N26" s="294" t="str">
        <f t="shared" ca="1" si="6"/>
        <v xml:space="preserve"> </v>
      </c>
      <c r="O26" s="293" t="str">
        <f t="shared" ca="1" si="2"/>
        <v/>
      </c>
      <c r="P26">
        <f t="shared" si="3"/>
        <v>0</v>
      </c>
      <c r="Q26">
        <f t="shared" si="4"/>
        <v>0</v>
      </c>
      <c r="V26">
        <f t="shared" si="7"/>
        <v>0</v>
      </c>
    </row>
    <row r="27" spans="1:24">
      <c r="A27" s="53"/>
      <c r="B27" s="101"/>
      <c r="C27" s="178"/>
      <c r="D27" s="179"/>
      <c r="E27" s="101"/>
      <c r="F27" s="178">
        <f t="shared" si="9"/>
        <v>0</v>
      </c>
      <c r="G27" s="54"/>
      <c r="H27" s="178">
        <f t="shared" si="10"/>
        <v>0</v>
      </c>
      <c r="I27" s="102"/>
      <c r="J27" t="e">
        <f t="shared" si="5"/>
        <v>#N/A</v>
      </c>
      <c r="K27" s="104"/>
      <c r="L27" s="174" t="str">
        <f t="shared" ca="1" si="8"/>
        <v/>
      </c>
      <c r="M27" s="102"/>
      <c r="N27" s="294" t="str">
        <f t="shared" ca="1" si="6"/>
        <v xml:space="preserve"> </v>
      </c>
      <c r="O27" s="293" t="str">
        <f t="shared" ca="1" si="2"/>
        <v/>
      </c>
      <c r="P27">
        <f t="shared" si="3"/>
        <v>0</v>
      </c>
      <c r="Q27">
        <f t="shared" si="4"/>
        <v>0</v>
      </c>
      <c r="V27">
        <f t="shared" si="7"/>
        <v>0</v>
      </c>
    </row>
    <row r="28" spans="1:24">
      <c r="A28" s="53"/>
      <c r="B28" s="101"/>
      <c r="C28" s="178"/>
      <c r="D28" s="179"/>
      <c r="E28" s="101"/>
      <c r="F28" s="178">
        <f t="shared" si="9"/>
        <v>0</v>
      </c>
      <c r="G28" s="54"/>
      <c r="H28" s="178">
        <f t="shared" si="10"/>
        <v>0</v>
      </c>
      <c r="I28" s="102"/>
      <c r="J28" t="e">
        <f t="shared" si="5"/>
        <v>#N/A</v>
      </c>
      <c r="K28" s="104"/>
      <c r="L28" s="174" t="str">
        <f t="shared" ca="1" si="8"/>
        <v/>
      </c>
      <c r="M28" s="102"/>
      <c r="N28" s="294" t="str">
        <f t="shared" ca="1" si="6"/>
        <v xml:space="preserve"> </v>
      </c>
      <c r="O28" s="293" t="str">
        <f t="shared" ca="1" si="2"/>
        <v/>
      </c>
      <c r="P28">
        <f t="shared" si="3"/>
        <v>0</v>
      </c>
      <c r="Q28">
        <f t="shared" si="4"/>
        <v>0</v>
      </c>
      <c r="V28">
        <f t="shared" si="7"/>
        <v>0</v>
      </c>
    </row>
    <row r="29" spans="1:24">
      <c r="A29" s="53"/>
      <c r="B29" s="101"/>
      <c r="C29" s="178"/>
      <c r="D29" s="179"/>
      <c r="E29" s="101"/>
      <c r="F29" s="178">
        <f t="shared" si="9"/>
        <v>0</v>
      </c>
      <c r="G29" s="54"/>
      <c r="H29" s="178">
        <f t="shared" si="10"/>
        <v>0</v>
      </c>
      <c r="I29" s="102"/>
      <c r="J29" t="e">
        <f t="shared" si="5"/>
        <v>#N/A</v>
      </c>
      <c r="K29" s="104"/>
      <c r="L29" s="174" t="str">
        <f t="shared" ca="1" si="8"/>
        <v/>
      </c>
      <c r="M29" s="102"/>
      <c r="N29" s="294" t="str">
        <f t="shared" ca="1" si="6"/>
        <v xml:space="preserve"> </v>
      </c>
      <c r="O29" s="293" t="str">
        <f t="shared" ca="1" si="2"/>
        <v/>
      </c>
      <c r="P29">
        <f t="shared" ref="P29:P42" si="11">IF(K29="å",N29,0)</f>
        <v>0</v>
      </c>
      <c r="Q29">
        <f t="shared" ref="Q29:Q42" si="12">IF(K29="å",O29,0)</f>
        <v>0</v>
      </c>
      <c r="V29">
        <f t="shared" si="7"/>
        <v>0</v>
      </c>
    </row>
    <row r="30" spans="1:24">
      <c r="A30" s="53"/>
      <c r="B30" s="101"/>
      <c r="C30" s="178"/>
      <c r="D30" s="179"/>
      <c r="E30" s="101"/>
      <c r="F30" s="178">
        <f t="shared" si="9"/>
        <v>0</v>
      </c>
      <c r="G30" s="54"/>
      <c r="H30" s="178">
        <f t="shared" si="10"/>
        <v>0</v>
      </c>
      <c r="I30" s="102"/>
      <c r="J30" t="e">
        <f t="shared" si="5"/>
        <v>#N/A</v>
      </c>
      <c r="K30" s="104"/>
      <c r="L30" s="174" t="str">
        <f t="shared" ca="1" si="8"/>
        <v/>
      </c>
      <c r="M30" s="102"/>
      <c r="N30" s="294" t="str">
        <f t="shared" ca="1" si="6"/>
        <v xml:space="preserve"> </v>
      </c>
      <c r="O30" s="293" t="str">
        <f t="shared" ca="1" si="2"/>
        <v/>
      </c>
      <c r="P30">
        <f t="shared" si="11"/>
        <v>0</v>
      </c>
      <c r="Q30">
        <f t="shared" si="12"/>
        <v>0</v>
      </c>
      <c r="V30">
        <f t="shared" si="7"/>
        <v>0</v>
      </c>
    </row>
    <row r="31" spans="1:24">
      <c r="A31" s="53"/>
      <c r="B31" s="101"/>
      <c r="C31" s="178"/>
      <c r="D31" s="179"/>
      <c r="E31" s="101"/>
      <c r="F31" s="178">
        <f>IF(E31&gt;20,E31-20,0)</f>
        <v>0</v>
      </c>
      <c r="G31" s="54"/>
      <c r="H31" s="178">
        <f>IF(G31&gt;7,G31-7,0)</f>
        <v>0</v>
      </c>
      <c r="I31" s="102"/>
      <c r="J31" t="e">
        <f t="shared" si="5"/>
        <v>#N/A</v>
      </c>
      <c r="K31" s="104"/>
      <c r="L31" s="174" t="str">
        <f t="shared" ca="1" si="8"/>
        <v/>
      </c>
      <c r="M31" s="102"/>
      <c r="N31" s="294" t="str">
        <f t="shared" ca="1" si="6"/>
        <v xml:space="preserve"> </v>
      </c>
      <c r="O31" s="293" t="str">
        <f t="shared" ca="1" si="2"/>
        <v/>
      </c>
      <c r="P31">
        <f t="shared" si="11"/>
        <v>0</v>
      </c>
      <c r="Q31">
        <f t="shared" si="12"/>
        <v>0</v>
      </c>
      <c r="V31">
        <f t="shared" si="7"/>
        <v>0</v>
      </c>
    </row>
    <row r="32" spans="1:24">
      <c r="A32" s="53"/>
      <c r="B32" s="101"/>
      <c r="C32" s="178"/>
      <c r="D32" s="179"/>
      <c r="E32" s="101"/>
      <c r="F32" s="178">
        <f t="shared" si="9"/>
        <v>0</v>
      </c>
      <c r="G32" s="54"/>
      <c r="H32" s="178">
        <f t="shared" si="10"/>
        <v>0</v>
      </c>
      <c r="I32" s="102"/>
      <c r="J32" t="e">
        <f t="shared" si="5"/>
        <v>#N/A</v>
      </c>
      <c r="K32" s="104"/>
      <c r="L32" s="174" t="str">
        <f t="shared" ca="1" si="8"/>
        <v/>
      </c>
      <c r="M32" s="102"/>
      <c r="N32" s="294" t="str">
        <f t="shared" ca="1" si="6"/>
        <v xml:space="preserve"> </v>
      </c>
      <c r="O32" s="293" t="str">
        <f t="shared" ca="1" si="2"/>
        <v/>
      </c>
      <c r="P32">
        <f t="shared" si="11"/>
        <v>0</v>
      </c>
      <c r="Q32">
        <f t="shared" si="12"/>
        <v>0</v>
      </c>
      <c r="V32">
        <f t="shared" si="7"/>
        <v>0</v>
      </c>
    </row>
    <row r="33" spans="1:22">
      <c r="A33" s="53"/>
      <c r="B33" s="101"/>
      <c r="C33" s="178"/>
      <c r="D33" s="179"/>
      <c r="E33" s="101"/>
      <c r="F33" s="178">
        <f t="shared" si="9"/>
        <v>0</v>
      </c>
      <c r="G33" s="54"/>
      <c r="H33" s="178">
        <f t="shared" si="10"/>
        <v>0</v>
      </c>
      <c r="I33" s="102"/>
      <c r="J33" t="e">
        <f t="shared" si="5"/>
        <v>#N/A</v>
      </c>
      <c r="K33" s="104"/>
      <c r="L33" s="174" t="str">
        <f t="shared" ca="1" si="8"/>
        <v/>
      </c>
      <c r="M33" s="102"/>
      <c r="N33" s="294" t="str">
        <f t="shared" ca="1" si="6"/>
        <v xml:space="preserve"> </v>
      </c>
      <c r="O33" s="293" t="str">
        <f t="shared" ca="1" si="2"/>
        <v/>
      </c>
      <c r="P33">
        <f t="shared" si="11"/>
        <v>0</v>
      </c>
      <c r="Q33">
        <f t="shared" si="12"/>
        <v>0</v>
      </c>
      <c r="V33">
        <f t="shared" si="7"/>
        <v>0</v>
      </c>
    </row>
    <row r="34" spans="1:22">
      <c r="A34" s="53"/>
      <c r="B34" s="101"/>
      <c r="C34" s="178"/>
      <c r="D34" s="179"/>
      <c r="E34" s="101"/>
      <c r="F34" s="178">
        <f t="shared" si="9"/>
        <v>0</v>
      </c>
      <c r="G34" s="54"/>
      <c r="H34" s="178">
        <f t="shared" si="10"/>
        <v>0</v>
      </c>
      <c r="I34" s="102"/>
      <c r="J34" t="e">
        <f t="shared" si="5"/>
        <v>#N/A</v>
      </c>
      <c r="K34" s="104"/>
      <c r="L34" s="174" t="str">
        <f t="shared" ca="1" si="8"/>
        <v/>
      </c>
      <c r="M34" s="102"/>
      <c r="N34" s="294" t="str">
        <f ca="1">IF(M34="B",ROUND(((INDEX(INDIRECT($O$7),G34-H34+1,E34-F34+1)+INDIRECT($O$7&amp;"l")*F34+INDIRECT($O$7&amp;"b")*H34)*L34)*$O$6/$O$5,0)," ")</f>
        <v xml:space="preserve"> </v>
      </c>
      <c r="O34" s="293" t="str">
        <f t="shared" ca="1" si="2"/>
        <v/>
      </c>
      <c r="P34">
        <f t="shared" si="11"/>
        <v>0</v>
      </c>
      <c r="Q34">
        <f t="shared" si="12"/>
        <v>0</v>
      </c>
      <c r="V34">
        <f t="shared" si="7"/>
        <v>0</v>
      </c>
    </row>
    <row r="35" spans="1:22">
      <c r="A35" s="53"/>
      <c r="B35" s="101"/>
      <c r="C35" s="178"/>
      <c r="D35" s="179"/>
      <c r="E35" s="101"/>
      <c r="F35" s="178">
        <f>IF(E35&gt;20,E35-20,0)</f>
        <v>0</v>
      </c>
      <c r="G35" s="54"/>
      <c r="H35" s="178">
        <f>IF(G35&gt;7,G35-7,0)</f>
        <v>0</v>
      </c>
      <c r="I35" s="102"/>
      <c r="J35" t="e">
        <f t="shared" si="5"/>
        <v>#N/A</v>
      </c>
      <c r="K35" s="104"/>
      <c r="L35" s="174" t="str">
        <f t="shared" ca="1" si="8"/>
        <v/>
      </c>
      <c r="M35" s="102"/>
      <c r="N35" s="294" t="str">
        <f t="shared" ca="1" si="6"/>
        <v xml:space="preserve"> </v>
      </c>
      <c r="O35" s="293" t="str">
        <f t="shared" ca="1" si="2"/>
        <v/>
      </c>
      <c r="P35">
        <f t="shared" si="11"/>
        <v>0</v>
      </c>
      <c r="Q35">
        <f t="shared" si="12"/>
        <v>0</v>
      </c>
      <c r="V35">
        <f t="shared" si="7"/>
        <v>0</v>
      </c>
    </row>
    <row r="36" spans="1:22">
      <c r="A36" s="53"/>
      <c r="B36" s="101"/>
      <c r="C36" s="178"/>
      <c r="D36" s="179"/>
      <c r="E36" s="101"/>
      <c r="F36" s="178">
        <f t="shared" si="9"/>
        <v>0</v>
      </c>
      <c r="G36" s="54"/>
      <c r="H36" s="178">
        <f t="shared" si="10"/>
        <v>0</v>
      </c>
      <c r="I36" s="102"/>
      <c r="J36" t="e">
        <f t="shared" si="5"/>
        <v>#N/A</v>
      </c>
      <c r="K36" s="104"/>
      <c r="L36" s="174" t="str">
        <f t="shared" ca="1" si="8"/>
        <v/>
      </c>
      <c r="M36" s="102"/>
      <c r="N36" s="294" t="str">
        <f t="shared" ca="1" si="6"/>
        <v xml:space="preserve"> </v>
      </c>
      <c r="O36" s="293" t="str">
        <f t="shared" ca="1" si="2"/>
        <v/>
      </c>
      <c r="P36">
        <f t="shared" si="11"/>
        <v>0</v>
      </c>
      <c r="Q36">
        <f t="shared" si="12"/>
        <v>0</v>
      </c>
      <c r="V36">
        <f t="shared" si="7"/>
        <v>0</v>
      </c>
    </row>
    <row r="37" spans="1:22">
      <c r="A37" s="53"/>
      <c r="B37" s="101"/>
      <c r="C37" s="178"/>
      <c r="D37" s="179"/>
      <c r="E37" s="101"/>
      <c r="F37" s="178">
        <f t="shared" si="9"/>
        <v>0</v>
      </c>
      <c r="G37" s="54"/>
      <c r="H37" s="178">
        <f t="shared" si="10"/>
        <v>0</v>
      </c>
      <c r="I37" s="102"/>
      <c r="J37" t="e">
        <f t="shared" si="5"/>
        <v>#N/A</v>
      </c>
      <c r="K37" s="104"/>
      <c r="L37" s="174" t="str">
        <f t="shared" ca="1" si="8"/>
        <v/>
      </c>
      <c r="M37" s="102"/>
      <c r="N37" s="294" t="str">
        <f t="shared" ca="1" si="6"/>
        <v xml:space="preserve"> </v>
      </c>
      <c r="O37" s="293" t="str">
        <f t="shared" ca="1" si="2"/>
        <v/>
      </c>
      <c r="P37">
        <f t="shared" si="11"/>
        <v>0</v>
      </c>
      <c r="Q37">
        <f t="shared" si="12"/>
        <v>0</v>
      </c>
      <c r="V37">
        <f t="shared" si="7"/>
        <v>0</v>
      </c>
    </row>
    <row r="38" spans="1:22">
      <c r="A38" s="53"/>
      <c r="B38" s="101"/>
      <c r="C38" s="178"/>
      <c r="D38" s="179"/>
      <c r="E38" s="101"/>
      <c r="F38" s="178">
        <f t="shared" si="9"/>
        <v>0</v>
      </c>
      <c r="G38" s="54"/>
      <c r="H38" s="178">
        <f t="shared" si="10"/>
        <v>0</v>
      </c>
      <c r="I38" s="102"/>
      <c r="J38" t="e">
        <f t="shared" si="5"/>
        <v>#N/A</v>
      </c>
      <c r="K38" s="104"/>
      <c r="L38" s="174" t="str">
        <f t="shared" ca="1" si="8"/>
        <v/>
      </c>
      <c r="M38" s="102"/>
      <c r="N38" s="294" t="str">
        <f t="shared" ca="1" si="6"/>
        <v xml:space="preserve"> </v>
      </c>
      <c r="O38" s="293" t="str">
        <f t="shared" ca="1" si="2"/>
        <v/>
      </c>
      <c r="P38">
        <f t="shared" si="11"/>
        <v>0</v>
      </c>
      <c r="Q38">
        <f t="shared" si="12"/>
        <v>0</v>
      </c>
      <c r="V38">
        <f t="shared" si="7"/>
        <v>0</v>
      </c>
    </row>
    <row r="39" spans="1:22">
      <c r="A39" s="53"/>
      <c r="B39" s="101"/>
      <c r="C39" s="178"/>
      <c r="D39" s="179"/>
      <c r="E39" s="101"/>
      <c r="F39" s="178">
        <f t="shared" si="9"/>
        <v>0</v>
      </c>
      <c r="G39" s="54"/>
      <c r="H39" s="178">
        <f t="shared" si="10"/>
        <v>0</v>
      </c>
      <c r="I39" s="102"/>
      <c r="J39" t="e">
        <f t="shared" si="5"/>
        <v>#N/A</v>
      </c>
      <c r="K39" s="104"/>
      <c r="L39" s="174" t="str">
        <f t="shared" ca="1" si="8"/>
        <v/>
      </c>
      <c r="M39" s="102"/>
      <c r="N39" s="294" t="str">
        <f t="shared" ca="1" si="6"/>
        <v xml:space="preserve"> </v>
      </c>
      <c r="O39" s="293" t="str">
        <f t="shared" ca="1" si="2"/>
        <v/>
      </c>
      <c r="P39">
        <f t="shared" si="11"/>
        <v>0</v>
      </c>
      <c r="Q39">
        <f t="shared" si="12"/>
        <v>0</v>
      </c>
      <c r="V39">
        <f t="shared" si="7"/>
        <v>0</v>
      </c>
    </row>
    <row r="40" spans="1:22">
      <c r="A40" s="53"/>
      <c r="B40" s="101"/>
      <c r="C40" s="178"/>
      <c r="D40" s="179"/>
      <c r="E40" s="101"/>
      <c r="F40" s="178">
        <f t="shared" si="9"/>
        <v>0</v>
      </c>
      <c r="G40" s="54"/>
      <c r="H40" s="178">
        <f t="shared" si="10"/>
        <v>0</v>
      </c>
      <c r="I40" s="102"/>
      <c r="J40" t="e">
        <f t="shared" si="5"/>
        <v>#N/A</v>
      </c>
      <c r="K40" s="104"/>
      <c r="L40" s="174" t="str">
        <f t="shared" ca="1" si="8"/>
        <v/>
      </c>
      <c r="M40" s="102"/>
      <c r="N40" s="294" t="str">
        <f t="shared" ca="1" si="6"/>
        <v xml:space="preserve"> </v>
      </c>
      <c r="O40" s="293" t="str">
        <f t="shared" ca="1" si="2"/>
        <v/>
      </c>
      <c r="P40">
        <f t="shared" si="11"/>
        <v>0</v>
      </c>
      <c r="Q40">
        <f t="shared" si="12"/>
        <v>0</v>
      </c>
      <c r="V40">
        <f t="shared" si="7"/>
        <v>0</v>
      </c>
    </row>
    <row r="41" spans="1:22">
      <c r="A41" s="53"/>
      <c r="B41" s="101"/>
      <c r="C41" s="178"/>
      <c r="D41" s="179"/>
      <c r="E41" s="101"/>
      <c r="F41" s="178">
        <f t="shared" si="9"/>
        <v>0</v>
      </c>
      <c r="G41" s="54"/>
      <c r="H41" s="178">
        <f t="shared" si="10"/>
        <v>0</v>
      </c>
      <c r="I41" s="102"/>
      <c r="J41" t="e">
        <f t="shared" si="5"/>
        <v>#N/A</v>
      </c>
      <c r="K41" s="104"/>
      <c r="L41" s="174" t="str">
        <f t="shared" ca="1" si="8"/>
        <v/>
      </c>
      <c r="M41" s="102"/>
      <c r="N41" s="294" t="str">
        <f t="shared" ca="1" si="6"/>
        <v xml:space="preserve"> </v>
      </c>
      <c r="O41" s="293" t="str">
        <f t="shared" ca="1" si="2"/>
        <v/>
      </c>
      <c r="P41">
        <f t="shared" si="11"/>
        <v>0</v>
      </c>
      <c r="Q41">
        <f t="shared" si="12"/>
        <v>0</v>
      </c>
      <c r="V41">
        <f t="shared" si="7"/>
        <v>0</v>
      </c>
    </row>
    <row r="42" spans="1:22">
      <c r="A42" s="53"/>
      <c r="B42" s="101"/>
      <c r="C42" s="178"/>
      <c r="D42" s="179"/>
      <c r="E42" s="101"/>
      <c r="F42" s="178">
        <f t="shared" si="9"/>
        <v>0</v>
      </c>
      <c r="G42" s="54"/>
      <c r="H42" s="178">
        <f t="shared" si="10"/>
        <v>0</v>
      </c>
      <c r="I42" s="102"/>
      <c r="J42" t="e">
        <f t="shared" si="5"/>
        <v>#N/A</v>
      </c>
      <c r="K42" s="104"/>
      <c r="L42" s="174" t="str">
        <f t="shared" ca="1" si="8"/>
        <v/>
      </c>
      <c r="M42" s="102"/>
      <c r="N42" s="294" t="str">
        <f t="shared" ca="1" si="6"/>
        <v xml:space="preserve"> </v>
      </c>
      <c r="O42" s="293" t="str">
        <f t="shared" ca="1" si="2"/>
        <v/>
      </c>
      <c r="P42">
        <f t="shared" si="11"/>
        <v>0</v>
      </c>
      <c r="Q42">
        <f t="shared" si="12"/>
        <v>0</v>
      </c>
      <c r="V42">
        <f t="shared" si="7"/>
        <v>0</v>
      </c>
    </row>
    <row r="43" spans="1:22" ht="12.75" customHeight="1">
      <c r="A43" s="2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24"/>
      <c r="M43" s="46"/>
      <c r="N43" s="103"/>
      <c r="O43" s="103"/>
      <c r="P43" s="103"/>
      <c r="Q43" s="103"/>
    </row>
    <row r="44" spans="1:22" ht="12.75" customHeight="1" thickBot="1">
      <c r="A44" s="47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9"/>
      <c r="M44" s="50" t="s">
        <v>195</v>
      </c>
      <c r="N44" s="175">
        <f ca="1">SUM(N12:N43)</f>
        <v>0</v>
      </c>
      <c r="O44" s="175">
        <f ca="1">SUM(O12:O43)</f>
        <v>0</v>
      </c>
      <c r="P44" s="282">
        <f>SUM(P12:P43)</f>
        <v>0</v>
      </c>
      <c r="Q44" s="175">
        <f>SUM(Q12:Q43)</f>
        <v>0</v>
      </c>
    </row>
    <row r="45" spans="1:22" ht="13.5" thickTop="1">
      <c r="A45" s="8"/>
      <c r="B45" s="1"/>
      <c r="C45" s="1"/>
      <c r="D45" s="1"/>
      <c r="E45" s="1"/>
      <c r="F45" s="1"/>
      <c r="G45" s="1"/>
      <c r="H45" s="1"/>
      <c r="I45" s="1"/>
      <c r="J45" s="1"/>
      <c r="K45" s="1"/>
      <c r="L45" s="2"/>
      <c r="M45" s="23" t="s">
        <v>41</v>
      </c>
      <c r="N45" s="295">
        <f>P44</f>
        <v>0</v>
      </c>
      <c r="O45" s="176">
        <f>Q44</f>
        <v>0</v>
      </c>
    </row>
    <row r="46" spans="1:22">
      <c r="A46" s="9"/>
      <c r="B46" s="7"/>
      <c r="C46" s="7"/>
      <c r="D46" s="7"/>
      <c r="E46" s="7"/>
      <c r="F46" s="7"/>
      <c r="G46" s="7"/>
      <c r="H46" s="7"/>
      <c r="I46" s="7"/>
      <c r="J46" s="7"/>
      <c r="K46" s="7"/>
      <c r="L46" s="5"/>
      <c r="M46" s="5"/>
      <c r="N46" s="4"/>
      <c r="O46" s="10"/>
    </row>
    <row r="47" spans="1:22" ht="13.5" thickBot="1">
      <c r="A47" s="276"/>
      <c r="B47" s="48"/>
      <c r="C47" s="48"/>
      <c r="D47" s="47" t="s">
        <v>42</v>
      </c>
      <c r="E47" s="280"/>
      <c r="F47" s="48"/>
      <c r="G47" s="48"/>
      <c r="H47" s="48"/>
      <c r="I47" s="48"/>
      <c r="J47" s="48"/>
      <c r="K47" s="48"/>
      <c r="L47" s="49"/>
      <c r="M47" s="49"/>
      <c r="N47" s="49"/>
      <c r="O47" s="120"/>
    </row>
    <row r="48" spans="1:22" ht="13.5" thickTop="1">
      <c r="A48" s="417" t="s">
        <v>216</v>
      </c>
      <c r="B48" s="418"/>
      <c r="C48" s="419"/>
      <c r="D48" s="36"/>
      <c r="E48" s="36"/>
      <c r="F48" s="36"/>
      <c r="G48" s="36"/>
      <c r="H48" s="36"/>
      <c r="I48" s="36"/>
      <c r="J48" s="36"/>
      <c r="K48" s="36"/>
      <c r="L48" s="26"/>
      <c r="M48" s="23" t="s">
        <v>43</v>
      </c>
      <c r="N48" s="13"/>
      <c r="O48" s="176">
        <f>IF(O45-N45&lt;=0,0,O45-N45)</f>
        <v>0</v>
      </c>
    </row>
    <row r="49" spans="1:15">
      <c r="A49" s="420"/>
      <c r="B49" s="421"/>
      <c r="C49" s="422"/>
      <c r="D49" s="36"/>
      <c r="E49" s="36"/>
      <c r="F49" s="36"/>
      <c r="G49" s="36"/>
      <c r="H49" s="36"/>
      <c r="I49" s="36"/>
      <c r="J49" s="36"/>
      <c r="K49" s="36"/>
      <c r="L49" s="26"/>
      <c r="M49" s="23" t="s">
        <v>44</v>
      </c>
      <c r="N49" s="30"/>
      <c r="O49" s="176">
        <f>O48/15.2</f>
        <v>0</v>
      </c>
    </row>
    <row r="50" spans="1:15">
      <c r="A50" s="420"/>
      <c r="B50" s="421"/>
      <c r="C50" s="422"/>
      <c r="D50" s="22"/>
      <c r="E50" s="35"/>
      <c r="F50" s="35"/>
      <c r="G50" s="35"/>
      <c r="H50" s="35"/>
      <c r="I50" s="35"/>
      <c r="J50" s="35"/>
      <c r="K50" s="35"/>
      <c r="L50" s="22"/>
      <c r="M50" s="277" t="s">
        <v>45</v>
      </c>
      <c r="N50" s="17"/>
      <c r="O50" s="292"/>
    </row>
    <row r="51" spans="1:15">
      <c r="A51" s="420"/>
      <c r="B51" s="421"/>
      <c r="C51" s="422"/>
      <c r="D51" s="22"/>
      <c r="E51" s="35"/>
      <c r="F51" s="35"/>
      <c r="G51" s="35"/>
      <c r="H51" s="35"/>
      <c r="I51" s="35"/>
      <c r="J51" s="35"/>
      <c r="K51" s="35"/>
      <c r="L51" s="22"/>
      <c r="M51" s="23" t="s">
        <v>46</v>
      </c>
      <c r="N51" s="177"/>
      <c r="O51" s="281">
        <f>PV(Fakta!C39/100,O50,-1)</f>
        <v>0</v>
      </c>
    </row>
    <row r="52" spans="1:15">
      <c r="A52" s="423"/>
      <c r="B52" s="424"/>
      <c r="C52" s="425"/>
      <c r="D52" s="278"/>
      <c r="E52" s="278"/>
      <c r="F52" s="6"/>
      <c r="G52" s="6"/>
      <c r="H52" s="6"/>
      <c r="I52" s="6"/>
      <c r="J52" s="6"/>
      <c r="K52" s="6"/>
      <c r="N52" s="13"/>
      <c r="O52" s="14"/>
    </row>
    <row r="53" spans="1:15">
      <c r="A53" s="423"/>
      <c r="B53" s="424"/>
      <c r="C53" s="425"/>
      <c r="D53" s="278"/>
      <c r="E53" s="278"/>
      <c r="F53" s="6"/>
      <c r="G53" s="6"/>
      <c r="H53" s="6"/>
      <c r="I53" s="6"/>
      <c r="J53" s="6"/>
      <c r="K53" s="6"/>
      <c r="M53" s="23" t="s">
        <v>47</v>
      </c>
      <c r="N53" s="13"/>
      <c r="O53" s="176">
        <f>O51*O49</f>
        <v>0</v>
      </c>
    </row>
    <row r="54" spans="1:15">
      <c r="A54" s="426"/>
      <c r="B54" s="427"/>
      <c r="C54" s="428"/>
      <c r="D54" s="279"/>
      <c r="E54" s="279"/>
      <c r="F54" s="121"/>
      <c r="G54" s="121"/>
      <c r="H54" s="121"/>
      <c r="I54" s="121"/>
      <c r="J54" s="121"/>
      <c r="K54" s="121"/>
      <c r="L54" s="84"/>
      <c r="M54" s="84"/>
      <c r="N54" s="84"/>
      <c r="O54" s="122"/>
    </row>
    <row r="55" spans="1:15">
      <c r="A55" s="408"/>
      <c r="B55" s="409"/>
      <c r="C55" s="409"/>
      <c r="D55" s="409"/>
      <c r="E55" s="409"/>
      <c r="F55" s="409"/>
      <c r="G55" s="409"/>
      <c r="H55" s="409"/>
      <c r="I55" s="409"/>
      <c r="J55" s="409"/>
      <c r="K55" s="409"/>
      <c r="L55" s="409"/>
      <c r="M55" s="409"/>
      <c r="N55" s="409"/>
      <c r="O55" s="410"/>
    </row>
    <row r="56" spans="1:15">
      <c r="A56" s="411"/>
      <c r="B56" s="412"/>
      <c r="C56" s="412"/>
      <c r="D56" s="412"/>
      <c r="E56" s="412"/>
      <c r="F56" s="412"/>
      <c r="G56" s="412"/>
      <c r="H56" s="412"/>
      <c r="I56" s="412"/>
      <c r="J56" s="412"/>
      <c r="K56" s="412"/>
      <c r="L56" s="412"/>
      <c r="M56" s="412"/>
      <c r="N56" s="412"/>
      <c r="O56" s="413"/>
    </row>
    <row r="57" spans="1:15">
      <c r="A57" s="414"/>
      <c r="B57" s="415"/>
      <c r="C57" s="415"/>
      <c r="D57" s="415"/>
      <c r="E57" s="415"/>
      <c r="F57" s="415"/>
      <c r="G57" s="415"/>
      <c r="H57" s="415"/>
      <c r="I57" s="415"/>
      <c r="J57" s="415"/>
      <c r="K57" s="415"/>
      <c r="L57" s="415"/>
      <c r="M57" s="415"/>
      <c r="N57" s="415"/>
      <c r="O57" s="416"/>
    </row>
    <row r="58" spans="1:1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 spans="1:1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 spans="1:1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  <row r="61" spans="1:1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 spans="1:1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</row>
    <row r="63" spans="1:1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</row>
    <row r="64" spans="1:1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</row>
    <row r="65" spans="1:1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 spans="1:1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 spans="1:1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</row>
    <row r="68" spans="1:1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</row>
    <row r="69" spans="1:1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 spans="1:1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</row>
    <row r="71" spans="1:1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spans="1:1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</row>
    <row r="73" spans="1:1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</row>
    <row r="74" spans="1:1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 spans="1:1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</row>
    <row r="76" spans="1:1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</row>
    <row r="77" spans="1:1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</row>
    <row r="78" spans="1:1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 spans="1:1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</row>
    <row r="80" spans="1:1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 spans="1:1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</row>
    <row r="82" spans="1:1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</row>
    <row r="83" spans="1:1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spans="1:1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 spans="1:1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 spans="1:1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spans="1:1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spans="1:1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spans="1:1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spans="1:1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spans="1:1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spans="1:1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 spans="1:1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 spans="1:1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 spans="1:1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 spans="1:1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 spans="1:1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 spans="1:1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 spans="1:1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spans="1:1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</row>
  </sheetData>
  <sheetProtection password="836F" sheet="1" objects="1" scenarios="1"/>
  <mergeCells count="4">
    <mergeCell ref="A55:O57"/>
    <mergeCell ref="A48:C54"/>
    <mergeCell ref="E8:G8"/>
    <mergeCell ref="L4:O4"/>
  </mergeCells>
  <phoneticPr fontId="30" type="noConversion"/>
  <printOptions gridLinesSet="0"/>
  <pageMargins left="0.78740157480314965" right="0.39370078740157483" top="0.47244094488188981" bottom="0.6692913385826772" header="0.39370078740157483" footer="0.43307086614173229"/>
  <pageSetup paperSize="9" orientation="portrait" horizontalDpi="4294967292" verticalDpi="300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 codeName="Blad21"/>
  <dimension ref="A1:N37"/>
  <sheetViews>
    <sheetView workbookViewId="0">
      <selection activeCell="H12" sqref="H12"/>
    </sheetView>
  </sheetViews>
  <sheetFormatPr defaultRowHeight="12.75"/>
  <cols>
    <col min="1" max="1" width="10.85546875" customWidth="1"/>
    <col min="2" max="2" width="5.42578125" customWidth="1"/>
    <col min="3" max="13" width="6.28515625" customWidth="1"/>
    <col min="14" max="14" width="0.28515625" customWidth="1"/>
  </cols>
  <sheetData>
    <row r="1" spans="1:14" ht="24" customHeight="1">
      <c r="A1" s="228" t="s">
        <v>140</v>
      </c>
    </row>
    <row r="2" spans="1:14" ht="24" customHeight="1">
      <c r="A2" s="78" t="s">
        <v>141</v>
      </c>
      <c r="H2" s="229">
        <f>Fakta!$C$22</f>
        <v>34</v>
      </c>
    </row>
    <row r="3" spans="1:14" ht="24" customHeight="1">
      <c r="A3" s="78" t="s">
        <v>162</v>
      </c>
    </row>
    <row r="5" spans="1:14">
      <c r="A5" s="230" t="s">
        <v>143</v>
      </c>
      <c r="B5" s="231" t="s">
        <v>144</v>
      </c>
      <c r="C5" s="232" t="s">
        <v>145</v>
      </c>
      <c r="D5" s="232"/>
      <c r="E5" s="232"/>
      <c r="F5" s="232"/>
      <c r="G5" s="232"/>
      <c r="H5" s="232"/>
      <c r="I5" s="232"/>
      <c r="J5" s="232"/>
      <c r="K5" s="232"/>
      <c r="L5" s="232"/>
      <c r="M5" s="232"/>
      <c r="N5" s="123"/>
    </row>
    <row r="6" spans="1:14">
      <c r="A6" s="85" t="s">
        <v>146</v>
      </c>
      <c r="B6" s="233" t="s">
        <v>147</v>
      </c>
      <c r="C6" s="234">
        <v>10</v>
      </c>
      <c r="D6" s="234">
        <v>9.1</v>
      </c>
      <c r="E6" s="234">
        <v>8.1999999999999993</v>
      </c>
      <c r="F6" s="234">
        <v>7.3</v>
      </c>
      <c r="G6" s="234">
        <v>6.4</v>
      </c>
      <c r="H6" s="234">
        <v>5.5</v>
      </c>
      <c r="I6" s="234">
        <v>4.5999999999999996</v>
      </c>
      <c r="J6" s="234">
        <v>3.7</v>
      </c>
      <c r="K6" s="234">
        <v>2.8</v>
      </c>
      <c r="L6" s="234">
        <v>1.9</v>
      </c>
      <c r="M6" s="234">
        <v>0.1</v>
      </c>
      <c r="N6" s="123"/>
    </row>
    <row r="7" spans="1:14">
      <c r="A7" s="123"/>
      <c r="B7" s="235">
        <v>1</v>
      </c>
      <c r="C7" s="236">
        <f>$H$2*1110</f>
        <v>37740</v>
      </c>
      <c r="D7" s="236">
        <f>$H$2*1092</f>
        <v>37128</v>
      </c>
      <c r="E7" s="236">
        <f>$H$2*1073</f>
        <v>36482</v>
      </c>
      <c r="F7" s="236">
        <f>$H$2*1055</f>
        <v>35870</v>
      </c>
      <c r="G7" s="236">
        <f>$H$2*1036</f>
        <v>35224</v>
      </c>
      <c r="H7" s="236">
        <f>$H$2*1018</f>
        <v>34612</v>
      </c>
      <c r="I7" s="236">
        <f>$H$2*999</f>
        <v>33966</v>
      </c>
      <c r="J7" s="236">
        <f>$H$2*981</f>
        <v>33354</v>
      </c>
      <c r="K7" s="236">
        <f>$H$2*962</f>
        <v>32708</v>
      </c>
      <c r="L7" s="236">
        <f>$H$2*944</f>
        <v>32096</v>
      </c>
      <c r="M7" s="237">
        <f>$H$2*925</f>
        <v>31450</v>
      </c>
      <c r="N7" s="123"/>
    </row>
    <row r="8" spans="1:14">
      <c r="A8" s="123"/>
      <c r="B8" s="238">
        <v>0.9</v>
      </c>
      <c r="C8" s="236">
        <f>$H$2*1073</f>
        <v>36482</v>
      </c>
      <c r="D8" s="236">
        <f>$H$2*1055</f>
        <v>35870</v>
      </c>
      <c r="E8" s="236">
        <f>$H$2*1036</f>
        <v>35224</v>
      </c>
      <c r="F8" s="236">
        <f>$H$2*1018</f>
        <v>34612</v>
      </c>
      <c r="G8" s="236">
        <f>$H$2*999</f>
        <v>33966</v>
      </c>
      <c r="H8" s="236">
        <f>$H$2*981</f>
        <v>33354</v>
      </c>
      <c r="I8" s="236">
        <f>$H$2*962</f>
        <v>32708</v>
      </c>
      <c r="J8" s="236">
        <f>$H$2*944</f>
        <v>32096</v>
      </c>
      <c r="K8" s="237">
        <f>$H$2*925</f>
        <v>31450</v>
      </c>
      <c r="L8" s="236">
        <f>$H$2*907</f>
        <v>30838</v>
      </c>
      <c r="M8" s="237">
        <f>$H$2*888</f>
        <v>30192</v>
      </c>
      <c r="N8" s="123"/>
    </row>
    <row r="9" spans="1:14">
      <c r="A9" s="123" t="s">
        <v>148</v>
      </c>
      <c r="B9" s="238">
        <v>0.8</v>
      </c>
      <c r="C9" s="236">
        <f>$H$2*1036</f>
        <v>35224</v>
      </c>
      <c r="D9" s="236">
        <f>$H$2*1018</f>
        <v>34612</v>
      </c>
      <c r="E9" s="236">
        <f>$H$2*999</f>
        <v>33966</v>
      </c>
      <c r="F9" s="236">
        <f>$H$2*981</f>
        <v>33354</v>
      </c>
      <c r="G9" s="236">
        <f>$H$2*962</f>
        <v>32708</v>
      </c>
      <c r="H9" s="236">
        <f>$H$2*944</f>
        <v>32096</v>
      </c>
      <c r="I9" s="237">
        <f>$H$2*925</f>
        <v>31450</v>
      </c>
      <c r="J9" s="236">
        <f>$H$2*907</f>
        <v>30838</v>
      </c>
      <c r="K9" s="237">
        <f>$H$2*888</f>
        <v>30192</v>
      </c>
      <c r="L9" s="236">
        <f>$H$2*870</f>
        <v>29580</v>
      </c>
      <c r="M9" s="237">
        <f>$H$2*851</f>
        <v>28934</v>
      </c>
      <c r="N9" s="123"/>
    </row>
    <row r="10" spans="1:14">
      <c r="A10" s="123" t="s">
        <v>149</v>
      </c>
      <c r="B10" s="238">
        <v>0.7</v>
      </c>
      <c r="C10" s="236">
        <f>$H$2*999</f>
        <v>33966</v>
      </c>
      <c r="D10" s="236">
        <f>$H$2*981</f>
        <v>33354</v>
      </c>
      <c r="E10" s="236">
        <f>$H$2*962</f>
        <v>32708</v>
      </c>
      <c r="F10" s="236">
        <f>$H$2*944</f>
        <v>32096</v>
      </c>
      <c r="G10" s="237">
        <f>$H$2*925</f>
        <v>31450</v>
      </c>
      <c r="H10" s="236">
        <f>$H$2*907</f>
        <v>30838</v>
      </c>
      <c r="I10" s="237">
        <f>$H$2*888</f>
        <v>30192</v>
      </c>
      <c r="J10" s="236">
        <f>$H$2*870</f>
        <v>29580</v>
      </c>
      <c r="K10" s="237">
        <f>$H$2*851</f>
        <v>28934</v>
      </c>
      <c r="L10" s="236">
        <f>$H$2*833</f>
        <v>28322</v>
      </c>
      <c r="M10" s="237">
        <f>$H$2*814</f>
        <v>27676</v>
      </c>
      <c r="N10" s="123"/>
    </row>
    <row r="11" spans="1:14">
      <c r="A11" s="123"/>
      <c r="B11" s="238">
        <v>0.6</v>
      </c>
      <c r="C11" s="236">
        <f>$H$2*962</f>
        <v>32708</v>
      </c>
      <c r="D11" s="236">
        <f>$H$2*944</f>
        <v>32096</v>
      </c>
      <c r="E11" s="237">
        <f>$H$2*925</f>
        <v>31450</v>
      </c>
      <c r="F11" s="236">
        <f>$H$2*907</f>
        <v>30838</v>
      </c>
      <c r="G11" s="237">
        <f>$H$2*888</f>
        <v>30192</v>
      </c>
      <c r="H11" s="236">
        <f>$H$2*870</f>
        <v>29580</v>
      </c>
      <c r="I11" s="237">
        <f>$H$2*851</f>
        <v>28934</v>
      </c>
      <c r="J11" s="236">
        <f>$H$2*833</f>
        <v>28322</v>
      </c>
      <c r="K11" s="237">
        <f>$H$2*814</f>
        <v>27676</v>
      </c>
      <c r="L11" s="236">
        <f>$H$2*796</f>
        <v>27064</v>
      </c>
      <c r="M11" s="237">
        <f>$H$2*777</f>
        <v>26418</v>
      </c>
      <c r="N11" s="123"/>
    </row>
    <row r="12" spans="1:14">
      <c r="A12" s="123"/>
      <c r="B12" s="238">
        <v>0.5</v>
      </c>
      <c r="C12" s="237">
        <f>$H$2*925</f>
        <v>31450</v>
      </c>
      <c r="D12" s="236">
        <f>$H$2*907</f>
        <v>30838</v>
      </c>
      <c r="E12" s="237">
        <f>$H$2*888</f>
        <v>30192</v>
      </c>
      <c r="F12" s="236">
        <f>$H$2*870</f>
        <v>29580</v>
      </c>
      <c r="G12" s="237">
        <f>$H$2*851</f>
        <v>28934</v>
      </c>
      <c r="H12" s="236">
        <f>$H$2*833</f>
        <v>28322</v>
      </c>
      <c r="I12" s="237">
        <f>$H$2*814</f>
        <v>27676</v>
      </c>
      <c r="J12" s="236">
        <f>$H$2*796</f>
        <v>27064</v>
      </c>
      <c r="K12" s="237">
        <f>$H$2*777</f>
        <v>26418</v>
      </c>
      <c r="L12" s="236">
        <f>$H$2*759</f>
        <v>25806</v>
      </c>
      <c r="M12" s="237">
        <f>$H$2*740</f>
        <v>25160</v>
      </c>
      <c r="N12" s="123"/>
    </row>
    <row r="13" spans="1:14" ht="3" customHeight="1">
      <c r="A13" s="239"/>
      <c r="B13" s="240"/>
      <c r="C13" s="241"/>
      <c r="D13" s="241"/>
      <c r="E13" s="241"/>
      <c r="F13" s="241"/>
      <c r="G13" s="241"/>
      <c r="H13" s="241"/>
      <c r="I13" s="241"/>
      <c r="J13" s="241"/>
      <c r="K13" s="241"/>
      <c r="L13" s="241"/>
      <c r="M13" s="242"/>
      <c r="N13" s="123"/>
    </row>
    <row r="14" spans="1:14">
      <c r="A14" s="123"/>
      <c r="B14" s="235">
        <v>1</v>
      </c>
      <c r="C14" s="236">
        <f>$H$2*1320</f>
        <v>44880</v>
      </c>
      <c r="D14" s="236">
        <f>$H$2*1296</f>
        <v>44064</v>
      </c>
      <c r="E14" s="236">
        <f>$H$2*1271</f>
        <v>43214</v>
      </c>
      <c r="F14" s="236">
        <f>$H$2*1247</f>
        <v>42398</v>
      </c>
      <c r="G14" s="236">
        <f>$H$2*1222</f>
        <v>41548</v>
      </c>
      <c r="H14" s="236">
        <f>$H$2*1198</f>
        <v>40732</v>
      </c>
      <c r="I14" s="236">
        <f>$H$2*1173</f>
        <v>39882</v>
      </c>
      <c r="J14" s="236">
        <f>$H$2*1149</f>
        <v>39066</v>
      </c>
      <c r="K14" s="236">
        <f>$H$2*1124</f>
        <v>38216</v>
      </c>
      <c r="L14" s="236">
        <f>$H$2*1100</f>
        <v>37400</v>
      </c>
      <c r="M14" s="237">
        <f>$H$2*1075</f>
        <v>36550</v>
      </c>
      <c r="N14" s="123"/>
    </row>
    <row r="15" spans="1:14">
      <c r="A15" s="123"/>
      <c r="B15" s="238">
        <v>0.9</v>
      </c>
      <c r="C15" s="236">
        <f>$H$2*1271</f>
        <v>43214</v>
      </c>
      <c r="D15" s="236">
        <f>$H$2*1247</f>
        <v>42398</v>
      </c>
      <c r="E15" s="236">
        <f>$H$2*1222</f>
        <v>41548</v>
      </c>
      <c r="F15" s="236">
        <f>$H$2*1198</f>
        <v>40732</v>
      </c>
      <c r="G15" s="236">
        <f>$H$2*1173</f>
        <v>39882</v>
      </c>
      <c r="H15" s="236">
        <f>$H$2*1149</f>
        <v>39066</v>
      </c>
      <c r="I15" s="236">
        <f>$H$2*1124</f>
        <v>38216</v>
      </c>
      <c r="J15" s="236">
        <f>$H$2*1100</f>
        <v>37400</v>
      </c>
      <c r="K15" s="237">
        <f>$H$2*1075</f>
        <v>36550</v>
      </c>
      <c r="L15" s="237">
        <f>$H$2*1051</f>
        <v>35734</v>
      </c>
      <c r="M15" s="237">
        <f>$H$2*1026</f>
        <v>34884</v>
      </c>
      <c r="N15" s="123"/>
    </row>
    <row r="16" spans="1:14">
      <c r="A16" s="123" t="s">
        <v>150</v>
      </c>
      <c r="B16" s="238">
        <v>0.8</v>
      </c>
      <c r="C16" s="236">
        <f>$H$2*1222</f>
        <v>41548</v>
      </c>
      <c r="D16" s="236">
        <f>$H$2*1198</f>
        <v>40732</v>
      </c>
      <c r="E16" s="236">
        <f>$H$2*1173</f>
        <v>39882</v>
      </c>
      <c r="F16" s="236">
        <f>$H$2*1149</f>
        <v>39066</v>
      </c>
      <c r="G16" s="236">
        <f>$H$2*1124</f>
        <v>38216</v>
      </c>
      <c r="H16" s="236">
        <f>$H$2*1100</f>
        <v>37400</v>
      </c>
      <c r="I16" s="237">
        <f>$H$2*1075</f>
        <v>36550</v>
      </c>
      <c r="J16" s="237">
        <f>$H$2*1051</f>
        <v>35734</v>
      </c>
      <c r="K16" s="237">
        <f>$H$2*1026</f>
        <v>34884</v>
      </c>
      <c r="L16" s="237">
        <f>$H$2*1002</f>
        <v>34068</v>
      </c>
      <c r="M16" s="237">
        <f>$H$2*977</f>
        <v>33218</v>
      </c>
      <c r="N16" s="123"/>
    </row>
    <row r="17" spans="1:14">
      <c r="A17" s="123" t="s">
        <v>149</v>
      </c>
      <c r="B17" s="238">
        <v>0.7</v>
      </c>
      <c r="C17" s="236">
        <f>$H$2*1173</f>
        <v>39882</v>
      </c>
      <c r="D17" s="236">
        <f>$H$2*1149</f>
        <v>39066</v>
      </c>
      <c r="E17" s="236">
        <f>$H$2*1124</f>
        <v>38216</v>
      </c>
      <c r="F17" s="236">
        <f>$H$2*1100</f>
        <v>37400</v>
      </c>
      <c r="G17" s="237">
        <f>$H$2*1075</f>
        <v>36550</v>
      </c>
      <c r="H17" s="237">
        <f>$H$2*1051</f>
        <v>35734</v>
      </c>
      <c r="I17" s="237">
        <f>$H$2*1026</f>
        <v>34884</v>
      </c>
      <c r="J17" s="237">
        <f>$H$2*1002</f>
        <v>34068</v>
      </c>
      <c r="K17" s="237">
        <f>$H$2*977</f>
        <v>33218</v>
      </c>
      <c r="L17" s="237">
        <f>$H$2*953</f>
        <v>32402</v>
      </c>
      <c r="M17" s="237">
        <f>$H$2*928</f>
        <v>31552</v>
      </c>
      <c r="N17" s="123"/>
    </row>
    <row r="18" spans="1:14">
      <c r="A18" s="123"/>
      <c r="B18" s="238">
        <v>0.6</v>
      </c>
      <c r="C18" s="236">
        <f>$H$2*1124</f>
        <v>38216</v>
      </c>
      <c r="D18" s="236">
        <f>$H$2*1100</f>
        <v>37400</v>
      </c>
      <c r="E18" s="237">
        <f>$H$2*1075</f>
        <v>36550</v>
      </c>
      <c r="F18" s="237">
        <f>$H$2*1051</f>
        <v>35734</v>
      </c>
      <c r="G18" s="237">
        <f>$H$2*1026</f>
        <v>34884</v>
      </c>
      <c r="H18" s="237">
        <f>$H$2*1002</f>
        <v>34068</v>
      </c>
      <c r="I18" s="237">
        <f>$H$2*977</f>
        <v>33218</v>
      </c>
      <c r="J18" s="237">
        <f>$H$2*953</f>
        <v>32402</v>
      </c>
      <c r="K18" s="237">
        <f>$H$2*928</f>
        <v>31552</v>
      </c>
      <c r="L18" s="237">
        <f>$H$2*904</f>
        <v>30736</v>
      </c>
      <c r="M18" s="237">
        <f>$H$2*879</f>
        <v>29886</v>
      </c>
      <c r="N18" s="123"/>
    </row>
    <row r="19" spans="1:14">
      <c r="A19" s="123"/>
      <c r="B19" s="238">
        <v>0.5</v>
      </c>
      <c r="C19" s="237">
        <f>$H$2*1075</f>
        <v>36550</v>
      </c>
      <c r="D19" s="237">
        <f>$H$2*1051</f>
        <v>35734</v>
      </c>
      <c r="E19" s="237">
        <f>$H$2*1026</f>
        <v>34884</v>
      </c>
      <c r="F19" s="237">
        <f>$H$2*1002</f>
        <v>34068</v>
      </c>
      <c r="G19" s="237">
        <f>$H$2*977</f>
        <v>33218</v>
      </c>
      <c r="H19" s="237">
        <f>$H$2*953</f>
        <v>32402</v>
      </c>
      <c r="I19" s="237">
        <f>$H$2*928</f>
        <v>31552</v>
      </c>
      <c r="J19" s="237">
        <f>$H$2*904</f>
        <v>30736</v>
      </c>
      <c r="K19" s="237">
        <f>$H$2*879</f>
        <v>29886</v>
      </c>
      <c r="L19" s="237">
        <f>$H$2*855</f>
        <v>29070</v>
      </c>
      <c r="M19" s="237">
        <f>$H$2*830</f>
        <v>28220</v>
      </c>
      <c r="N19" s="123"/>
    </row>
    <row r="20" spans="1:14" ht="3" customHeight="1">
      <c r="A20" s="239"/>
      <c r="B20" s="240"/>
      <c r="C20" s="241"/>
      <c r="D20" s="241"/>
      <c r="E20" s="241"/>
      <c r="F20" s="241"/>
      <c r="G20" s="241"/>
      <c r="H20" s="241"/>
      <c r="I20" s="241"/>
      <c r="J20" s="241"/>
      <c r="K20" s="241"/>
      <c r="L20" s="241"/>
      <c r="M20" s="242"/>
      <c r="N20" s="123"/>
    </row>
    <row r="21" spans="1:14">
      <c r="A21" s="123"/>
      <c r="B21" s="235">
        <v>1</v>
      </c>
      <c r="C21" s="237">
        <f>$H$2*1100</f>
        <v>37400</v>
      </c>
      <c r="D21" s="237">
        <f>$H$2*1082</f>
        <v>36788</v>
      </c>
      <c r="E21" s="237">
        <f>$H$2*1064</f>
        <v>36176</v>
      </c>
      <c r="F21" s="237">
        <f>$H$2*1046</f>
        <v>35564</v>
      </c>
      <c r="G21" s="237">
        <f>$H$2*1028</f>
        <v>34952</v>
      </c>
      <c r="H21" s="237">
        <f>$H$2*1010</f>
        <v>34340</v>
      </c>
      <c r="I21" s="237">
        <f>$H$2*992</f>
        <v>33728</v>
      </c>
      <c r="J21" s="237">
        <f>$H$2*974</f>
        <v>33116</v>
      </c>
      <c r="K21" s="237">
        <f>$H$2*956</f>
        <v>32504</v>
      </c>
      <c r="L21" s="237">
        <f>$H$2*938</f>
        <v>31892</v>
      </c>
      <c r="M21" s="237">
        <f>$H$2*920</f>
        <v>31280</v>
      </c>
      <c r="N21" s="123"/>
    </row>
    <row r="22" spans="1:14">
      <c r="A22" s="123"/>
      <c r="B22" s="238">
        <v>0.9</v>
      </c>
      <c r="C22" s="237">
        <f>$H$2*1064</f>
        <v>36176</v>
      </c>
      <c r="D22" s="237">
        <f>$H$2*1046</f>
        <v>35564</v>
      </c>
      <c r="E22" s="237">
        <f>$H$2*1028</f>
        <v>34952</v>
      </c>
      <c r="F22" s="237">
        <f>$H$2*1010</f>
        <v>34340</v>
      </c>
      <c r="G22" s="237">
        <f>$H$2*992</f>
        <v>33728</v>
      </c>
      <c r="H22" s="237">
        <f>$H$2*974</f>
        <v>33116</v>
      </c>
      <c r="I22" s="237">
        <f>$H$2*956</f>
        <v>32504</v>
      </c>
      <c r="J22" s="237">
        <f>$H$2*938</f>
        <v>31892</v>
      </c>
      <c r="K22" s="237">
        <f>$H$2*920</f>
        <v>31280</v>
      </c>
      <c r="L22" s="237">
        <f>$H$2*902</f>
        <v>30668</v>
      </c>
      <c r="M22" s="237">
        <f>$H$2*884</f>
        <v>30056</v>
      </c>
      <c r="N22" s="123"/>
    </row>
    <row r="23" spans="1:14">
      <c r="A23" s="123" t="s">
        <v>151</v>
      </c>
      <c r="B23" s="238">
        <v>0.8</v>
      </c>
      <c r="C23" s="237">
        <f>$H$2*1028</f>
        <v>34952</v>
      </c>
      <c r="D23" s="237">
        <f>$H$2*1010</f>
        <v>34340</v>
      </c>
      <c r="E23" s="237">
        <f>$H$2*992</f>
        <v>33728</v>
      </c>
      <c r="F23" s="237">
        <f>$H$2*974</f>
        <v>33116</v>
      </c>
      <c r="G23" s="237">
        <f>$H$2*956</f>
        <v>32504</v>
      </c>
      <c r="H23" s="237">
        <f>$H$2*938</f>
        <v>31892</v>
      </c>
      <c r="I23" s="237">
        <f>$H$2*920</f>
        <v>31280</v>
      </c>
      <c r="J23" s="237">
        <f>$H$2*902</f>
        <v>30668</v>
      </c>
      <c r="K23" s="237">
        <f>$H$2*884</f>
        <v>30056</v>
      </c>
      <c r="L23" s="237">
        <f>$H$2*866</f>
        <v>29444</v>
      </c>
      <c r="M23" s="237">
        <f>$H$2*848</f>
        <v>28832</v>
      </c>
      <c r="N23" s="123"/>
    </row>
    <row r="24" spans="1:14">
      <c r="A24" s="123" t="s">
        <v>149</v>
      </c>
      <c r="B24" s="238">
        <v>0.7</v>
      </c>
      <c r="C24" s="237">
        <f>$H$2*992</f>
        <v>33728</v>
      </c>
      <c r="D24" s="237">
        <f>$H$2*974</f>
        <v>33116</v>
      </c>
      <c r="E24" s="237">
        <f>$H$2*956</f>
        <v>32504</v>
      </c>
      <c r="F24" s="237">
        <f>$H$2*938</f>
        <v>31892</v>
      </c>
      <c r="G24" s="237">
        <f>$H$2*920</f>
        <v>31280</v>
      </c>
      <c r="H24" s="237">
        <f>$H$2*902</f>
        <v>30668</v>
      </c>
      <c r="I24" s="237">
        <f>$H$2*884</f>
        <v>30056</v>
      </c>
      <c r="J24" s="237">
        <f>$H$2*866</f>
        <v>29444</v>
      </c>
      <c r="K24" s="237">
        <f>$H$2*848</f>
        <v>28832</v>
      </c>
      <c r="L24" s="237">
        <f>$H$2*830</f>
        <v>28220</v>
      </c>
      <c r="M24" s="237">
        <f>$H$2*812</f>
        <v>27608</v>
      </c>
      <c r="N24" s="123"/>
    </row>
    <row r="25" spans="1:14">
      <c r="A25" s="123"/>
      <c r="B25" s="238">
        <v>0.6</v>
      </c>
      <c r="C25" s="237">
        <f>$H$2*956</f>
        <v>32504</v>
      </c>
      <c r="D25" s="237">
        <f>$H$2*938</f>
        <v>31892</v>
      </c>
      <c r="E25" s="237">
        <f>$H$2*920</f>
        <v>31280</v>
      </c>
      <c r="F25" s="237">
        <f>$H$2*902</f>
        <v>30668</v>
      </c>
      <c r="G25" s="237">
        <f>$H$2*884</f>
        <v>30056</v>
      </c>
      <c r="H25" s="237">
        <f>$H$2*866</f>
        <v>29444</v>
      </c>
      <c r="I25" s="237">
        <f>$H$2*848</f>
        <v>28832</v>
      </c>
      <c r="J25" s="237">
        <f>$H$2*830</f>
        <v>28220</v>
      </c>
      <c r="K25" s="237">
        <f>$H$2*812</f>
        <v>27608</v>
      </c>
      <c r="L25" s="237">
        <f>$H$2*794</f>
        <v>26996</v>
      </c>
      <c r="M25" s="237">
        <f>$H$2*776</f>
        <v>26384</v>
      </c>
      <c r="N25" s="123"/>
    </row>
    <row r="26" spans="1:14">
      <c r="A26" s="123"/>
      <c r="B26" s="238">
        <v>0.5</v>
      </c>
      <c r="C26" s="237">
        <f>$H$2*920</f>
        <v>31280</v>
      </c>
      <c r="D26" s="237">
        <f>$H$2*902</f>
        <v>30668</v>
      </c>
      <c r="E26" s="237">
        <f>$H$2*884</f>
        <v>30056</v>
      </c>
      <c r="F26" s="237">
        <f>$H$2*866</f>
        <v>29444</v>
      </c>
      <c r="G26" s="237">
        <f>$H$2*848</f>
        <v>28832</v>
      </c>
      <c r="H26" s="237">
        <f>$H$2*830</f>
        <v>28220</v>
      </c>
      <c r="I26" s="237">
        <f>$H$2*812</f>
        <v>27608</v>
      </c>
      <c r="J26" s="237">
        <f>$H$2*794</f>
        <v>26996</v>
      </c>
      <c r="K26" s="237">
        <f>$H$2*776</f>
        <v>26384</v>
      </c>
      <c r="L26" s="237">
        <f>$H$2*758</f>
        <v>25772</v>
      </c>
      <c r="M26" s="237">
        <f>$H$2*740</f>
        <v>25160</v>
      </c>
      <c r="N26" s="123"/>
    </row>
    <row r="27" spans="1:14" ht="3" customHeight="1">
      <c r="A27" s="239"/>
      <c r="B27" s="240"/>
      <c r="C27" s="241"/>
      <c r="D27" s="241"/>
      <c r="E27" s="241"/>
      <c r="F27" s="241"/>
      <c r="G27" s="241"/>
      <c r="H27" s="241"/>
      <c r="I27" s="241"/>
      <c r="J27" s="241"/>
      <c r="K27" s="241"/>
      <c r="L27" s="241"/>
      <c r="M27" s="242"/>
      <c r="N27" s="123"/>
    </row>
    <row r="28" spans="1:14">
      <c r="A28" s="123"/>
      <c r="B28" s="235">
        <v>1</v>
      </c>
      <c r="C28" s="237">
        <f>$H$2*990</f>
        <v>33660</v>
      </c>
      <c r="D28" s="237">
        <f>$H$2*977</f>
        <v>33218</v>
      </c>
      <c r="E28" s="237">
        <f>$H$2*964</f>
        <v>32776</v>
      </c>
      <c r="F28" s="237">
        <f>$H$2*951</f>
        <v>32334</v>
      </c>
      <c r="G28" s="237">
        <f>$H$2*938</f>
        <v>31892</v>
      </c>
      <c r="H28" s="237">
        <f>$H$2*925</f>
        <v>31450</v>
      </c>
      <c r="I28" s="237">
        <f>$H$2*912</f>
        <v>31008</v>
      </c>
      <c r="J28" s="237">
        <f>$H$2*899</f>
        <v>30566</v>
      </c>
      <c r="K28" s="237">
        <f>$H$2*886</f>
        <v>30124</v>
      </c>
      <c r="L28" s="237">
        <f>$H$2*873</f>
        <v>29682</v>
      </c>
      <c r="M28" s="237">
        <f>$H$2*860</f>
        <v>29240</v>
      </c>
      <c r="N28" s="123"/>
    </row>
    <row r="29" spans="1:14">
      <c r="A29" s="123"/>
      <c r="B29" s="238">
        <v>0.9</v>
      </c>
      <c r="C29" s="237">
        <f>$H$2*964</f>
        <v>32776</v>
      </c>
      <c r="D29" s="237">
        <f>$H$2*951</f>
        <v>32334</v>
      </c>
      <c r="E29" s="237">
        <f>$H$2*938</f>
        <v>31892</v>
      </c>
      <c r="F29" s="237">
        <f>$H$2*925</f>
        <v>31450</v>
      </c>
      <c r="G29" s="237">
        <f>$H$2*912</f>
        <v>31008</v>
      </c>
      <c r="H29" s="237">
        <f>$H$2*899</f>
        <v>30566</v>
      </c>
      <c r="I29" s="237">
        <f>$H$2*886</f>
        <v>30124</v>
      </c>
      <c r="J29" s="237">
        <f>$H$2*873</f>
        <v>29682</v>
      </c>
      <c r="K29" s="237">
        <f>$H$2*860</f>
        <v>29240</v>
      </c>
      <c r="L29" s="237">
        <f>$H$2*847</f>
        <v>28798</v>
      </c>
      <c r="M29" s="237">
        <f>$H$2*834</f>
        <v>28356</v>
      </c>
      <c r="N29" s="123"/>
    </row>
    <row r="30" spans="1:14">
      <c r="A30" s="123" t="s">
        <v>152</v>
      </c>
      <c r="B30" s="238">
        <v>0.8</v>
      </c>
      <c r="C30" s="237">
        <f>$H$2*938</f>
        <v>31892</v>
      </c>
      <c r="D30" s="237">
        <f>$H$2*925</f>
        <v>31450</v>
      </c>
      <c r="E30" s="237">
        <f>$H$2*912</f>
        <v>31008</v>
      </c>
      <c r="F30" s="237">
        <f>$H$2*899</f>
        <v>30566</v>
      </c>
      <c r="G30" s="237">
        <f>$H$2*886</f>
        <v>30124</v>
      </c>
      <c r="H30" s="237">
        <f>$H$2*873</f>
        <v>29682</v>
      </c>
      <c r="I30" s="237">
        <f>$H$2*860</f>
        <v>29240</v>
      </c>
      <c r="J30" s="237">
        <f>$H$2*847</f>
        <v>28798</v>
      </c>
      <c r="K30" s="237">
        <f>$H$2*834</f>
        <v>28356</v>
      </c>
      <c r="L30" s="237">
        <f>$H$2*821</f>
        <v>27914</v>
      </c>
      <c r="M30" s="237">
        <f>$H$2*808</f>
        <v>27472</v>
      </c>
      <c r="N30" s="123"/>
    </row>
    <row r="31" spans="1:14">
      <c r="A31" s="123" t="s">
        <v>153</v>
      </c>
      <c r="B31" s="238">
        <v>0.7</v>
      </c>
      <c r="C31" s="237">
        <f>$H$2*912</f>
        <v>31008</v>
      </c>
      <c r="D31" s="237">
        <f>$H$2*899</f>
        <v>30566</v>
      </c>
      <c r="E31" s="237">
        <f>$H$2*886</f>
        <v>30124</v>
      </c>
      <c r="F31" s="237">
        <f>$H$2*873</f>
        <v>29682</v>
      </c>
      <c r="G31" s="237">
        <f>$H$2*860</f>
        <v>29240</v>
      </c>
      <c r="H31" s="237">
        <f>$H$2*847</f>
        <v>28798</v>
      </c>
      <c r="I31" s="237">
        <f>$H$2*834</f>
        <v>28356</v>
      </c>
      <c r="J31" s="237">
        <f>$H$2*821</f>
        <v>27914</v>
      </c>
      <c r="K31" s="237">
        <f>$H$2*808</f>
        <v>27472</v>
      </c>
      <c r="L31" s="237">
        <f>$H$2*795</f>
        <v>27030</v>
      </c>
      <c r="M31" s="237">
        <f>$H$2*782</f>
        <v>26588</v>
      </c>
      <c r="N31" s="123"/>
    </row>
    <row r="32" spans="1:14">
      <c r="A32" s="123"/>
      <c r="B32" s="238">
        <v>0.6</v>
      </c>
      <c r="C32" s="237">
        <f>$H$2*886</f>
        <v>30124</v>
      </c>
      <c r="D32" s="237">
        <f>$H$2*873</f>
        <v>29682</v>
      </c>
      <c r="E32" s="237">
        <f>$H$2*860</f>
        <v>29240</v>
      </c>
      <c r="F32" s="237">
        <f>$H$2*847</f>
        <v>28798</v>
      </c>
      <c r="G32" s="237">
        <f>$H$2*834</f>
        <v>28356</v>
      </c>
      <c r="H32" s="237">
        <f>$H$2*821</f>
        <v>27914</v>
      </c>
      <c r="I32" s="237">
        <f>$H$2*808</f>
        <v>27472</v>
      </c>
      <c r="J32" s="237">
        <f>$H$2*795</f>
        <v>27030</v>
      </c>
      <c r="K32" s="237">
        <f>$H$2*782</f>
        <v>26588</v>
      </c>
      <c r="L32" s="237">
        <f>$H$2*769</f>
        <v>26146</v>
      </c>
      <c r="M32" s="237">
        <f>$H$2*756</f>
        <v>25704</v>
      </c>
      <c r="N32" s="123"/>
    </row>
    <row r="33" spans="1:14">
      <c r="A33" s="123"/>
      <c r="B33" s="238">
        <v>0.5</v>
      </c>
      <c r="C33" s="237">
        <f>$H$2*860</f>
        <v>29240</v>
      </c>
      <c r="D33" s="237">
        <f>$H$2*847</f>
        <v>28798</v>
      </c>
      <c r="E33" s="237">
        <f>$H$2*834</f>
        <v>28356</v>
      </c>
      <c r="F33" s="237">
        <f>$H$2*821</f>
        <v>27914</v>
      </c>
      <c r="G33" s="237">
        <f>$H$2*808</f>
        <v>27472</v>
      </c>
      <c r="H33" s="237">
        <f>$H$2*795</f>
        <v>27030</v>
      </c>
      <c r="I33" s="237">
        <f>$H$2*782</f>
        <v>26588</v>
      </c>
      <c r="J33" s="237">
        <f>$H$2*769</f>
        <v>26146</v>
      </c>
      <c r="K33" s="237">
        <f>$H$2*756</f>
        <v>25704</v>
      </c>
      <c r="L33" s="237">
        <f>$H$2*743</f>
        <v>25262</v>
      </c>
      <c r="M33" s="237">
        <f>$H$2*730</f>
        <v>24820</v>
      </c>
      <c r="N33" s="123"/>
    </row>
    <row r="34" spans="1:14" ht="3" customHeight="1">
      <c r="A34" s="239"/>
      <c r="B34" s="240"/>
      <c r="C34" s="241"/>
      <c r="D34" s="241"/>
      <c r="E34" s="241"/>
      <c r="F34" s="241"/>
      <c r="G34" s="241"/>
      <c r="H34" s="241"/>
      <c r="I34" s="241"/>
      <c r="J34" s="241"/>
      <c r="K34" s="241"/>
      <c r="L34" s="241"/>
      <c r="M34" s="242"/>
      <c r="N34" s="123"/>
    </row>
    <row r="35" spans="1:14">
      <c r="A35" s="123" t="s">
        <v>154</v>
      </c>
      <c r="B35" s="238"/>
      <c r="M35" s="3"/>
      <c r="N35" s="123"/>
    </row>
    <row r="36" spans="1:14">
      <c r="A36" s="123" t="s">
        <v>155</v>
      </c>
      <c r="B36" s="238"/>
      <c r="C36" s="237">
        <f>$H$2*550</f>
        <v>18700</v>
      </c>
      <c r="M36" s="3"/>
      <c r="N36" s="123"/>
    </row>
    <row r="37" spans="1:14">
      <c r="A37" s="85" t="s">
        <v>156</v>
      </c>
      <c r="B37" s="233"/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123"/>
    </row>
  </sheetData>
  <sheetProtection password="836F" sheet="1" objects="1" scenarios="1"/>
  <phoneticPr fontId="30" type="noConversion"/>
  <pageMargins left="0.78740157480314965" right="0.51181102362204722" top="0.98425196850393704" bottom="0.98425196850393704" header="0.51181102362204722" footer="0.51181102362204722"/>
  <pageSetup paperSize="9" orientation="portrait" horizontalDpi="360" verticalDpi="300" r:id="rId1"/>
  <headerFooter alignWithMargins="0">
    <oddHeader>&amp;L&amp;"Times New Roman,Fet\&amp;14Sveriges Elleverantörer&amp;R&amp;D</oddHeader>
    <oddFooter>&amp;L&amp;8&amp;F\&amp;A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Blad22"/>
  <dimension ref="A1:N37"/>
  <sheetViews>
    <sheetView workbookViewId="0">
      <selection activeCell="C7" sqref="C7"/>
    </sheetView>
  </sheetViews>
  <sheetFormatPr defaultRowHeight="12.75"/>
  <cols>
    <col min="1" max="1" width="10.85546875" customWidth="1"/>
    <col min="2" max="2" width="5.42578125" customWidth="1"/>
    <col min="3" max="13" width="6.28515625" customWidth="1"/>
    <col min="14" max="14" width="0.28515625" customWidth="1"/>
  </cols>
  <sheetData>
    <row r="1" spans="1:14" ht="24" customHeight="1">
      <c r="A1" s="228" t="s">
        <v>140</v>
      </c>
    </row>
    <row r="2" spans="1:14" ht="24" customHeight="1">
      <c r="A2" s="78" t="s">
        <v>141</v>
      </c>
      <c r="H2" s="229">
        <f>Fakta!$C$22</f>
        <v>34</v>
      </c>
    </row>
    <row r="3" spans="1:14" ht="24" customHeight="1">
      <c r="A3" s="78" t="s">
        <v>163</v>
      </c>
    </row>
    <row r="5" spans="1:14">
      <c r="A5" s="230" t="s">
        <v>143</v>
      </c>
      <c r="B5" s="231" t="s">
        <v>144</v>
      </c>
      <c r="C5" s="232" t="s">
        <v>145</v>
      </c>
      <c r="D5" s="232"/>
      <c r="E5" s="232"/>
      <c r="F5" s="232"/>
      <c r="G5" s="232"/>
      <c r="H5" s="232"/>
      <c r="I5" s="232"/>
      <c r="J5" s="232"/>
      <c r="K5" s="232"/>
      <c r="L5" s="232"/>
      <c r="M5" s="232"/>
      <c r="N5" s="123"/>
    </row>
    <row r="6" spans="1:14">
      <c r="A6" s="85" t="s">
        <v>146</v>
      </c>
      <c r="B6" s="233" t="s">
        <v>147</v>
      </c>
      <c r="C6" s="234">
        <v>10</v>
      </c>
      <c r="D6" s="234">
        <v>9.1</v>
      </c>
      <c r="E6" s="234">
        <v>8.1999999999999993</v>
      </c>
      <c r="F6" s="234">
        <v>7.3</v>
      </c>
      <c r="G6" s="234">
        <v>6.4</v>
      </c>
      <c r="H6" s="234">
        <v>5.5</v>
      </c>
      <c r="I6" s="234">
        <v>4.5999999999999996</v>
      </c>
      <c r="J6" s="234">
        <v>3.7</v>
      </c>
      <c r="K6" s="234">
        <v>2.8</v>
      </c>
      <c r="L6" s="234">
        <v>1.9</v>
      </c>
      <c r="M6" s="234">
        <v>0.1</v>
      </c>
      <c r="N6" s="123"/>
    </row>
    <row r="7" spans="1:14">
      <c r="A7" s="123"/>
      <c r="B7" s="235">
        <v>1</v>
      </c>
      <c r="C7" s="236">
        <f>$H$2*600</f>
        <v>20400</v>
      </c>
      <c r="D7" s="236">
        <f>$H$2*590</f>
        <v>20060</v>
      </c>
      <c r="E7" s="236">
        <f>$H$2*580</f>
        <v>19720</v>
      </c>
      <c r="F7" s="236">
        <f>$H$2*570</f>
        <v>19380</v>
      </c>
      <c r="G7" s="236">
        <f>$H$2*560</f>
        <v>19040</v>
      </c>
      <c r="H7" s="236">
        <f>$H$2*550</f>
        <v>18700</v>
      </c>
      <c r="I7" s="236">
        <f>$H$2*540</f>
        <v>18360</v>
      </c>
      <c r="J7" s="236">
        <f>$H$2*530</f>
        <v>18020</v>
      </c>
      <c r="K7" s="236">
        <f>$H$2*520</f>
        <v>17680</v>
      </c>
      <c r="L7" s="236">
        <f>$H$2*510</f>
        <v>17340</v>
      </c>
      <c r="M7" s="237">
        <f>$H$2*500</f>
        <v>17000</v>
      </c>
      <c r="N7" s="123"/>
    </row>
    <row r="8" spans="1:14">
      <c r="A8" s="123"/>
      <c r="B8" s="238">
        <v>0.9</v>
      </c>
      <c r="C8" s="236">
        <f>$H$2*580</f>
        <v>19720</v>
      </c>
      <c r="D8" s="236">
        <f>$H$2*570</f>
        <v>19380</v>
      </c>
      <c r="E8" s="236">
        <f>$H$2*560</f>
        <v>19040</v>
      </c>
      <c r="F8" s="236">
        <f>$H$2*550</f>
        <v>18700</v>
      </c>
      <c r="G8" s="236">
        <f>$H$2*540</f>
        <v>18360</v>
      </c>
      <c r="H8" s="236">
        <f>$H$2*530</f>
        <v>18020</v>
      </c>
      <c r="I8" s="236">
        <f>$H$2*520</f>
        <v>17680</v>
      </c>
      <c r="J8" s="236">
        <f>$H$2*510</f>
        <v>17340</v>
      </c>
      <c r="K8" s="237">
        <f>$H$2*500</f>
        <v>17000</v>
      </c>
      <c r="L8" s="236">
        <f>$H$2*490</f>
        <v>16660</v>
      </c>
      <c r="M8" s="237">
        <f>$H$2*480</f>
        <v>16320</v>
      </c>
      <c r="N8" s="123"/>
    </row>
    <row r="9" spans="1:14">
      <c r="A9" s="123" t="s">
        <v>148</v>
      </c>
      <c r="B9" s="238">
        <v>0.8</v>
      </c>
      <c r="C9" s="236">
        <f>$H$2*560</f>
        <v>19040</v>
      </c>
      <c r="D9" s="236">
        <f>$H$2*550</f>
        <v>18700</v>
      </c>
      <c r="E9" s="236">
        <f>$H$2*540</f>
        <v>18360</v>
      </c>
      <c r="F9" s="236">
        <f>$H$2*530</f>
        <v>18020</v>
      </c>
      <c r="G9" s="236">
        <f>$H$2*520</f>
        <v>17680</v>
      </c>
      <c r="H9" s="236">
        <f>$H$2*510</f>
        <v>17340</v>
      </c>
      <c r="I9" s="237">
        <f>$H$2*500</f>
        <v>17000</v>
      </c>
      <c r="J9" s="236">
        <f>$H$2*490</f>
        <v>16660</v>
      </c>
      <c r="K9" s="237">
        <f>$H$2*480</f>
        <v>16320</v>
      </c>
      <c r="L9" s="236">
        <f>$H$2*470</f>
        <v>15980</v>
      </c>
      <c r="M9" s="237">
        <f>$H$2*460</f>
        <v>15640</v>
      </c>
      <c r="N9" s="123"/>
    </row>
    <row r="10" spans="1:14">
      <c r="A10" s="123" t="s">
        <v>149</v>
      </c>
      <c r="B10" s="238">
        <v>0.7</v>
      </c>
      <c r="C10" s="236">
        <f>$H$2*540</f>
        <v>18360</v>
      </c>
      <c r="D10" s="236">
        <f>$H$2*530</f>
        <v>18020</v>
      </c>
      <c r="E10" s="236">
        <f>$H$2*520</f>
        <v>17680</v>
      </c>
      <c r="F10" s="236">
        <f>$H$2*510</f>
        <v>17340</v>
      </c>
      <c r="G10" s="237">
        <f>$H$2*500</f>
        <v>17000</v>
      </c>
      <c r="H10" s="236">
        <f>$H$2*490</f>
        <v>16660</v>
      </c>
      <c r="I10" s="237">
        <f>$H$2*480</f>
        <v>16320</v>
      </c>
      <c r="J10" s="236">
        <f>$H$2*470</f>
        <v>15980</v>
      </c>
      <c r="K10" s="237">
        <f>$H$2*460</f>
        <v>15640</v>
      </c>
      <c r="L10" s="236">
        <f>$H$2*450</f>
        <v>15300</v>
      </c>
      <c r="M10" s="237">
        <f>$H$2*440</f>
        <v>14960</v>
      </c>
      <c r="N10" s="123"/>
    </row>
    <row r="11" spans="1:14">
      <c r="A11" s="123"/>
      <c r="B11" s="238">
        <v>0.6</v>
      </c>
      <c r="C11" s="236">
        <f>$H$2*520</f>
        <v>17680</v>
      </c>
      <c r="D11" s="236">
        <f>$H$2*510</f>
        <v>17340</v>
      </c>
      <c r="E11" s="237">
        <f>$H$2*500</f>
        <v>17000</v>
      </c>
      <c r="F11" s="236">
        <f>$H$2*490</f>
        <v>16660</v>
      </c>
      <c r="G11" s="237">
        <f>$H$2*480</f>
        <v>16320</v>
      </c>
      <c r="H11" s="236">
        <f>$H$2*470</f>
        <v>15980</v>
      </c>
      <c r="I11" s="237">
        <f>$H$2*460</f>
        <v>15640</v>
      </c>
      <c r="J11" s="236">
        <f>$H$2*450</f>
        <v>15300</v>
      </c>
      <c r="K11" s="237">
        <f>$H$2*440</f>
        <v>14960</v>
      </c>
      <c r="L11" s="236">
        <f>$H$2*430</f>
        <v>14620</v>
      </c>
      <c r="M11" s="237">
        <f>$H$2*420</f>
        <v>14280</v>
      </c>
      <c r="N11" s="123"/>
    </row>
    <row r="12" spans="1:14">
      <c r="A12" s="123"/>
      <c r="B12" s="238">
        <v>0.5</v>
      </c>
      <c r="C12" s="237">
        <f>$H$2*500</f>
        <v>17000</v>
      </c>
      <c r="D12" s="236">
        <f>$H$2*490</f>
        <v>16660</v>
      </c>
      <c r="E12" s="237">
        <f>$H$2*480</f>
        <v>16320</v>
      </c>
      <c r="F12" s="236">
        <f>$H$2*470</f>
        <v>15980</v>
      </c>
      <c r="G12" s="237">
        <f>$H$2*460</f>
        <v>15640</v>
      </c>
      <c r="H12" s="236">
        <f>$H$2*450</f>
        <v>15300</v>
      </c>
      <c r="I12" s="237">
        <f>$H$2*440</f>
        <v>14960</v>
      </c>
      <c r="J12" s="236">
        <f>$H$2*430</f>
        <v>14620</v>
      </c>
      <c r="K12" s="237">
        <f>$H$2*420</f>
        <v>14280</v>
      </c>
      <c r="L12" s="236">
        <f>$H$2*410</f>
        <v>13940</v>
      </c>
      <c r="M12" s="237">
        <f>$H$2*400</f>
        <v>13600</v>
      </c>
      <c r="N12" s="123"/>
    </row>
    <row r="13" spans="1:14" ht="3" customHeight="1">
      <c r="A13" s="239"/>
      <c r="B13" s="240"/>
      <c r="C13" s="241"/>
      <c r="D13" s="241"/>
      <c r="E13" s="241"/>
      <c r="F13" s="241"/>
      <c r="G13" s="241"/>
      <c r="H13" s="241"/>
      <c r="I13" s="241"/>
      <c r="J13" s="241"/>
      <c r="K13" s="241"/>
      <c r="L13" s="241"/>
      <c r="M13" s="242"/>
      <c r="N13" s="123"/>
    </row>
    <row r="14" spans="1:14">
      <c r="A14" s="123"/>
      <c r="B14" s="235">
        <v>1</v>
      </c>
      <c r="C14" s="236">
        <f>$H$2*730</f>
        <v>24820</v>
      </c>
      <c r="D14" s="236">
        <f>$H$2*716</f>
        <v>24344</v>
      </c>
      <c r="E14" s="236">
        <f>$H$2*702</f>
        <v>23868</v>
      </c>
      <c r="F14" s="236">
        <f>$H$2*688</f>
        <v>23392</v>
      </c>
      <c r="G14" s="236">
        <f>$H$2*674</f>
        <v>22916</v>
      </c>
      <c r="H14" s="236">
        <f>$H$2*660</f>
        <v>22440</v>
      </c>
      <c r="I14" s="236">
        <f>$H$2*646</f>
        <v>21964</v>
      </c>
      <c r="J14" s="236">
        <f>$H$2*632</f>
        <v>21488</v>
      </c>
      <c r="K14" s="236">
        <f>$H$2*618</f>
        <v>21012</v>
      </c>
      <c r="L14" s="236">
        <f>$H$2*604</f>
        <v>20536</v>
      </c>
      <c r="M14" s="237">
        <f>$H$2*590</f>
        <v>20060</v>
      </c>
      <c r="N14" s="123"/>
    </row>
    <row r="15" spans="1:14">
      <c r="A15" s="123"/>
      <c r="B15" s="238">
        <v>0.9</v>
      </c>
      <c r="C15" s="236">
        <f>$H$2*702</f>
        <v>23868</v>
      </c>
      <c r="D15" s="236">
        <f>$H$2*688</f>
        <v>23392</v>
      </c>
      <c r="E15" s="236">
        <f>$H$2*674</f>
        <v>22916</v>
      </c>
      <c r="F15" s="236">
        <f>$H$2*660</f>
        <v>22440</v>
      </c>
      <c r="G15" s="236">
        <f>$H$2*646</f>
        <v>21964</v>
      </c>
      <c r="H15" s="236">
        <f>$H$2*632</f>
        <v>21488</v>
      </c>
      <c r="I15" s="236">
        <f>$H$2*618</f>
        <v>21012</v>
      </c>
      <c r="J15" s="236">
        <f>$H$2*604</f>
        <v>20536</v>
      </c>
      <c r="K15" s="237">
        <f>$H$2*590</f>
        <v>20060</v>
      </c>
      <c r="L15" s="237">
        <f>$H$2*576</f>
        <v>19584</v>
      </c>
      <c r="M15" s="237">
        <f>$H$2*562</f>
        <v>19108</v>
      </c>
      <c r="N15" s="123"/>
    </row>
    <row r="16" spans="1:14">
      <c r="A16" s="123" t="s">
        <v>150</v>
      </c>
      <c r="B16" s="238">
        <v>0.8</v>
      </c>
      <c r="C16" s="236">
        <f>$H$2*674</f>
        <v>22916</v>
      </c>
      <c r="D16" s="236">
        <f>$H$2*660</f>
        <v>22440</v>
      </c>
      <c r="E16" s="236">
        <f>$H$2*646</f>
        <v>21964</v>
      </c>
      <c r="F16" s="236">
        <f>$H$2*632</f>
        <v>21488</v>
      </c>
      <c r="G16" s="236">
        <f>$H$2*618</f>
        <v>21012</v>
      </c>
      <c r="H16" s="236">
        <f>$H$2*604</f>
        <v>20536</v>
      </c>
      <c r="I16" s="237">
        <f>$H$2*590</f>
        <v>20060</v>
      </c>
      <c r="J16" s="237">
        <f>$H$2*576</f>
        <v>19584</v>
      </c>
      <c r="K16" s="237">
        <f>$H$2*562</f>
        <v>19108</v>
      </c>
      <c r="L16" s="237">
        <f>$H$2*548</f>
        <v>18632</v>
      </c>
      <c r="M16" s="237">
        <f>$H$2*534</f>
        <v>18156</v>
      </c>
      <c r="N16" s="123"/>
    </row>
    <row r="17" spans="1:14">
      <c r="A17" s="123" t="s">
        <v>149</v>
      </c>
      <c r="B17" s="238">
        <v>0.7</v>
      </c>
      <c r="C17" s="236">
        <f>$H$2*646</f>
        <v>21964</v>
      </c>
      <c r="D17" s="236">
        <f>$H$2*632</f>
        <v>21488</v>
      </c>
      <c r="E17" s="236">
        <f>$H$2*618</f>
        <v>21012</v>
      </c>
      <c r="F17" s="236">
        <f>$H$2*604</f>
        <v>20536</v>
      </c>
      <c r="G17" s="237">
        <f>$H$2*590</f>
        <v>20060</v>
      </c>
      <c r="H17" s="237">
        <f>$H$2*576</f>
        <v>19584</v>
      </c>
      <c r="I17" s="237">
        <f>$H$2*562</f>
        <v>19108</v>
      </c>
      <c r="J17" s="237">
        <f>$H$2*548</f>
        <v>18632</v>
      </c>
      <c r="K17" s="237">
        <f>$H$2*534</f>
        <v>18156</v>
      </c>
      <c r="L17" s="237">
        <f>$H$2*520</f>
        <v>17680</v>
      </c>
      <c r="M17" s="237">
        <f>$H$2*506</f>
        <v>17204</v>
      </c>
      <c r="N17" s="123"/>
    </row>
    <row r="18" spans="1:14">
      <c r="A18" s="123"/>
      <c r="B18" s="238">
        <v>0.6</v>
      </c>
      <c r="C18" s="236">
        <f>$H$2*618</f>
        <v>21012</v>
      </c>
      <c r="D18" s="236">
        <f>$H$2*604</f>
        <v>20536</v>
      </c>
      <c r="E18" s="237">
        <f>$H$2*590</f>
        <v>20060</v>
      </c>
      <c r="F18" s="237">
        <f>$H$2*576</f>
        <v>19584</v>
      </c>
      <c r="G18" s="237">
        <f>$H$2*562</f>
        <v>19108</v>
      </c>
      <c r="H18" s="237">
        <f>$H$2*548</f>
        <v>18632</v>
      </c>
      <c r="I18" s="237">
        <f>$H$2*534</f>
        <v>18156</v>
      </c>
      <c r="J18" s="237">
        <f>$H$2*520</f>
        <v>17680</v>
      </c>
      <c r="K18" s="237">
        <f>$H$2*506</f>
        <v>17204</v>
      </c>
      <c r="L18" s="237">
        <f>$H$2*492</f>
        <v>16728</v>
      </c>
      <c r="M18" s="237">
        <f>$H$2*478</f>
        <v>16252</v>
      </c>
      <c r="N18" s="123"/>
    </row>
    <row r="19" spans="1:14">
      <c r="A19" s="123"/>
      <c r="B19" s="238">
        <v>0.5</v>
      </c>
      <c r="C19" s="237">
        <f>$H$2*590</f>
        <v>20060</v>
      </c>
      <c r="D19" s="237">
        <f>$H$2*576</f>
        <v>19584</v>
      </c>
      <c r="E19" s="237">
        <f>$H$2*562</f>
        <v>19108</v>
      </c>
      <c r="F19" s="237">
        <f>$H$2*548</f>
        <v>18632</v>
      </c>
      <c r="G19" s="237">
        <f>$H$2*534</f>
        <v>18156</v>
      </c>
      <c r="H19" s="237">
        <f>$H$2*520</f>
        <v>17680</v>
      </c>
      <c r="I19" s="237">
        <f>$H$2*506</f>
        <v>17204</v>
      </c>
      <c r="J19" s="237">
        <f>$H$2*492</f>
        <v>16728</v>
      </c>
      <c r="K19" s="237">
        <f>$H$2*478</f>
        <v>16252</v>
      </c>
      <c r="L19" s="237">
        <f>$H$2*464</f>
        <v>15776</v>
      </c>
      <c r="M19" s="237">
        <f>$H$2*450</f>
        <v>15300</v>
      </c>
      <c r="N19" s="123"/>
    </row>
    <row r="20" spans="1:14" ht="3" customHeight="1">
      <c r="A20" s="239"/>
      <c r="B20" s="240"/>
      <c r="C20" s="241"/>
      <c r="D20" s="241"/>
      <c r="E20" s="241"/>
      <c r="F20" s="241"/>
      <c r="G20" s="241"/>
      <c r="H20" s="241"/>
      <c r="I20" s="241"/>
      <c r="J20" s="241"/>
      <c r="K20" s="241"/>
      <c r="L20" s="241"/>
      <c r="M20" s="242"/>
      <c r="N20" s="123"/>
    </row>
    <row r="21" spans="1:14">
      <c r="A21" s="123"/>
      <c r="B21" s="235">
        <v>1</v>
      </c>
      <c r="C21" s="237">
        <f>$H$2*640</f>
        <v>21760</v>
      </c>
      <c r="D21" s="237">
        <f>$H$2*629</f>
        <v>21386</v>
      </c>
      <c r="E21" s="237">
        <f>$H$2*618</f>
        <v>21012</v>
      </c>
      <c r="F21" s="237">
        <f>$H$2*607</f>
        <v>20638</v>
      </c>
      <c r="G21" s="237">
        <f>$H$2*596</f>
        <v>20264</v>
      </c>
      <c r="H21" s="237">
        <f>$H$2*585</f>
        <v>19890</v>
      </c>
      <c r="I21" s="237">
        <f>$H$2*574</f>
        <v>19516</v>
      </c>
      <c r="J21" s="237">
        <f>$H$2*563</f>
        <v>19142</v>
      </c>
      <c r="K21" s="237">
        <f>$H$2*552</f>
        <v>18768</v>
      </c>
      <c r="L21" s="237">
        <f>$H$2*541</f>
        <v>18394</v>
      </c>
      <c r="M21" s="237">
        <f>$H$2*530</f>
        <v>18020</v>
      </c>
      <c r="N21" s="123"/>
    </row>
    <row r="22" spans="1:14">
      <c r="A22" s="123"/>
      <c r="B22" s="238">
        <v>0.9</v>
      </c>
      <c r="C22" s="237">
        <f>$H$2*618</f>
        <v>21012</v>
      </c>
      <c r="D22" s="237">
        <f>$H$2*607</f>
        <v>20638</v>
      </c>
      <c r="E22" s="237">
        <f>$H$2*596</f>
        <v>20264</v>
      </c>
      <c r="F22" s="237">
        <f>$H$2*585</f>
        <v>19890</v>
      </c>
      <c r="G22" s="237">
        <f>$H$2*574</f>
        <v>19516</v>
      </c>
      <c r="H22" s="237">
        <f>$H$2*563</f>
        <v>19142</v>
      </c>
      <c r="I22" s="237">
        <f>$H$2*552</f>
        <v>18768</v>
      </c>
      <c r="J22" s="237">
        <f>$H$2*541</f>
        <v>18394</v>
      </c>
      <c r="K22" s="237">
        <f>$H$2*530</f>
        <v>18020</v>
      </c>
      <c r="L22" s="237">
        <f>$H$2*519</f>
        <v>17646</v>
      </c>
      <c r="M22" s="237">
        <f>$H$2*508</f>
        <v>17272</v>
      </c>
      <c r="N22" s="123"/>
    </row>
    <row r="23" spans="1:14">
      <c r="A23" s="123" t="s">
        <v>151</v>
      </c>
      <c r="B23" s="238">
        <v>0.8</v>
      </c>
      <c r="C23" s="237">
        <f>$H$2*596</f>
        <v>20264</v>
      </c>
      <c r="D23" s="237">
        <f>$H$2*585</f>
        <v>19890</v>
      </c>
      <c r="E23" s="237">
        <f>$H$2*574</f>
        <v>19516</v>
      </c>
      <c r="F23" s="237">
        <f>$H$2*563</f>
        <v>19142</v>
      </c>
      <c r="G23" s="237">
        <f>$H$2*552</f>
        <v>18768</v>
      </c>
      <c r="H23" s="237">
        <f>$H$2*541</f>
        <v>18394</v>
      </c>
      <c r="I23" s="237">
        <f>$H$2*530</f>
        <v>18020</v>
      </c>
      <c r="J23" s="237">
        <f>$H$2*519</f>
        <v>17646</v>
      </c>
      <c r="K23" s="237">
        <f>$H$2*508</f>
        <v>17272</v>
      </c>
      <c r="L23" s="237">
        <f>$H$2*497</f>
        <v>16898</v>
      </c>
      <c r="M23" s="237">
        <f>$H$2*486</f>
        <v>16524</v>
      </c>
      <c r="N23" s="123"/>
    </row>
    <row r="24" spans="1:14">
      <c r="A24" s="123" t="s">
        <v>149</v>
      </c>
      <c r="B24" s="238">
        <v>0.7</v>
      </c>
      <c r="C24" s="237">
        <f>$H$2*574</f>
        <v>19516</v>
      </c>
      <c r="D24" s="237">
        <f>$H$2*563</f>
        <v>19142</v>
      </c>
      <c r="E24" s="237">
        <f>$H$2*552</f>
        <v>18768</v>
      </c>
      <c r="F24" s="237">
        <f>$H$2*541</f>
        <v>18394</v>
      </c>
      <c r="G24" s="237">
        <f>$H$2*530</f>
        <v>18020</v>
      </c>
      <c r="H24" s="237">
        <f>$H$2*519</f>
        <v>17646</v>
      </c>
      <c r="I24" s="237">
        <f>$H$2*508</f>
        <v>17272</v>
      </c>
      <c r="J24" s="237">
        <f>$H$2*497</f>
        <v>16898</v>
      </c>
      <c r="K24" s="237">
        <f>$H$2*486</f>
        <v>16524</v>
      </c>
      <c r="L24" s="237">
        <f>$H$2*475</f>
        <v>16150</v>
      </c>
      <c r="M24" s="237">
        <f>$H$2*464</f>
        <v>15776</v>
      </c>
      <c r="N24" s="123"/>
    </row>
    <row r="25" spans="1:14">
      <c r="A25" s="123"/>
      <c r="B25" s="238">
        <v>0.6</v>
      </c>
      <c r="C25" s="237">
        <f>$H$2*552</f>
        <v>18768</v>
      </c>
      <c r="D25" s="237">
        <f>$H$2*541</f>
        <v>18394</v>
      </c>
      <c r="E25" s="237">
        <f>$H$2*530</f>
        <v>18020</v>
      </c>
      <c r="F25" s="237">
        <f>$H$2*519</f>
        <v>17646</v>
      </c>
      <c r="G25" s="237">
        <f>$H$2*508</f>
        <v>17272</v>
      </c>
      <c r="H25" s="237">
        <f>$H$2*497</f>
        <v>16898</v>
      </c>
      <c r="I25" s="237">
        <f>$H$2*486</f>
        <v>16524</v>
      </c>
      <c r="J25" s="237">
        <f>$H$2*475</f>
        <v>16150</v>
      </c>
      <c r="K25" s="237">
        <f>$H$2*464</f>
        <v>15776</v>
      </c>
      <c r="L25" s="237">
        <f>$H$2*453</f>
        <v>15402</v>
      </c>
      <c r="M25" s="237">
        <f>$H$2*442</f>
        <v>15028</v>
      </c>
      <c r="N25" s="123"/>
    </row>
    <row r="26" spans="1:14">
      <c r="A26" s="123"/>
      <c r="B26" s="238">
        <v>0.5</v>
      </c>
      <c r="C26" s="237">
        <f>$H$2*530</f>
        <v>18020</v>
      </c>
      <c r="D26" s="237">
        <f>$H$2*519</f>
        <v>17646</v>
      </c>
      <c r="E26" s="237">
        <f>$H$2*508</f>
        <v>17272</v>
      </c>
      <c r="F26" s="237">
        <f>$H$2*497</f>
        <v>16898</v>
      </c>
      <c r="G26" s="237">
        <f>$H$2*486</f>
        <v>16524</v>
      </c>
      <c r="H26" s="237">
        <f>$H$2*475</f>
        <v>16150</v>
      </c>
      <c r="I26" s="237">
        <f>$H$2*464</f>
        <v>15776</v>
      </c>
      <c r="J26" s="237">
        <f>$H$2*453</f>
        <v>15402</v>
      </c>
      <c r="K26" s="237">
        <f>$H$2*442</f>
        <v>15028</v>
      </c>
      <c r="L26" s="237">
        <f>$H$2*431</f>
        <v>14654</v>
      </c>
      <c r="M26" s="237">
        <f>$H$2*420</f>
        <v>14280</v>
      </c>
      <c r="N26" s="123"/>
    </row>
    <row r="27" spans="1:14" ht="3" customHeight="1">
      <c r="A27" s="239"/>
      <c r="B27" s="240"/>
      <c r="C27" s="241"/>
      <c r="D27" s="241"/>
      <c r="E27" s="241"/>
      <c r="F27" s="241"/>
      <c r="G27" s="241"/>
      <c r="H27" s="241"/>
      <c r="I27" s="241"/>
      <c r="J27" s="241"/>
      <c r="K27" s="241"/>
      <c r="L27" s="241"/>
      <c r="M27" s="242"/>
      <c r="N27" s="123"/>
    </row>
    <row r="28" spans="1:14">
      <c r="A28" s="123"/>
      <c r="B28" s="235">
        <v>1</v>
      </c>
      <c r="C28" s="237">
        <f>$H$2*530</f>
        <v>18020</v>
      </c>
      <c r="D28" s="237">
        <f>$H$2*524</f>
        <v>17816</v>
      </c>
      <c r="E28" s="237">
        <f>$H$2*517</f>
        <v>17578</v>
      </c>
      <c r="F28" s="237">
        <f>$H$2*511</f>
        <v>17374</v>
      </c>
      <c r="G28" s="237">
        <f>$H$2*504</f>
        <v>17136</v>
      </c>
      <c r="H28" s="237">
        <f>$H$2*498</f>
        <v>16932</v>
      </c>
      <c r="I28" s="237">
        <f>$H$2*491</f>
        <v>16694</v>
      </c>
      <c r="J28" s="237">
        <f>$H$2*485</f>
        <v>16490</v>
      </c>
      <c r="K28" s="237">
        <f>$H$2*478</f>
        <v>16252</v>
      </c>
      <c r="L28" s="237">
        <f>$H$2*472</f>
        <v>16048</v>
      </c>
      <c r="M28" s="237">
        <f>$H$2*465</f>
        <v>15810</v>
      </c>
      <c r="N28" s="123"/>
    </row>
    <row r="29" spans="1:14">
      <c r="A29" s="123"/>
      <c r="B29" s="238">
        <v>0.9</v>
      </c>
      <c r="C29" s="237">
        <f>$H$2*517</f>
        <v>17578</v>
      </c>
      <c r="D29" s="237">
        <f>$H$2*511</f>
        <v>17374</v>
      </c>
      <c r="E29" s="237">
        <f>$H$2*504</f>
        <v>17136</v>
      </c>
      <c r="F29" s="237">
        <f>$H$2*498</f>
        <v>16932</v>
      </c>
      <c r="G29" s="237">
        <f>$H$2*491</f>
        <v>16694</v>
      </c>
      <c r="H29" s="237">
        <f>$H$2*485</f>
        <v>16490</v>
      </c>
      <c r="I29" s="237">
        <f>$H$2*478</f>
        <v>16252</v>
      </c>
      <c r="J29" s="237">
        <f>$H$2*472</f>
        <v>16048</v>
      </c>
      <c r="K29" s="237">
        <f>$H$2*465</f>
        <v>15810</v>
      </c>
      <c r="L29" s="237">
        <f>$H$2*459</f>
        <v>15606</v>
      </c>
      <c r="M29" s="237">
        <f>$H$2*452</f>
        <v>15368</v>
      </c>
      <c r="N29" s="123"/>
    </row>
    <row r="30" spans="1:14">
      <c r="A30" s="123" t="s">
        <v>152</v>
      </c>
      <c r="B30" s="238">
        <v>0.8</v>
      </c>
      <c r="C30" s="237">
        <f>$H$2*504</f>
        <v>17136</v>
      </c>
      <c r="D30" s="237">
        <f>$H$2*498</f>
        <v>16932</v>
      </c>
      <c r="E30" s="237">
        <f>$H$2*491</f>
        <v>16694</v>
      </c>
      <c r="F30" s="237">
        <f>$H$2*485</f>
        <v>16490</v>
      </c>
      <c r="G30" s="237">
        <f>$H$2*478</f>
        <v>16252</v>
      </c>
      <c r="H30" s="237">
        <f>$H$2*472</f>
        <v>16048</v>
      </c>
      <c r="I30" s="237">
        <f>$H$2*465</f>
        <v>15810</v>
      </c>
      <c r="J30" s="237">
        <f>$H$2*459</f>
        <v>15606</v>
      </c>
      <c r="K30" s="237">
        <f>$H$2*452</f>
        <v>15368</v>
      </c>
      <c r="L30" s="237">
        <f>$H$2*446</f>
        <v>15164</v>
      </c>
      <c r="M30" s="237">
        <f>$H$2*439</f>
        <v>14926</v>
      </c>
      <c r="N30" s="123"/>
    </row>
    <row r="31" spans="1:14">
      <c r="A31" s="123" t="s">
        <v>153</v>
      </c>
      <c r="B31" s="238">
        <v>0.7</v>
      </c>
      <c r="C31" s="237">
        <f>$H$2*491</f>
        <v>16694</v>
      </c>
      <c r="D31" s="237">
        <f>$H$2*485</f>
        <v>16490</v>
      </c>
      <c r="E31" s="237">
        <f>$H$2*478</f>
        <v>16252</v>
      </c>
      <c r="F31" s="237">
        <f>$H$2*472</f>
        <v>16048</v>
      </c>
      <c r="G31" s="237">
        <f>$H$2*465</f>
        <v>15810</v>
      </c>
      <c r="H31" s="237">
        <f>$H$2*459</f>
        <v>15606</v>
      </c>
      <c r="I31" s="237">
        <f>$H$2*452</f>
        <v>15368</v>
      </c>
      <c r="J31" s="237">
        <f>$H$2*446</f>
        <v>15164</v>
      </c>
      <c r="K31" s="237">
        <f>$H$2*439</f>
        <v>14926</v>
      </c>
      <c r="L31" s="237">
        <f>$H$2*433</f>
        <v>14722</v>
      </c>
      <c r="M31" s="237">
        <f>$H$2*426</f>
        <v>14484</v>
      </c>
      <c r="N31" s="123"/>
    </row>
    <row r="32" spans="1:14">
      <c r="A32" s="123"/>
      <c r="B32" s="238">
        <v>0.6</v>
      </c>
      <c r="C32" s="237">
        <f>$H$2*478</f>
        <v>16252</v>
      </c>
      <c r="D32" s="237">
        <f>$H$2*472</f>
        <v>16048</v>
      </c>
      <c r="E32" s="237">
        <f>$H$2*465</f>
        <v>15810</v>
      </c>
      <c r="F32" s="237">
        <f>$H$2*459</f>
        <v>15606</v>
      </c>
      <c r="G32" s="237">
        <f>$H$2*452</f>
        <v>15368</v>
      </c>
      <c r="H32" s="237">
        <f>$H$2*446</f>
        <v>15164</v>
      </c>
      <c r="I32" s="237">
        <f>$H$2*439</f>
        <v>14926</v>
      </c>
      <c r="J32" s="237">
        <f>$H$2*433</f>
        <v>14722</v>
      </c>
      <c r="K32" s="237">
        <f>$H$2*426</f>
        <v>14484</v>
      </c>
      <c r="L32" s="237">
        <f>$H$2*420</f>
        <v>14280</v>
      </c>
      <c r="M32" s="237">
        <f>$H$2*413</f>
        <v>14042</v>
      </c>
      <c r="N32" s="123"/>
    </row>
    <row r="33" spans="1:14">
      <c r="A33" s="123"/>
      <c r="B33" s="238">
        <v>0.5</v>
      </c>
      <c r="C33" s="237">
        <f>$H$2*465</f>
        <v>15810</v>
      </c>
      <c r="D33" s="237">
        <f>$H$2*459</f>
        <v>15606</v>
      </c>
      <c r="E33" s="237">
        <f>$H$2*452</f>
        <v>15368</v>
      </c>
      <c r="F33" s="237">
        <f>$H$2*446</f>
        <v>15164</v>
      </c>
      <c r="G33" s="237">
        <f>$H$2*439</f>
        <v>14926</v>
      </c>
      <c r="H33" s="237">
        <f>$H$2*433</f>
        <v>14722</v>
      </c>
      <c r="I33" s="237">
        <f>$H$2*426</f>
        <v>14484</v>
      </c>
      <c r="J33" s="237">
        <f>$H$2*420</f>
        <v>14280</v>
      </c>
      <c r="K33" s="237">
        <f>$H$2*413</f>
        <v>14042</v>
      </c>
      <c r="L33" s="237">
        <f>$H$2*407</f>
        <v>13838</v>
      </c>
      <c r="M33" s="237">
        <f>$H$2*400</f>
        <v>13600</v>
      </c>
      <c r="N33" s="123"/>
    </row>
    <row r="34" spans="1:14" ht="3" customHeight="1">
      <c r="A34" s="239"/>
      <c r="B34" s="240"/>
      <c r="C34" s="241"/>
      <c r="D34" s="241"/>
      <c r="E34" s="241"/>
      <c r="F34" s="241"/>
      <c r="G34" s="241"/>
      <c r="H34" s="241"/>
      <c r="I34" s="241"/>
      <c r="J34" s="241"/>
      <c r="K34" s="241"/>
      <c r="L34" s="241"/>
      <c r="M34" s="242"/>
      <c r="N34" s="123"/>
    </row>
    <row r="35" spans="1:14">
      <c r="A35" s="123" t="s">
        <v>154</v>
      </c>
      <c r="B35" s="238"/>
      <c r="M35" s="3"/>
      <c r="N35" s="123"/>
    </row>
    <row r="36" spans="1:14">
      <c r="A36" s="123" t="s">
        <v>155</v>
      </c>
      <c r="B36" s="238"/>
      <c r="C36" s="237">
        <f>$H$2*310</f>
        <v>10540</v>
      </c>
      <c r="M36" s="3"/>
      <c r="N36" s="123"/>
    </row>
    <row r="37" spans="1:14">
      <c r="A37" s="85" t="s">
        <v>156</v>
      </c>
      <c r="B37" s="233"/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123"/>
    </row>
  </sheetData>
  <sheetProtection password="836F" sheet="1" objects="1" scenarios="1"/>
  <phoneticPr fontId="30" type="noConversion"/>
  <pageMargins left="0.78740157480314965" right="0.51181102362204722" top="0.98425196850393704" bottom="0.98425196850393704" header="0.51181102362204722" footer="0.51181102362204722"/>
  <pageSetup paperSize="9" orientation="portrait" horizontalDpi="360" verticalDpi="300" r:id="rId1"/>
  <headerFooter alignWithMargins="0">
    <oddHeader>&amp;L&amp;"Times New Roman,Fet\&amp;14Sveriges Elleverantörer&amp;R&amp;D</oddHeader>
    <oddFooter>&amp;L&amp;8&amp;F\&amp;A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Blad23"/>
  <dimension ref="A1:N37"/>
  <sheetViews>
    <sheetView workbookViewId="0">
      <selection activeCell="G9" sqref="G9"/>
    </sheetView>
  </sheetViews>
  <sheetFormatPr defaultRowHeight="12.75"/>
  <cols>
    <col min="1" max="1" width="10.85546875" customWidth="1"/>
    <col min="2" max="2" width="5.42578125" customWidth="1"/>
    <col min="3" max="13" width="6.28515625" customWidth="1"/>
    <col min="14" max="14" width="0.28515625" customWidth="1"/>
  </cols>
  <sheetData>
    <row r="1" spans="1:14" ht="24" customHeight="1">
      <c r="A1" s="228" t="s">
        <v>140</v>
      </c>
    </row>
    <row r="2" spans="1:14" ht="24" customHeight="1">
      <c r="A2" s="78" t="s">
        <v>141</v>
      </c>
      <c r="H2" s="229">
        <f>Fakta!$C$22</f>
        <v>34</v>
      </c>
    </row>
    <row r="3" spans="1:14" ht="24" customHeight="1">
      <c r="A3" s="78" t="s">
        <v>164</v>
      </c>
    </row>
    <row r="5" spans="1:14">
      <c r="A5" s="230" t="s">
        <v>143</v>
      </c>
      <c r="B5" s="231" t="s">
        <v>144</v>
      </c>
      <c r="C5" s="232" t="s">
        <v>145</v>
      </c>
      <c r="D5" s="232"/>
      <c r="E5" s="232"/>
      <c r="F5" s="232"/>
      <c r="G5" s="232"/>
      <c r="H5" s="232"/>
      <c r="I5" s="232"/>
      <c r="J5" s="232"/>
      <c r="K5" s="232"/>
      <c r="L5" s="232"/>
      <c r="M5" s="232"/>
      <c r="N5" s="123"/>
    </row>
    <row r="6" spans="1:14">
      <c r="A6" s="85" t="s">
        <v>146</v>
      </c>
      <c r="B6" s="233" t="s">
        <v>147</v>
      </c>
      <c r="C6" s="234">
        <v>10</v>
      </c>
      <c r="D6" s="234">
        <v>9.1</v>
      </c>
      <c r="E6" s="234">
        <v>8.1999999999999993</v>
      </c>
      <c r="F6" s="234">
        <v>7.3</v>
      </c>
      <c r="G6" s="234">
        <v>6.4</v>
      </c>
      <c r="H6" s="234">
        <v>5.5</v>
      </c>
      <c r="I6" s="234">
        <v>4.5999999999999996</v>
      </c>
      <c r="J6" s="234">
        <v>3.7</v>
      </c>
      <c r="K6" s="234">
        <v>2.8</v>
      </c>
      <c r="L6" s="234">
        <v>1.9</v>
      </c>
      <c r="M6" s="234">
        <v>0.1</v>
      </c>
      <c r="N6" s="123"/>
    </row>
    <row r="7" spans="1:14">
      <c r="A7" s="123"/>
      <c r="B7" s="235">
        <v>1</v>
      </c>
      <c r="C7" s="236">
        <f>$H$2*280</f>
        <v>9520</v>
      </c>
      <c r="D7" s="236">
        <f>$H$2*275</f>
        <v>9350</v>
      </c>
      <c r="E7" s="236">
        <f>$H$2*270</f>
        <v>9180</v>
      </c>
      <c r="F7" s="236">
        <f>$H$2*265</f>
        <v>9010</v>
      </c>
      <c r="G7" s="236">
        <f>$H$2*260</f>
        <v>8840</v>
      </c>
      <c r="H7" s="236">
        <f>$H$2*255</f>
        <v>8670</v>
      </c>
      <c r="I7" s="236">
        <f>$H$2*250</f>
        <v>8500</v>
      </c>
      <c r="J7" s="236">
        <f>$H$2*245</f>
        <v>8330</v>
      </c>
      <c r="K7" s="236">
        <f>$H$2*240</f>
        <v>8160</v>
      </c>
      <c r="L7" s="236">
        <f>$H$2*235</f>
        <v>7990</v>
      </c>
      <c r="M7" s="237">
        <f>$H$2*230</f>
        <v>7820</v>
      </c>
      <c r="N7" s="123"/>
    </row>
    <row r="8" spans="1:14">
      <c r="A8" s="123"/>
      <c r="B8" s="238">
        <v>0.9</v>
      </c>
      <c r="C8" s="236">
        <f>$H$2*270</f>
        <v>9180</v>
      </c>
      <c r="D8" s="236">
        <f>$H$2*265</f>
        <v>9010</v>
      </c>
      <c r="E8" s="236">
        <f>$H$2*260</f>
        <v>8840</v>
      </c>
      <c r="F8" s="236">
        <f>$H$2*255</f>
        <v>8670</v>
      </c>
      <c r="G8" s="236">
        <f>$H$2*250</f>
        <v>8500</v>
      </c>
      <c r="H8" s="236">
        <f>$H$2*245</f>
        <v>8330</v>
      </c>
      <c r="I8" s="236">
        <f>$H$2*240</f>
        <v>8160</v>
      </c>
      <c r="J8" s="236">
        <f>$H$2*235</f>
        <v>7990</v>
      </c>
      <c r="K8" s="237">
        <f>$H$2*230</f>
        <v>7820</v>
      </c>
      <c r="L8" s="236">
        <f>$H$2*225</f>
        <v>7650</v>
      </c>
      <c r="M8" s="237">
        <f>$H$2*220</f>
        <v>7480</v>
      </c>
      <c r="N8" s="123"/>
    </row>
    <row r="9" spans="1:14">
      <c r="A9" s="123" t="s">
        <v>148</v>
      </c>
      <c r="B9" s="238">
        <v>0.8</v>
      </c>
      <c r="C9" s="236">
        <f>$H$2*260</f>
        <v>8840</v>
      </c>
      <c r="D9" s="236">
        <f>$H$2*255</f>
        <v>8670</v>
      </c>
      <c r="E9" s="236">
        <f>$H$2*250</f>
        <v>8500</v>
      </c>
      <c r="F9" s="236">
        <f>$H$2*245</f>
        <v>8330</v>
      </c>
      <c r="G9" s="236">
        <f>$H$2*240</f>
        <v>8160</v>
      </c>
      <c r="H9" s="236">
        <f>$H$2*235</f>
        <v>7990</v>
      </c>
      <c r="I9" s="237">
        <f>$H$2*230</f>
        <v>7820</v>
      </c>
      <c r="J9" s="236">
        <f>$H$2*225</f>
        <v>7650</v>
      </c>
      <c r="K9" s="237">
        <f>$H$2*220</f>
        <v>7480</v>
      </c>
      <c r="L9" s="236">
        <f>$H$2*215</f>
        <v>7310</v>
      </c>
      <c r="M9" s="237">
        <f>$H$2*210</f>
        <v>7140</v>
      </c>
      <c r="N9" s="123"/>
    </row>
    <row r="10" spans="1:14">
      <c r="A10" s="123" t="s">
        <v>149</v>
      </c>
      <c r="B10" s="238">
        <v>0.7</v>
      </c>
      <c r="C10" s="236">
        <f>$H$2*250</f>
        <v>8500</v>
      </c>
      <c r="D10" s="236">
        <f>$H$2*245</f>
        <v>8330</v>
      </c>
      <c r="E10" s="236">
        <f>$H$2*240</f>
        <v>8160</v>
      </c>
      <c r="F10" s="236">
        <f>$H$2*235</f>
        <v>7990</v>
      </c>
      <c r="G10" s="237">
        <f>$H$2*230</f>
        <v>7820</v>
      </c>
      <c r="H10" s="236">
        <f>$H$2*225</f>
        <v>7650</v>
      </c>
      <c r="I10" s="237">
        <f>$H$2*220</f>
        <v>7480</v>
      </c>
      <c r="J10" s="236">
        <f>$H$2*215</f>
        <v>7310</v>
      </c>
      <c r="K10" s="237">
        <f>$H$2*210</f>
        <v>7140</v>
      </c>
      <c r="L10" s="236">
        <f>$H$2*205</f>
        <v>6970</v>
      </c>
      <c r="M10" s="237">
        <f>$H$2*200</f>
        <v>6800</v>
      </c>
      <c r="N10" s="123"/>
    </row>
    <row r="11" spans="1:14">
      <c r="A11" s="123"/>
      <c r="B11" s="238">
        <v>0.6</v>
      </c>
      <c r="C11" s="236">
        <f>$H$2*240</f>
        <v>8160</v>
      </c>
      <c r="D11" s="236">
        <f>$H$2*235</f>
        <v>7990</v>
      </c>
      <c r="E11" s="237">
        <f>$H$2*230</f>
        <v>7820</v>
      </c>
      <c r="F11" s="236">
        <f>$H$2*225</f>
        <v>7650</v>
      </c>
      <c r="G11" s="237">
        <f>$H$2*220</f>
        <v>7480</v>
      </c>
      <c r="H11" s="236">
        <f>$H$2*215</f>
        <v>7310</v>
      </c>
      <c r="I11" s="237">
        <f>$H$2*210</f>
        <v>7140</v>
      </c>
      <c r="J11" s="236">
        <f>$H$2*205</f>
        <v>6970</v>
      </c>
      <c r="K11" s="237">
        <f>$H$2*200</f>
        <v>6800</v>
      </c>
      <c r="L11" s="236">
        <f>$H$2*195</f>
        <v>6630</v>
      </c>
      <c r="M11" s="237">
        <f>$H$2*190</f>
        <v>6460</v>
      </c>
      <c r="N11" s="123"/>
    </row>
    <row r="12" spans="1:14">
      <c r="A12" s="123"/>
      <c r="B12" s="238">
        <v>0.5</v>
      </c>
      <c r="C12" s="237">
        <f>$H$2*230</f>
        <v>7820</v>
      </c>
      <c r="D12" s="236">
        <f>$H$2*225</f>
        <v>7650</v>
      </c>
      <c r="E12" s="237">
        <f>$H$2*220</f>
        <v>7480</v>
      </c>
      <c r="F12" s="236">
        <f>$H$2*215</f>
        <v>7310</v>
      </c>
      <c r="G12" s="237">
        <f>$H$2*210</f>
        <v>7140</v>
      </c>
      <c r="H12" s="236">
        <f>$H$2*205</f>
        <v>6970</v>
      </c>
      <c r="I12" s="237">
        <f>$H$2*200</f>
        <v>6800</v>
      </c>
      <c r="J12" s="236">
        <f>$H$2*195</f>
        <v>6630</v>
      </c>
      <c r="K12" s="237">
        <f>$H$2*190</f>
        <v>6460</v>
      </c>
      <c r="L12" s="236">
        <f>$H$2*185</f>
        <v>6290</v>
      </c>
      <c r="M12" s="237">
        <f>$H$2*180</f>
        <v>6120</v>
      </c>
      <c r="N12" s="123"/>
    </row>
    <row r="13" spans="1:14" ht="3" customHeight="1">
      <c r="A13" s="239"/>
      <c r="B13" s="240"/>
      <c r="C13" s="241"/>
      <c r="D13" s="241"/>
      <c r="E13" s="241"/>
      <c r="F13" s="241"/>
      <c r="G13" s="241"/>
      <c r="H13" s="241"/>
      <c r="I13" s="241"/>
      <c r="J13" s="241"/>
      <c r="K13" s="241"/>
      <c r="L13" s="241"/>
      <c r="M13" s="242"/>
      <c r="N13" s="123"/>
    </row>
    <row r="14" spans="1:14">
      <c r="A14" s="123"/>
      <c r="B14" s="235">
        <v>1</v>
      </c>
      <c r="C14" s="236">
        <f>$H$2*410</f>
        <v>13940</v>
      </c>
      <c r="D14" s="236">
        <f>$H$2*402</f>
        <v>13668</v>
      </c>
      <c r="E14" s="236">
        <f>$H$2*393</f>
        <v>13362</v>
      </c>
      <c r="F14" s="236">
        <f>$H$2*385</f>
        <v>13090</v>
      </c>
      <c r="G14" s="236">
        <f>$H$2*376</f>
        <v>12784</v>
      </c>
      <c r="H14" s="236">
        <f>$H$2*368</f>
        <v>12512</v>
      </c>
      <c r="I14" s="236">
        <f>$H$2*359</f>
        <v>12206</v>
      </c>
      <c r="J14" s="236">
        <f>$H$2*351</f>
        <v>11934</v>
      </c>
      <c r="K14" s="236">
        <f>$H$2*342</f>
        <v>11628</v>
      </c>
      <c r="L14" s="236">
        <f>$H$2*334</f>
        <v>11356</v>
      </c>
      <c r="M14" s="237">
        <f>$H$2*325</f>
        <v>11050</v>
      </c>
      <c r="N14" s="123"/>
    </row>
    <row r="15" spans="1:14">
      <c r="A15" s="123"/>
      <c r="B15" s="238">
        <v>0.9</v>
      </c>
      <c r="C15" s="236">
        <f>$H$2*393</f>
        <v>13362</v>
      </c>
      <c r="D15" s="236">
        <f>$H$2*385</f>
        <v>13090</v>
      </c>
      <c r="E15" s="236">
        <f>$H$2*376</f>
        <v>12784</v>
      </c>
      <c r="F15" s="236">
        <f>$H$2*368</f>
        <v>12512</v>
      </c>
      <c r="G15" s="236">
        <f>$H$2*359</f>
        <v>12206</v>
      </c>
      <c r="H15" s="236">
        <f>$H$2*351</f>
        <v>11934</v>
      </c>
      <c r="I15" s="236">
        <f>$H$2*342</f>
        <v>11628</v>
      </c>
      <c r="J15" s="236">
        <f>$H$2*334</f>
        <v>11356</v>
      </c>
      <c r="K15" s="237">
        <f>$H$2*325</f>
        <v>11050</v>
      </c>
      <c r="L15" s="237">
        <f>$H$2*317</f>
        <v>10778</v>
      </c>
      <c r="M15" s="237">
        <f>$H$2*308</f>
        <v>10472</v>
      </c>
      <c r="N15" s="123"/>
    </row>
    <row r="16" spans="1:14">
      <c r="A16" s="123" t="s">
        <v>150</v>
      </c>
      <c r="B16" s="238">
        <v>0.8</v>
      </c>
      <c r="C16" s="236">
        <f>$H$2*376</f>
        <v>12784</v>
      </c>
      <c r="D16" s="236">
        <f>$H$2*368</f>
        <v>12512</v>
      </c>
      <c r="E16" s="236">
        <f>$H$2*359</f>
        <v>12206</v>
      </c>
      <c r="F16" s="236">
        <f>$H$2*351</f>
        <v>11934</v>
      </c>
      <c r="G16" s="236">
        <f>$H$2*342</f>
        <v>11628</v>
      </c>
      <c r="H16" s="236">
        <f>$H$2*334</f>
        <v>11356</v>
      </c>
      <c r="I16" s="237">
        <f>$H$2*325</f>
        <v>11050</v>
      </c>
      <c r="J16" s="237">
        <f>$H$2*317</f>
        <v>10778</v>
      </c>
      <c r="K16" s="237">
        <f>$H$2*308</f>
        <v>10472</v>
      </c>
      <c r="L16" s="237">
        <f>$H$2*300</f>
        <v>10200</v>
      </c>
      <c r="M16" s="237">
        <f>$H$2*291</f>
        <v>9894</v>
      </c>
      <c r="N16" s="123"/>
    </row>
    <row r="17" spans="1:14">
      <c r="A17" s="123" t="s">
        <v>149</v>
      </c>
      <c r="B17" s="238">
        <v>0.7</v>
      </c>
      <c r="C17" s="236">
        <f>$H$2*359</f>
        <v>12206</v>
      </c>
      <c r="D17" s="236">
        <f>$H$2*351</f>
        <v>11934</v>
      </c>
      <c r="E17" s="236">
        <f>$H$2*342</f>
        <v>11628</v>
      </c>
      <c r="F17" s="236">
        <f>$H$2*334</f>
        <v>11356</v>
      </c>
      <c r="G17" s="237">
        <f>$H$2*325</f>
        <v>11050</v>
      </c>
      <c r="H17" s="237">
        <f>$H$2*317</f>
        <v>10778</v>
      </c>
      <c r="I17" s="237">
        <f>$H$2*308</f>
        <v>10472</v>
      </c>
      <c r="J17" s="237">
        <f>$H$2*300</f>
        <v>10200</v>
      </c>
      <c r="K17" s="237">
        <f>$H$2*291</f>
        <v>9894</v>
      </c>
      <c r="L17" s="237">
        <f>$H$2*283</f>
        <v>9622</v>
      </c>
      <c r="M17" s="237">
        <f>$H$2*274</f>
        <v>9316</v>
      </c>
      <c r="N17" s="123"/>
    </row>
    <row r="18" spans="1:14">
      <c r="A18" s="123"/>
      <c r="B18" s="238">
        <v>0.6</v>
      </c>
      <c r="C18" s="236">
        <f>$H$2*342</f>
        <v>11628</v>
      </c>
      <c r="D18" s="236">
        <f>$H$2*334</f>
        <v>11356</v>
      </c>
      <c r="E18" s="237">
        <f>$H$2*325</f>
        <v>11050</v>
      </c>
      <c r="F18" s="237">
        <f>$H$2*317</f>
        <v>10778</v>
      </c>
      <c r="G18" s="237">
        <f>$H$2*308</f>
        <v>10472</v>
      </c>
      <c r="H18" s="237">
        <f>$H$2*300</f>
        <v>10200</v>
      </c>
      <c r="I18" s="237">
        <f>$H$2*291</f>
        <v>9894</v>
      </c>
      <c r="J18" s="237">
        <f>$H$2*283</f>
        <v>9622</v>
      </c>
      <c r="K18" s="237">
        <f>$H$2*274</f>
        <v>9316</v>
      </c>
      <c r="L18" s="237">
        <f>$H$2*266</f>
        <v>9044</v>
      </c>
      <c r="M18" s="237">
        <f>$H$2*257</f>
        <v>8738</v>
      </c>
      <c r="N18" s="123"/>
    </row>
    <row r="19" spans="1:14">
      <c r="A19" s="123"/>
      <c r="B19" s="238">
        <v>0.5</v>
      </c>
      <c r="C19" s="237">
        <f>$H$2*325</f>
        <v>11050</v>
      </c>
      <c r="D19" s="237">
        <f>$H$2*317</f>
        <v>10778</v>
      </c>
      <c r="E19" s="237">
        <f>$H$2*308</f>
        <v>10472</v>
      </c>
      <c r="F19" s="237">
        <f>$H$2*300</f>
        <v>10200</v>
      </c>
      <c r="G19" s="237">
        <f>$H$2*291</f>
        <v>9894</v>
      </c>
      <c r="H19" s="237">
        <f>$H$2*283</f>
        <v>9622</v>
      </c>
      <c r="I19" s="237">
        <f>$H$2*274</f>
        <v>9316</v>
      </c>
      <c r="J19" s="237">
        <f>$H$2*266</f>
        <v>9044</v>
      </c>
      <c r="K19" s="237">
        <f>$H$2*257</f>
        <v>8738</v>
      </c>
      <c r="L19" s="237">
        <f>$H$2*249</f>
        <v>8466</v>
      </c>
      <c r="M19" s="237">
        <f>$H$2*240</f>
        <v>8160</v>
      </c>
      <c r="N19" s="123"/>
    </row>
    <row r="20" spans="1:14" ht="3" customHeight="1">
      <c r="A20" s="239"/>
      <c r="B20" s="240"/>
      <c r="C20" s="241"/>
      <c r="D20" s="241"/>
      <c r="E20" s="241"/>
      <c r="F20" s="241"/>
      <c r="G20" s="241"/>
      <c r="H20" s="241"/>
      <c r="I20" s="241"/>
      <c r="J20" s="241"/>
      <c r="K20" s="241"/>
      <c r="L20" s="241"/>
      <c r="M20" s="242"/>
      <c r="N20" s="123"/>
    </row>
    <row r="21" spans="1:14">
      <c r="A21" s="123"/>
      <c r="B21" s="235">
        <v>1</v>
      </c>
      <c r="C21" s="237">
        <f>$H$2*370</f>
        <v>12580</v>
      </c>
      <c r="D21" s="237">
        <f>$H$2*364</f>
        <v>12376</v>
      </c>
      <c r="E21" s="237">
        <f>$H$2*357</f>
        <v>12138</v>
      </c>
      <c r="F21" s="237">
        <f>$H$2*351</f>
        <v>11934</v>
      </c>
      <c r="G21" s="237">
        <f>$H$2*344</f>
        <v>11696</v>
      </c>
      <c r="H21" s="237">
        <f>$H$2*338</f>
        <v>11492</v>
      </c>
      <c r="I21" s="237">
        <f>$H$2*331</f>
        <v>11254</v>
      </c>
      <c r="J21" s="237">
        <f>$H$2*325</f>
        <v>11050</v>
      </c>
      <c r="K21" s="237">
        <f>$H$2*318</f>
        <v>10812</v>
      </c>
      <c r="L21" s="237">
        <f>$H$2*312</f>
        <v>10608</v>
      </c>
      <c r="M21" s="237">
        <f>$H$2*305</f>
        <v>10370</v>
      </c>
      <c r="N21" s="123"/>
    </row>
    <row r="22" spans="1:14">
      <c r="A22" s="123"/>
      <c r="B22" s="238">
        <v>0.9</v>
      </c>
      <c r="C22" s="237">
        <f>$H$2*357</f>
        <v>12138</v>
      </c>
      <c r="D22" s="237">
        <f>$H$2*351</f>
        <v>11934</v>
      </c>
      <c r="E22" s="237">
        <f>$H$2*344</f>
        <v>11696</v>
      </c>
      <c r="F22" s="237">
        <f>$H$2*338</f>
        <v>11492</v>
      </c>
      <c r="G22" s="237">
        <f>$H$2*331</f>
        <v>11254</v>
      </c>
      <c r="H22" s="237">
        <f>$H$2*325</f>
        <v>11050</v>
      </c>
      <c r="I22" s="237">
        <f>$H$2*318</f>
        <v>10812</v>
      </c>
      <c r="J22" s="237">
        <f>$H$2*312</f>
        <v>10608</v>
      </c>
      <c r="K22" s="237">
        <f>$H$2*305</f>
        <v>10370</v>
      </c>
      <c r="L22" s="237">
        <f>$H$2*299</f>
        <v>10166</v>
      </c>
      <c r="M22" s="237">
        <f>$H$2*292</f>
        <v>9928</v>
      </c>
      <c r="N22" s="123"/>
    </row>
    <row r="23" spans="1:14">
      <c r="A23" s="123" t="s">
        <v>151</v>
      </c>
      <c r="B23" s="238">
        <v>0.8</v>
      </c>
      <c r="C23" s="237">
        <f>$H$2*344</f>
        <v>11696</v>
      </c>
      <c r="D23" s="237">
        <f>$H$2*338</f>
        <v>11492</v>
      </c>
      <c r="E23" s="237">
        <f>$H$2*331</f>
        <v>11254</v>
      </c>
      <c r="F23" s="237">
        <f>$H$2*325</f>
        <v>11050</v>
      </c>
      <c r="G23" s="237">
        <f>$H$2*318</f>
        <v>10812</v>
      </c>
      <c r="H23" s="237">
        <f>$H$2*312</f>
        <v>10608</v>
      </c>
      <c r="I23" s="237">
        <f>$H$2*305</f>
        <v>10370</v>
      </c>
      <c r="J23" s="237">
        <f>$H$2*299</f>
        <v>10166</v>
      </c>
      <c r="K23" s="237">
        <f>$H$2*292</f>
        <v>9928</v>
      </c>
      <c r="L23" s="237">
        <f>$H$2*286</f>
        <v>9724</v>
      </c>
      <c r="M23" s="237">
        <f>$H$2*279</f>
        <v>9486</v>
      </c>
      <c r="N23" s="123"/>
    </row>
    <row r="24" spans="1:14">
      <c r="A24" s="123" t="s">
        <v>149</v>
      </c>
      <c r="B24" s="238">
        <v>0.7</v>
      </c>
      <c r="C24" s="237">
        <f>$H$2*331</f>
        <v>11254</v>
      </c>
      <c r="D24" s="237">
        <f>$H$2*325</f>
        <v>11050</v>
      </c>
      <c r="E24" s="237">
        <f>$H$2*318</f>
        <v>10812</v>
      </c>
      <c r="F24" s="237">
        <f>$H$2*312</f>
        <v>10608</v>
      </c>
      <c r="G24" s="237">
        <f>$H$2*305</f>
        <v>10370</v>
      </c>
      <c r="H24" s="237">
        <f>$H$2*299</f>
        <v>10166</v>
      </c>
      <c r="I24" s="237">
        <f>$H$2*292</f>
        <v>9928</v>
      </c>
      <c r="J24" s="237">
        <f>$H$2*286</f>
        <v>9724</v>
      </c>
      <c r="K24" s="237">
        <f>$H$2*279</f>
        <v>9486</v>
      </c>
      <c r="L24" s="237">
        <f>$H$2*273</f>
        <v>9282</v>
      </c>
      <c r="M24" s="237">
        <f>$H$2*266</f>
        <v>9044</v>
      </c>
      <c r="N24" s="123"/>
    </row>
    <row r="25" spans="1:14">
      <c r="A25" s="123"/>
      <c r="B25" s="238">
        <v>0.6</v>
      </c>
      <c r="C25" s="237">
        <f>$H$2*318</f>
        <v>10812</v>
      </c>
      <c r="D25" s="237">
        <f>$H$2*312</f>
        <v>10608</v>
      </c>
      <c r="E25" s="237">
        <f>$H$2*305</f>
        <v>10370</v>
      </c>
      <c r="F25" s="237">
        <f>$H$2*299</f>
        <v>10166</v>
      </c>
      <c r="G25" s="237">
        <f>$H$2*292</f>
        <v>9928</v>
      </c>
      <c r="H25" s="237">
        <f>$H$2*286</f>
        <v>9724</v>
      </c>
      <c r="I25" s="237">
        <f>$H$2*279</f>
        <v>9486</v>
      </c>
      <c r="J25" s="237">
        <f>$H$2*273</f>
        <v>9282</v>
      </c>
      <c r="K25" s="237">
        <f>$H$2*266</f>
        <v>9044</v>
      </c>
      <c r="L25" s="237">
        <f>$H$2*260</f>
        <v>8840</v>
      </c>
      <c r="M25" s="237">
        <f>$H$2*253</f>
        <v>8602</v>
      </c>
      <c r="N25" s="123"/>
    </row>
    <row r="26" spans="1:14">
      <c r="A26" s="123"/>
      <c r="B26" s="238">
        <v>0.5</v>
      </c>
      <c r="C26" s="237">
        <f>$H$2*305</f>
        <v>10370</v>
      </c>
      <c r="D26" s="237">
        <f>$H$2*299</f>
        <v>10166</v>
      </c>
      <c r="E26" s="237">
        <f>$H$2*292</f>
        <v>9928</v>
      </c>
      <c r="F26" s="237">
        <f>$H$2*286</f>
        <v>9724</v>
      </c>
      <c r="G26" s="237">
        <f>$H$2*279</f>
        <v>9486</v>
      </c>
      <c r="H26" s="237">
        <f>$H$2*273</f>
        <v>9282</v>
      </c>
      <c r="I26" s="237">
        <f>$H$2*266</f>
        <v>9044</v>
      </c>
      <c r="J26" s="237">
        <f>$H$2*260</f>
        <v>8840</v>
      </c>
      <c r="K26" s="237">
        <f>$H$2*253</f>
        <v>8602</v>
      </c>
      <c r="L26" s="237">
        <f>$H$2*247</f>
        <v>8398</v>
      </c>
      <c r="M26" s="237">
        <f>$H$2*240</f>
        <v>8160</v>
      </c>
      <c r="N26" s="123"/>
    </row>
    <row r="27" spans="1:14" ht="3" customHeight="1">
      <c r="A27" s="239"/>
      <c r="B27" s="240"/>
      <c r="C27" s="241"/>
      <c r="D27" s="241"/>
      <c r="E27" s="241"/>
      <c r="F27" s="241"/>
      <c r="G27" s="241"/>
      <c r="H27" s="241"/>
      <c r="I27" s="241"/>
      <c r="J27" s="241"/>
      <c r="K27" s="241"/>
      <c r="L27" s="241"/>
      <c r="M27" s="242"/>
      <c r="N27" s="123"/>
    </row>
    <row r="28" spans="1:14">
      <c r="A28" s="123"/>
      <c r="B28" s="235">
        <v>1</v>
      </c>
      <c r="C28" s="237">
        <f>$H$2*300</f>
        <v>10200</v>
      </c>
      <c r="D28" s="237">
        <f>$H$2*296</f>
        <v>10064</v>
      </c>
      <c r="E28" s="237">
        <f>$H$2*292</f>
        <v>9928</v>
      </c>
      <c r="F28" s="237">
        <f>$H$2*288</f>
        <v>9792</v>
      </c>
      <c r="G28" s="237">
        <f>$H$2*284</f>
        <v>9656</v>
      </c>
      <c r="H28" s="237">
        <f>$H$2*280</f>
        <v>9520</v>
      </c>
      <c r="I28" s="237">
        <f>$H$2*276</f>
        <v>9384</v>
      </c>
      <c r="J28" s="237">
        <f>$H$2*272</f>
        <v>9248</v>
      </c>
      <c r="K28" s="237">
        <f>$H$2*268</f>
        <v>9112</v>
      </c>
      <c r="L28" s="237">
        <f>$H$2*264</f>
        <v>8976</v>
      </c>
      <c r="M28" s="237">
        <f>$H$2*260</f>
        <v>8840</v>
      </c>
      <c r="N28" s="123"/>
    </row>
    <row r="29" spans="1:14">
      <c r="A29" s="123"/>
      <c r="B29" s="238">
        <v>0.9</v>
      </c>
      <c r="C29" s="237">
        <f>$H$2*292</f>
        <v>9928</v>
      </c>
      <c r="D29" s="237">
        <f>$H$2*288</f>
        <v>9792</v>
      </c>
      <c r="E29" s="237">
        <f>$H$2*284</f>
        <v>9656</v>
      </c>
      <c r="F29" s="237">
        <f>$H$2*280</f>
        <v>9520</v>
      </c>
      <c r="G29" s="237">
        <f>$H$2*276</f>
        <v>9384</v>
      </c>
      <c r="H29" s="237">
        <f>$H$2*272</f>
        <v>9248</v>
      </c>
      <c r="I29" s="237">
        <f>$H$2*268</f>
        <v>9112</v>
      </c>
      <c r="J29" s="237">
        <f>$H$2*264</f>
        <v>8976</v>
      </c>
      <c r="K29" s="237">
        <f>$H$2*260</f>
        <v>8840</v>
      </c>
      <c r="L29" s="237">
        <f>$H$2*256</f>
        <v>8704</v>
      </c>
      <c r="M29" s="237">
        <f>$H$2*252</f>
        <v>8568</v>
      </c>
      <c r="N29" s="123"/>
    </row>
    <row r="30" spans="1:14">
      <c r="A30" s="123" t="s">
        <v>152</v>
      </c>
      <c r="B30" s="238">
        <v>0.8</v>
      </c>
      <c r="C30" s="237">
        <f>$H$2*284</f>
        <v>9656</v>
      </c>
      <c r="D30" s="237">
        <f>$H$2*280</f>
        <v>9520</v>
      </c>
      <c r="E30" s="237">
        <f>$H$2*276</f>
        <v>9384</v>
      </c>
      <c r="F30" s="237">
        <f>$H$2*272</f>
        <v>9248</v>
      </c>
      <c r="G30" s="237">
        <f>$H$2*268</f>
        <v>9112</v>
      </c>
      <c r="H30" s="237">
        <f>$H$2*264</f>
        <v>8976</v>
      </c>
      <c r="I30" s="237">
        <f>$H$2*260</f>
        <v>8840</v>
      </c>
      <c r="J30" s="237">
        <f>$H$2*256</f>
        <v>8704</v>
      </c>
      <c r="K30" s="237">
        <f>$H$2*252</f>
        <v>8568</v>
      </c>
      <c r="L30" s="237">
        <f>$H$2*248</f>
        <v>8432</v>
      </c>
      <c r="M30" s="237">
        <f>$H$2*244</f>
        <v>8296</v>
      </c>
      <c r="N30" s="123"/>
    </row>
    <row r="31" spans="1:14">
      <c r="A31" s="123" t="s">
        <v>153</v>
      </c>
      <c r="B31" s="238">
        <v>0.7</v>
      </c>
      <c r="C31" s="237">
        <f>$H$2*276</f>
        <v>9384</v>
      </c>
      <c r="D31" s="237">
        <f>$H$2*272</f>
        <v>9248</v>
      </c>
      <c r="E31" s="237">
        <f>$H$2*268</f>
        <v>9112</v>
      </c>
      <c r="F31" s="237">
        <f>$H$2*264</f>
        <v>8976</v>
      </c>
      <c r="G31" s="237">
        <f>$H$2*260</f>
        <v>8840</v>
      </c>
      <c r="H31" s="237">
        <f>$H$2*256</f>
        <v>8704</v>
      </c>
      <c r="I31" s="237">
        <f>$H$2*252</f>
        <v>8568</v>
      </c>
      <c r="J31" s="237">
        <f>$H$2*248</f>
        <v>8432</v>
      </c>
      <c r="K31" s="237">
        <f>$H$2*244</f>
        <v>8296</v>
      </c>
      <c r="L31" s="237">
        <f>$H$2*240</f>
        <v>8160</v>
      </c>
      <c r="M31" s="237">
        <f>$H$2*236</f>
        <v>8024</v>
      </c>
      <c r="N31" s="123"/>
    </row>
    <row r="32" spans="1:14">
      <c r="A32" s="123"/>
      <c r="B32" s="238">
        <v>0.6</v>
      </c>
      <c r="C32" s="237">
        <f>$H$2*268</f>
        <v>9112</v>
      </c>
      <c r="D32" s="237">
        <f>$H$2*264</f>
        <v>8976</v>
      </c>
      <c r="E32" s="237">
        <f>$H$2*260</f>
        <v>8840</v>
      </c>
      <c r="F32" s="237">
        <f>$H$2*256</f>
        <v>8704</v>
      </c>
      <c r="G32" s="237">
        <f>$H$2*252</f>
        <v>8568</v>
      </c>
      <c r="H32" s="237">
        <f>$H$2*248</f>
        <v>8432</v>
      </c>
      <c r="I32" s="237">
        <f>$H$2*244</f>
        <v>8296</v>
      </c>
      <c r="J32" s="237">
        <f>$H$2*240</f>
        <v>8160</v>
      </c>
      <c r="K32" s="237">
        <f>$H$2*236</f>
        <v>8024</v>
      </c>
      <c r="L32" s="237">
        <f>$H$2*232</f>
        <v>7888</v>
      </c>
      <c r="M32" s="237">
        <f>$H$2*228</f>
        <v>7752</v>
      </c>
      <c r="N32" s="123"/>
    </row>
    <row r="33" spans="1:14">
      <c r="A33" s="123"/>
      <c r="B33" s="238">
        <v>0.5</v>
      </c>
      <c r="C33" s="237">
        <f>$H$2*260</f>
        <v>8840</v>
      </c>
      <c r="D33" s="237">
        <f>$H$2*256</f>
        <v>8704</v>
      </c>
      <c r="E33" s="237">
        <f>$H$2*252</f>
        <v>8568</v>
      </c>
      <c r="F33" s="237">
        <f>$H$2*248</f>
        <v>8432</v>
      </c>
      <c r="G33" s="237">
        <f>$H$2*244</f>
        <v>8296</v>
      </c>
      <c r="H33" s="237">
        <f>$H$2*240</f>
        <v>8160</v>
      </c>
      <c r="I33" s="237">
        <f>$H$2*236</f>
        <v>8024</v>
      </c>
      <c r="J33" s="237">
        <f>$H$2*232</f>
        <v>7888</v>
      </c>
      <c r="K33" s="237">
        <f>$H$2*228</f>
        <v>7752</v>
      </c>
      <c r="L33" s="237">
        <f>$H$2*224</f>
        <v>7616</v>
      </c>
      <c r="M33" s="237">
        <f>$H$2*220</f>
        <v>7480</v>
      </c>
      <c r="N33" s="123"/>
    </row>
    <row r="34" spans="1:14" ht="3" customHeight="1">
      <c r="A34" s="239"/>
      <c r="B34" s="240"/>
      <c r="C34" s="241"/>
      <c r="D34" s="241"/>
      <c r="E34" s="241"/>
      <c r="F34" s="241"/>
      <c r="G34" s="241"/>
      <c r="H34" s="241"/>
      <c r="I34" s="241"/>
      <c r="J34" s="241"/>
      <c r="K34" s="241"/>
      <c r="L34" s="241"/>
      <c r="M34" s="242"/>
      <c r="N34" s="123"/>
    </row>
    <row r="35" spans="1:14">
      <c r="A35" s="123" t="s">
        <v>154</v>
      </c>
      <c r="B35" s="238"/>
      <c r="M35" s="3"/>
      <c r="N35" s="123"/>
    </row>
    <row r="36" spans="1:14">
      <c r="A36" s="123" t="s">
        <v>155</v>
      </c>
      <c r="B36" s="238"/>
      <c r="C36" s="237">
        <f>$H$2*150</f>
        <v>5100</v>
      </c>
      <c r="M36" s="3"/>
      <c r="N36" s="123"/>
    </row>
    <row r="37" spans="1:14">
      <c r="A37" s="85" t="s">
        <v>156</v>
      </c>
      <c r="B37" s="233"/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123"/>
    </row>
  </sheetData>
  <sheetProtection password="836F" sheet="1" objects="1" scenarios="1"/>
  <phoneticPr fontId="30" type="noConversion"/>
  <pageMargins left="0.78740157480314965" right="0.51181102362204722" top="0.98425196850393704" bottom="0.98425196850393704" header="0.51181102362204722" footer="0.51181102362204722"/>
  <pageSetup paperSize="9" orientation="portrait" horizontalDpi="360" verticalDpi="300" r:id="rId1"/>
  <headerFooter alignWithMargins="0">
    <oddHeader>&amp;L&amp;"Times New Roman,Fet\&amp;14Sveriges Elleverantörer&amp;R&amp;D</oddHeader>
    <oddFooter>&amp;L&amp;8&amp;F\&amp;A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Blad24"/>
  <dimension ref="B3:H37"/>
  <sheetViews>
    <sheetView workbookViewId="0">
      <selection activeCell="D31" sqref="D31"/>
    </sheetView>
  </sheetViews>
  <sheetFormatPr defaultRowHeight="12.75"/>
  <cols>
    <col min="2" max="2" width="10.140625" customWidth="1"/>
    <col min="3" max="3" width="18.28515625" customWidth="1"/>
    <col min="5" max="5" width="11.28515625" customWidth="1"/>
    <col min="8" max="9" width="10.140625" bestFit="1" customWidth="1"/>
  </cols>
  <sheetData>
    <row r="3" spans="2:5">
      <c r="B3" s="467" t="s">
        <v>62</v>
      </c>
      <c r="C3" s="468"/>
      <c r="D3" s="243" t="s">
        <v>165</v>
      </c>
      <c r="E3" s="243" t="s">
        <v>166</v>
      </c>
    </row>
    <row r="4" spans="2:5">
      <c r="B4" s="244" t="s">
        <v>167</v>
      </c>
      <c r="C4" s="245" t="s">
        <v>168</v>
      </c>
      <c r="D4" s="271">
        <v>2</v>
      </c>
      <c r="E4" s="272" t="str">
        <f>LOOKUP(D4,B5:C8)</f>
        <v>II</v>
      </c>
    </row>
    <row r="5" spans="2:5">
      <c r="B5" s="246">
        <v>1</v>
      </c>
      <c r="C5" s="247" t="s">
        <v>169</v>
      </c>
      <c r="D5" s="243"/>
      <c r="E5" s="243"/>
    </row>
    <row r="6" spans="2:5">
      <c r="B6" s="248">
        <v>2</v>
      </c>
      <c r="C6" s="249" t="s">
        <v>170</v>
      </c>
      <c r="D6" s="243"/>
      <c r="E6" s="243"/>
    </row>
    <row r="7" spans="2:5">
      <c r="B7" s="248">
        <v>3</v>
      </c>
      <c r="C7" s="288" t="s">
        <v>171</v>
      </c>
      <c r="D7" s="248"/>
      <c r="E7" s="243"/>
    </row>
    <row r="8" spans="2:5">
      <c r="B8" s="244">
        <v>4</v>
      </c>
      <c r="C8" s="287" t="s">
        <v>125</v>
      </c>
      <c r="D8" s="248"/>
      <c r="E8" s="243"/>
    </row>
    <row r="9" spans="2:5">
      <c r="B9" s="243"/>
      <c r="C9" s="243"/>
      <c r="D9" s="243"/>
      <c r="E9" s="243"/>
    </row>
    <row r="10" spans="2:5">
      <c r="B10" s="243"/>
      <c r="C10" s="243"/>
      <c r="D10" s="243"/>
      <c r="E10" s="243"/>
    </row>
    <row r="11" spans="2:5">
      <c r="B11" s="243"/>
      <c r="C11" s="243"/>
      <c r="D11" s="243"/>
      <c r="E11" s="243"/>
    </row>
    <row r="12" spans="2:5">
      <c r="B12" s="243"/>
      <c r="C12" s="243"/>
      <c r="D12" s="243"/>
      <c r="E12" s="243"/>
    </row>
    <row r="13" spans="2:5">
      <c r="B13" s="467" t="s">
        <v>63</v>
      </c>
      <c r="C13" s="469"/>
      <c r="D13" s="243" t="s">
        <v>165</v>
      </c>
      <c r="E13" s="243" t="s">
        <v>166</v>
      </c>
    </row>
    <row r="14" spans="2:5">
      <c r="B14" s="244" t="s">
        <v>167</v>
      </c>
      <c r="C14" s="245" t="s">
        <v>168</v>
      </c>
      <c r="D14" s="271">
        <v>6</v>
      </c>
      <c r="E14" s="272" t="str">
        <f>LOOKUP(D14,Beståndstyp)</f>
        <v>Kalmark</v>
      </c>
    </row>
    <row r="15" spans="2:5">
      <c r="B15" s="246">
        <v>1</v>
      </c>
      <c r="C15" s="247" t="s">
        <v>172</v>
      </c>
      <c r="D15" s="243"/>
      <c r="E15" s="243"/>
    </row>
    <row r="16" spans="2:5">
      <c r="B16" s="248">
        <v>2</v>
      </c>
      <c r="C16" s="249" t="s">
        <v>173</v>
      </c>
      <c r="D16" s="243"/>
      <c r="E16" s="243"/>
    </row>
    <row r="17" spans="2:8">
      <c r="B17" s="248">
        <v>3</v>
      </c>
      <c r="C17" s="249" t="s">
        <v>174</v>
      </c>
      <c r="D17" s="243"/>
      <c r="E17" s="243"/>
    </row>
    <row r="18" spans="2:8">
      <c r="B18" s="248">
        <v>4</v>
      </c>
      <c r="C18" s="249" t="s">
        <v>175</v>
      </c>
      <c r="D18" s="243"/>
      <c r="E18" s="243"/>
    </row>
    <row r="19" spans="2:8">
      <c r="B19" s="248">
        <v>5</v>
      </c>
      <c r="C19" s="249" t="s">
        <v>176</v>
      </c>
      <c r="D19" s="243"/>
      <c r="E19" s="243"/>
    </row>
    <row r="20" spans="2:8">
      <c r="B20" s="244">
        <v>6</v>
      </c>
      <c r="C20" s="250" t="s">
        <v>177</v>
      </c>
      <c r="D20" s="243"/>
      <c r="E20" s="243"/>
    </row>
    <row r="25" spans="2:8">
      <c r="B25" s="467" t="s">
        <v>189</v>
      </c>
      <c r="C25" s="469"/>
      <c r="D25" t="s">
        <v>165</v>
      </c>
      <c r="E25" t="s">
        <v>166</v>
      </c>
    </row>
    <row r="26" spans="2:8">
      <c r="B26" s="244" t="s">
        <v>167</v>
      </c>
      <c r="C26" s="245" t="s">
        <v>168</v>
      </c>
      <c r="D26" s="291"/>
      <c r="E26" s="272" t="e">
        <f>LOOKUP(D26,B27:C31)</f>
        <v>#N/A</v>
      </c>
      <c r="H26" s="272"/>
    </row>
    <row r="27" spans="2:8">
      <c r="B27" s="123">
        <v>1</v>
      </c>
      <c r="C27" s="290" t="s">
        <v>116</v>
      </c>
    </row>
    <row r="28" spans="2:8">
      <c r="B28" s="123">
        <v>2</v>
      </c>
      <c r="C28" s="290" t="s">
        <v>117</v>
      </c>
    </row>
    <row r="29" spans="2:8">
      <c r="B29" s="123">
        <v>3</v>
      </c>
      <c r="C29" s="290" t="s">
        <v>118</v>
      </c>
    </row>
    <row r="30" spans="2:8">
      <c r="B30" s="123">
        <v>4</v>
      </c>
      <c r="C30" s="290" t="s">
        <v>119</v>
      </c>
    </row>
    <row r="31" spans="2:8">
      <c r="B31" s="85">
        <v>5</v>
      </c>
      <c r="C31" s="122" t="s">
        <v>120</v>
      </c>
    </row>
    <row r="36" spans="4:5" hidden="1">
      <c r="D36" s="243" t="s">
        <v>124</v>
      </c>
      <c r="E36" s="243">
        <v>0.15</v>
      </c>
    </row>
    <row r="37" spans="4:5" hidden="1">
      <c r="D37" s="243" t="s">
        <v>125</v>
      </c>
      <c r="E37" s="243">
        <v>0.1</v>
      </c>
    </row>
  </sheetData>
  <mergeCells count="3">
    <mergeCell ref="B3:C3"/>
    <mergeCell ref="B13:C13"/>
    <mergeCell ref="B25:C25"/>
  </mergeCells>
  <phoneticPr fontId="30" type="noConversion"/>
  <pageMargins left="0.75" right="0.75" top="1" bottom="1" header="0.5" footer="0.5"/>
  <pageSetup paperSize="9" orientation="portrait" horizontalDpi="360" verticalDpi="300" r:id="rId1"/>
  <headerFooter alignWithMargins="0">
    <oddHeader>&amp;L&amp;"Times New Roman,Fet\&amp;12Sveriges Elleverantörer&amp;R&amp;D</oddHeader>
    <oddFooter>&amp;L&amp;8*/&amp;F/&amp;A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Blad4"/>
  <dimension ref="A1:U79"/>
  <sheetViews>
    <sheetView showGridLines="0" zoomScaleNormal="100" workbookViewId="0">
      <pane ySplit="13" topLeftCell="A14" activePane="bottomLeft" state="frozen"/>
      <selection pane="bottomLeft" activeCell="J14" sqref="J14"/>
    </sheetView>
  </sheetViews>
  <sheetFormatPr defaultRowHeight="12.75"/>
  <cols>
    <col min="1" max="1" width="5" customWidth="1"/>
    <col min="2" max="3" width="5.7109375" customWidth="1"/>
    <col min="4" max="4" width="7.5703125" customWidth="1"/>
    <col min="5" max="5" width="7.42578125" customWidth="1"/>
    <col min="6" max="6" width="16.28515625" customWidth="1"/>
    <col min="7" max="7" width="6.28515625" customWidth="1"/>
    <col min="8" max="9" width="4.7109375" customWidth="1"/>
    <col min="10" max="10" width="6.7109375" customWidth="1"/>
    <col min="11" max="11" width="10.28515625" customWidth="1"/>
    <col min="12" max="12" width="9.140625" style="3"/>
    <col min="13" max="13" width="0" hidden="1" customWidth="1"/>
    <col min="14" max="14" width="8.85546875" hidden="1" customWidth="1"/>
    <col min="15" max="15" width="1.7109375" hidden="1" customWidth="1"/>
    <col min="16" max="16" width="0.140625" hidden="1" customWidth="1"/>
    <col min="17" max="18" width="9.140625" hidden="1" customWidth="1"/>
  </cols>
  <sheetData>
    <row r="1" spans="1:18" ht="15.75" customHeight="1">
      <c r="A1" s="132"/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45" t="s">
        <v>48</v>
      </c>
    </row>
    <row r="2" spans="1:18" s="11" customFormat="1" ht="20.25">
      <c r="A2" s="364" t="str">
        <f>IF(Fakta!C5=0,"",Fakta!C5)</f>
        <v>Kraftringen Nät AB</v>
      </c>
      <c r="C2" s="180"/>
      <c r="D2" s="180"/>
      <c r="E2" s="180"/>
      <c r="F2" s="180"/>
      <c r="G2" s="180"/>
      <c r="H2" s="180"/>
      <c r="I2" s="180"/>
      <c r="J2" s="270"/>
      <c r="K2" s="180"/>
      <c r="L2" s="311"/>
      <c r="M2" s="13"/>
      <c r="N2" s="13"/>
    </row>
    <row r="3" spans="1:18" s="12" customFormat="1" ht="11.25" customHeight="1">
      <c r="A3" s="181"/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2"/>
    </row>
    <row r="4" spans="1:18" ht="16.5" thickBot="1">
      <c r="A4" s="183" t="s">
        <v>49</v>
      </c>
      <c r="B4" s="21"/>
      <c r="C4" s="21"/>
      <c r="D4" s="21"/>
      <c r="E4" s="21"/>
      <c r="F4" s="21"/>
      <c r="G4" s="184" t="s">
        <v>20</v>
      </c>
      <c r="H4" s="434" t="str">
        <f>IF(Sammandrag!F10="","",Sammandrag!F10)</f>
        <v/>
      </c>
      <c r="I4" s="434"/>
      <c r="J4" s="434"/>
      <c r="K4" s="434"/>
      <c r="L4" s="435"/>
    </row>
    <row r="5" spans="1:18" ht="15" customHeight="1" thickTop="1">
      <c r="A5" s="148" t="s">
        <v>22</v>
      </c>
      <c r="B5" s="44"/>
      <c r="C5" s="315">
        <f>Sammandrag!$B$6</f>
        <v>0</v>
      </c>
      <c r="D5" s="44"/>
      <c r="E5" s="44"/>
      <c r="F5" s="44"/>
      <c r="G5" s="44"/>
      <c r="H5" s="44"/>
      <c r="I5" s="44"/>
      <c r="J5" s="44"/>
      <c r="K5" s="134" t="s">
        <v>50</v>
      </c>
      <c r="L5" s="208">
        <f>Fakta!$C$22</f>
        <v>34</v>
      </c>
    </row>
    <row r="6" spans="1:18" ht="15" customHeight="1">
      <c r="A6" s="148"/>
      <c r="B6" s="44"/>
      <c r="C6" s="315">
        <f>Sammandrag!$B$7</f>
        <v>0</v>
      </c>
      <c r="D6" s="44"/>
      <c r="E6" s="44"/>
      <c r="F6" s="44"/>
      <c r="G6" s="44"/>
      <c r="H6" s="44"/>
      <c r="I6" s="44"/>
      <c r="J6" s="44"/>
      <c r="K6" s="134" t="s">
        <v>180</v>
      </c>
      <c r="L6" s="209" t="str">
        <f>Fakta!$C$24</f>
        <v>Göta</v>
      </c>
    </row>
    <row r="7" spans="1:18" ht="15" customHeight="1">
      <c r="A7" s="186" t="s">
        <v>51</v>
      </c>
      <c r="B7" s="187"/>
      <c r="C7" s="187"/>
      <c r="D7" s="187"/>
      <c r="E7" s="187"/>
      <c r="F7" s="187"/>
      <c r="G7" s="187"/>
      <c r="H7" s="187"/>
      <c r="I7" s="187"/>
      <c r="J7" s="187"/>
      <c r="K7" s="187"/>
      <c r="L7" s="188"/>
    </row>
    <row r="8" spans="1:18" ht="12.75" customHeight="1">
      <c r="A8" s="189" t="s">
        <v>52</v>
      </c>
      <c r="B8" s="190"/>
      <c r="C8" s="191" t="s">
        <v>53</v>
      </c>
      <c r="D8" s="192"/>
      <c r="E8" s="193" t="s">
        <v>54</v>
      </c>
      <c r="F8" s="192"/>
      <c r="G8" s="191" t="s">
        <v>55</v>
      </c>
      <c r="H8" s="191"/>
      <c r="I8" s="192"/>
      <c r="J8" s="191"/>
      <c r="K8" s="194" t="s">
        <v>56</v>
      </c>
      <c r="L8" s="195"/>
    </row>
    <row r="9" spans="1:18" ht="12.75" customHeight="1">
      <c r="A9" s="196"/>
      <c r="B9" s="197"/>
      <c r="C9" s="156"/>
      <c r="D9" s="198"/>
      <c r="E9" s="384" t="s">
        <v>217</v>
      </c>
      <c r="F9" s="198"/>
      <c r="G9" s="378"/>
      <c r="H9" s="156"/>
      <c r="I9" s="198"/>
      <c r="J9" s="379"/>
      <c r="K9" s="148"/>
      <c r="L9" s="380"/>
    </row>
    <row r="10" spans="1:18" ht="12.75" customHeight="1">
      <c r="A10" s="196"/>
      <c r="B10" s="197"/>
      <c r="C10" s="156"/>
      <c r="D10" s="198"/>
      <c r="E10" s="382" t="s">
        <v>218</v>
      </c>
      <c r="F10" s="201"/>
      <c r="G10" s="162"/>
      <c r="H10" s="199" t="s">
        <v>57</v>
      </c>
      <c r="I10" s="188"/>
      <c r="J10" s="156" t="s">
        <v>58</v>
      </c>
      <c r="K10" s="148"/>
      <c r="L10" s="381"/>
    </row>
    <row r="11" spans="1:18" ht="12.75" customHeight="1">
      <c r="A11" s="196"/>
      <c r="B11" s="200" t="s">
        <v>59</v>
      </c>
      <c r="C11" s="156" t="s">
        <v>60</v>
      </c>
      <c r="D11" s="201" t="s">
        <v>61</v>
      </c>
      <c r="E11" s="383" t="s">
        <v>219</v>
      </c>
      <c r="F11" s="201" t="s">
        <v>63</v>
      </c>
      <c r="G11" s="162" t="s">
        <v>64</v>
      </c>
      <c r="H11" s="202" t="s">
        <v>65</v>
      </c>
      <c r="I11" s="203"/>
      <c r="J11" s="156" t="s">
        <v>66</v>
      </c>
      <c r="K11" s="204"/>
      <c r="L11" s="188"/>
    </row>
    <row r="12" spans="1:18">
      <c r="A12" s="205" t="s">
        <v>67</v>
      </c>
      <c r="B12" s="205" t="s">
        <v>37</v>
      </c>
      <c r="C12" s="168" t="s">
        <v>37</v>
      </c>
      <c r="D12" s="167" t="s">
        <v>68</v>
      </c>
      <c r="E12" s="206"/>
      <c r="F12" s="152"/>
      <c r="G12" s="168" t="s">
        <v>69</v>
      </c>
      <c r="H12" s="167" t="s">
        <v>70</v>
      </c>
      <c r="I12" s="207" t="s">
        <v>71</v>
      </c>
      <c r="J12" s="167" t="s">
        <v>72</v>
      </c>
      <c r="K12" s="205" t="s">
        <v>73</v>
      </c>
      <c r="L12" s="206" t="s">
        <v>74</v>
      </c>
    </row>
    <row r="13" spans="1:18" ht="5.0999999999999996" customHeight="1">
      <c r="A13" s="189"/>
      <c r="B13" s="189"/>
      <c r="C13" s="251"/>
      <c r="D13" s="191"/>
      <c r="E13" s="193"/>
      <c r="F13" s="131"/>
      <c r="G13" s="162"/>
      <c r="H13" s="252"/>
      <c r="I13" s="253"/>
      <c r="J13" s="191"/>
      <c r="K13" s="189"/>
      <c r="L13" s="193"/>
    </row>
    <row r="14" spans="1:18">
      <c r="A14" s="391"/>
      <c r="B14" s="15"/>
      <c r="C14" s="16"/>
      <c r="D14" s="254" t="str">
        <f t="shared" ref="D14:D41" si="0">IF(B14="","",B14*C14/10000*J14/100)</f>
        <v/>
      </c>
      <c r="E14" s="377"/>
      <c r="F14" s="392"/>
      <c r="G14" s="283"/>
      <c r="H14" s="119"/>
      <c r="I14" s="210" t="str">
        <f t="shared" ref="I14:I41" si="1">IF(H14="","",IF(H14&gt;=0,10-H14,0))</f>
        <v/>
      </c>
      <c r="J14" s="17"/>
      <c r="K14" s="105" t="str">
        <f ca="1">IF(E14="","",IF(R14=TRUE,0,1*IF($F14="Kalmark",INDIRECT($L$6&amp;$E14&amp;$F14),IF($F14="Äldre_timmerskog",INDIRECT($L$6&amp;$E14&amp;$F14),(INDEX(INDIRECT($L$6&amp;$E14&amp;$F14),11-G14*10,11-$H14))))))</f>
        <v/>
      </c>
      <c r="L14" s="256" t="str">
        <f ca="1">IF(K14="","",ROUND(D14*K14,0))</f>
        <v/>
      </c>
      <c r="Q14" t="s">
        <v>125</v>
      </c>
      <c r="R14" t="b">
        <f>EXACT(E14,Q14)</f>
        <v>0</v>
      </c>
    </row>
    <row r="15" spans="1:18">
      <c r="A15" s="18"/>
      <c r="B15" s="18"/>
      <c r="C15" s="19"/>
      <c r="D15" s="254" t="str">
        <f t="shared" si="0"/>
        <v/>
      </c>
      <c r="E15" s="255"/>
      <c r="F15" s="257"/>
      <c r="G15" s="284"/>
      <c r="H15" s="20"/>
      <c r="I15" s="210" t="str">
        <f t="shared" si="1"/>
        <v/>
      </c>
      <c r="J15" s="20"/>
      <c r="K15" s="105" t="str">
        <f t="shared" ref="K15:K41" ca="1" si="2">IF(E15="","",IF(R15=TRUE,0,1*IF($F15="Kalmark",INDIRECT($L$6&amp;$E15&amp;$F15),IF($F15="Äldre_timmerskog",INDIRECT($L$6&amp;$E15&amp;$F15),(INDEX(INDIRECT($L$6&amp;$E15&amp;$F15),11-G15*10,11-$H15))))))</f>
        <v/>
      </c>
      <c r="L15" s="256" t="str">
        <f ca="1">IF(K15="","",ROUND(D15*K15,0))</f>
        <v/>
      </c>
      <c r="Q15" t="s">
        <v>125</v>
      </c>
      <c r="R15" t="b">
        <f t="shared" ref="R15:R41" si="3">EXACT(E15,Q15)</f>
        <v>0</v>
      </c>
    </row>
    <row r="16" spans="1:18">
      <c r="A16" s="18"/>
      <c r="B16" s="18"/>
      <c r="C16" s="19"/>
      <c r="D16" s="254" t="str">
        <f t="shared" si="0"/>
        <v/>
      </c>
      <c r="E16" s="255"/>
      <c r="F16" s="257"/>
      <c r="G16" s="284"/>
      <c r="H16" s="20"/>
      <c r="I16" s="210" t="str">
        <f t="shared" si="1"/>
        <v/>
      </c>
      <c r="J16" s="20"/>
      <c r="K16" s="105" t="str">
        <f t="shared" ca="1" si="2"/>
        <v/>
      </c>
      <c r="L16" s="256" t="str">
        <f t="shared" ref="L16:L30" ca="1" si="4">IF(K16="","",ROUND(D16*K16,0))</f>
        <v/>
      </c>
      <c r="Q16" t="s">
        <v>125</v>
      </c>
      <c r="R16" t="b">
        <f t="shared" si="3"/>
        <v>0</v>
      </c>
    </row>
    <row r="17" spans="1:21">
      <c r="A17" s="18"/>
      <c r="B17" s="18"/>
      <c r="C17" s="19"/>
      <c r="D17" s="254" t="str">
        <f>IF(B17="","",B17*C17/10000*J17/100)</f>
        <v/>
      </c>
      <c r="E17" s="255"/>
      <c r="F17" s="257"/>
      <c r="G17" s="284"/>
      <c r="H17" s="20"/>
      <c r="I17" s="210" t="str">
        <f>IF(H17="","",IF(H17&gt;=0,10-H17,0))</f>
        <v/>
      </c>
      <c r="J17" s="20"/>
      <c r="K17" s="105" t="str">
        <f t="shared" ca="1" si="2"/>
        <v/>
      </c>
      <c r="L17" s="256" t="str">
        <f t="shared" ca="1" si="4"/>
        <v/>
      </c>
      <c r="Q17" t="s">
        <v>125</v>
      </c>
      <c r="R17" t="b">
        <f t="shared" si="3"/>
        <v>0</v>
      </c>
      <c r="U17" s="289"/>
    </row>
    <row r="18" spans="1:21">
      <c r="A18" s="18"/>
      <c r="B18" s="18"/>
      <c r="C18" s="19"/>
      <c r="D18" s="254" t="str">
        <f t="shared" si="0"/>
        <v/>
      </c>
      <c r="E18" s="255"/>
      <c r="F18" s="257"/>
      <c r="G18" s="284"/>
      <c r="H18" s="20"/>
      <c r="I18" s="210" t="str">
        <f t="shared" si="1"/>
        <v/>
      </c>
      <c r="J18" s="20"/>
      <c r="K18" s="105" t="str">
        <f t="shared" ca="1" si="2"/>
        <v/>
      </c>
      <c r="L18" s="256" t="str">
        <f t="shared" ca="1" si="4"/>
        <v/>
      </c>
      <c r="Q18" t="s">
        <v>125</v>
      </c>
      <c r="R18" t="b">
        <f t="shared" si="3"/>
        <v>0</v>
      </c>
      <c r="U18" s="289"/>
    </row>
    <row r="19" spans="1:21">
      <c r="A19" s="18"/>
      <c r="B19" s="18"/>
      <c r="C19" s="19"/>
      <c r="D19" s="254" t="str">
        <f t="shared" si="0"/>
        <v/>
      </c>
      <c r="E19" s="255"/>
      <c r="F19" s="257"/>
      <c r="G19" s="284"/>
      <c r="H19" s="20"/>
      <c r="I19" s="210" t="str">
        <f t="shared" si="1"/>
        <v/>
      </c>
      <c r="J19" s="20"/>
      <c r="K19" s="105" t="str">
        <f t="shared" ca="1" si="2"/>
        <v/>
      </c>
      <c r="L19" s="256" t="str">
        <f t="shared" ca="1" si="4"/>
        <v/>
      </c>
      <c r="Q19" t="s">
        <v>125</v>
      </c>
      <c r="R19" t="b">
        <f t="shared" si="3"/>
        <v>0</v>
      </c>
      <c r="U19" s="289"/>
    </row>
    <row r="20" spans="1:21">
      <c r="A20" s="18"/>
      <c r="B20" s="18"/>
      <c r="C20" s="19"/>
      <c r="D20" s="254" t="str">
        <f t="shared" si="0"/>
        <v/>
      </c>
      <c r="E20" s="255"/>
      <c r="F20" s="257"/>
      <c r="G20" s="284"/>
      <c r="H20" s="20"/>
      <c r="I20" s="210" t="str">
        <f t="shared" si="1"/>
        <v/>
      </c>
      <c r="J20" s="20"/>
      <c r="K20" s="105" t="str">
        <f t="shared" ca="1" si="2"/>
        <v/>
      </c>
      <c r="L20" s="256" t="str">
        <f t="shared" ca="1" si="4"/>
        <v/>
      </c>
      <c r="Q20" t="s">
        <v>125</v>
      </c>
      <c r="R20" t="b">
        <f t="shared" si="3"/>
        <v>0</v>
      </c>
      <c r="U20" s="289"/>
    </row>
    <row r="21" spans="1:21">
      <c r="A21" s="18"/>
      <c r="B21" s="18"/>
      <c r="C21" s="19"/>
      <c r="D21" s="254" t="str">
        <f t="shared" si="0"/>
        <v/>
      </c>
      <c r="E21" s="255"/>
      <c r="F21" s="257"/>
      <c r="G21" s="284"/>
      <c r="H21" s="20"/>
      <c r="I21" s="210" t="str">
        <f t="shared" si="1"/>
        <v/>
      </c>
      <c r="J21" s="20"/>
      <c r="K21" s="105" t="str">
        <f t="shared" ca="1" si="2"/>
        <v/>
      </c>
      <c r="L21" s="256" t="str">
        <f t="shared" ca="1" si="4"/>
        <v/>
      </c>
      <c r="Q21" t="s">
        <v>125</v>
      </c>
      <c r="R21" t="b">
        <f t="shared" si="3"/>
        <v>0</v>
      </c>
      <c r="U21" s="289"/>
    </row>
    <row r="22" spans="1:21">
      <c r="A22" s="18"/>
      <c r="B22" s="18"/>
      <c r="C22" s="19"/>
      <c r="D22" s="254" t="str">
        <f t="shared" si="0"/>
        <v/>
      </c>
      <c r="E22" s="255"/>
      <c r="F22" s="257"/>
      <c r="G22" s="284"/>
      <c r="H22" s="20"/>
      <c r="I22" s="210" t="str">
        <f t="shared" si="1"/>
        <v/>
      </c>
      <c r="J22" s="20"/>
      <c r="K22" s="105" t="str">
        <f t="shared" ca="1" si="2"/>
        <v/>
      </c>
      <c r="L22" s="256" t="str">
        <f t="shared" ca="1" si="4"/>
        <v/>
      </c>
      <c r="Q22" t="s">
        <v>125</v>
      </c>
      <c r="R22" t="b">
        <f t="shared" si="3"/>
        <v>0</v>
      </c>
      <c r="U22" s="289"/>
    </row>
    <row r="23" spans="1:21">
      <c r="A23" s="18"/>
      <c r="B23" s="18"/>
      <c r="C23" s="19"/>
      <c r="D23" s="254" t="str">
        <f t="shared" si="0"/>
        <v/>
      </c>
      <c r="E23" s="255"/>
      <c r="F23" s="257"/>
      <c r="G23" s="284"/>
      <c r="H23" s="20"/>
      <c r="I23" s="210" t="str">
        <f t="shared" si="1"/>
        <v/>
      </c>
      <c r="J23" s="20"/>
      <c r="K23" s="105" t="str">
        <f t="shared" ca="1" si="2"/>
        <v/>
      </c>
      <c r="L23" s="256" t="str">
        <f t="shared" ca="1" si="4"/>
        <v/>
      </c>
      <c r="Q23" t="s">
        <v>125</v>
      </c>
      <c r="R23" t="b">
        <f t="shared" si="3"/>
        <v>0</v>
      </c>
    </row>
    <row r="24" spans="1:21">
      <c r="A24" s="18"/>
      <c r="B24" s="18"/>
      <c r="C24" s="19"/>
      <c r="D24" s="254" t="str">
        <f t="shared" si="0"/>
        <v/>
      </c>
      <c r="E24" s="255"/>
      <c r="F24" s="257"/>
      <c r="G24" s="284"/>
      <c r="H24" s="20"/>
      <c r="I24" s="210" t="str">
        <f t="shared" si="1"/>
        <v/>
      </c>
      <c r="J24" s="20"/>
      <c r="K24" s="105" t="str">
        <f t="shared" ca="1" si="2"/>
        <v/>
      </c>
      <c r="L24" s="256" t="str">
        <f t="shared" ca="1" si="4"/>
        <v/>
      </c>
      <c r="Q24" t="s">
        <v>125</v>
      </c>
      <c r="R24" t="b">
        <f t="shared" si="3"/>
        <v>0</v>
      </c>
    </row>
    <row r="25" spans="1:21">
      <c r="A25" s="18"/>
      <c r="B25" s="18"/>
      <c r="C25" s="19"/>
      <c r="D25" s="254" t="str">
        <f t="shared" si="0"/>
        <v/>
      </c>
      <c r="E25" s="255"/>
      <c r="F25" s="257"/>
      <c r="G25" s="284"/>
      <c r="H25" s="20"/>
      <c r="I25" s="210" t="str">
        <f t="shared" si="1"/>
        <v/>
      </c>
      <c r="J25" s="20"/>
      <c r="K25" s="105" t="str">
        <f t="shared" ca="1" si="2"/>
        <v/>
      </c>
      <c r="L25" s="256" t="str">
        <f t="shared" ca="1" si="4"/>
        <v/>
      </c>
      <c r="Q25" t="s">
        <v>125</v>
      </c>
      <c r="R25" t="b">
        <f t="shared" si="3"/>
        <v>0</v>
      </c>
    </row>
    <row r="26" spans="1:21">
      <c r="A26" s="18"/>
      <c r="B26" s="18"/>
      <c r="C26" s="19"/>
      <c r="D26" s="254" t="str">
        <f t="shared" si="0"/>
        <v/>
      </c>
      <c r="E26" s="255"/>
      <c r="F26" s="257"/>
      <c r="G26" s="284"/>
      <c r="H26" s="20"/>
      <c r="I26" s="210" t="str">
        <f t="shared" si="1"/>
        <v/>
      </c>
      <c r="J26" s="20"/>
      <c r="K26" s="105" t="str">
        <f t="shared" ca="1" si="2"/>
        <v/>
      </c>
      <c r="L26" s="256" t="str">
        <f t="shared" ca="1" si="4"/>
        <v/>
      </c>
      <c r="Q26" t="s">
        <v>125</v>
      </c>
      <c r="R26" t="b">
        <f t="shared" si="3"/>
        <v>0</v>
      </c>
    </row>
    <row r="27" spans="1:21">
      <c r="A27" s="18"/>
      <c r="B27" s="18"/>
      <c r="C27" s="19"/>
      <c r="D27" s="254" t="str">
        <f t="shared" si="0"/>
        <v/>
      </c>
      <c r="E27" s="255"/>
      <c r="F27" s="257"/>
      <c r="G27" s="284"/>
      <c r="H27" s="20"/>
      <c r="I27" s="210" t="str">
        <f t="shared" si="1"/>
        <v/>
      </c>
      <c r="J27" s="20"/>
      <c r="K27" s="105" t="str">
        <f t="shared" ca="1" si="2"/>
        <v/>
      </c>
      <c r="L27" s="256" t="str">
        <f t="shared" ca="1" si="4"/>
        <v/>
      </c>
      <c r="Q27" t="s">
        <v>125</v>
      </c>
      <c r="R27" t="b">
        <f t="shared" si="3"/>
        <v>0</v>
      </c>
    </row>
    <row r="28" spans="1:21">
      <c r="A28" s="18"/>
      <c r="B28" s="18"/>
      <c r="C28" s="19"/>
      <c r="D28" s="254" t="str">
        <f t="shared" si="0"/>
        <v/>
      </c>
      <c r="E28" s="255"/>
      <c r="F28" s="257"/>
      <c r="G28" s="284"/>
      <c r="H28" s="20"/>
      <c r="I28" s="210" t="str">
        <f t="shared" si="1"/>
        <v/>
      </c>
      <c r="J28" s="20"/>
      <c r="K28" s="105" t="str">
        <f t="shared" ca="1" si="2"/>
        <v/>
      </c>
      <c r="L28" s="256" t="str">
        <f t="shared" ca="1" si="4"/>
        <v/>
      </c>
      <c r="Q28" t="s">
        <v>125</v>
      </c>
      <c r="R28" t="b">
        <f t="shared" si="3"/>
        <v>0</v>
      </c>
    </row>
    <row r="29" spans="1:21">
      <c r="A29" s="18"/>
      <c r="B29" s="18"/>
      <c r="C29" s="19"/>
      <c r="D29" s="254" t="str">
        <f t="shared" si="0"/>
        <v/>
      </c>
      <c r="E29" s="255"/>
      <c r="F29" s="257"/>
      <c r="G29" s="284"/>
      <c r="H29" s="20"/>
      <c r="I29" s="210" t="str">
        <f t="shared" si="1"/>
        <v/>
      </c>
      <c r="J29" s="20"/>
      <c r="K29" s="105" t="str">
        <f t="shared" ca="1" si="2"/>
        <v/>
      </c>
      <c r="L29" s="256" t="str">
        <f t="shared" ca="1" si="4"/>
        <v/>
      </c>
      <c r="Q29" t="s">
        <v>125</v>
      </c>
      <c r="R29" t="b">
        <f t="shared" si="3"/>
        <v>0</v>
      </c>
    </row>
    <row r="30" spans="1:21">
      <c r="A30" s="18"/>
      <c r="B30" s="18"/>
      <c r="C30" s="19"/>
      <c r="D30" s="254" t="str">
        <f t="shared" si="0"/>
        <v/>
      </c>
      <c r="E30" s="255"/>
      <c r="F30" s="257"/>
      <c r="G30" s="284"/>
      <c r="H30" s="20"/>
      <c r="I30" s="210" t="str">
        <f t="shared" si="1"/>
        <v/>
      </c>
      <c r="J30" s="20"/>
      <c r="K30" s="105" t="str">
        <f t="shared" ca="1" si="2"/>
        <v/>
      </c>
      <c r="L30" s="256" t="str">
        <f t="shared" ca="1" si="4"/>
        <v/>
      </c>
      <c r="Q30" t="s">
        <v>125</v>
      </c>
      <c r="R30" t="b">
        <f t="shared" si="3"/>
        <v>0</v>
      </c>
    </row>
    <row r="31" spans="1:21">
      <c r="A31" s="18"/>
      <c r="B31" s="18"/>
      <c r="C31" s="19"/>
      <c r="D31" s="254" t="str">
        <f t="shared" si="0"/>
        <v/>
      </c>
      <c r="E31" s="255"/>
      <c r="F31" s="257"/>
      <c r="G31" s="284"/>
      <c r="H31" s="20"/>
      <c r="I31" s="210" t="str">
        <f t="shared" si="1"/>
        <v/>
      </c>
      <c r="J31" s="20"/>
      <c r="K31" s="105" t="str">
        <f t="shared" ca="1" si="2"/>
        <v/>
      </c>
      <c r="L31" s="256" t="str">
        <f ca="1">IF(K31="","",ROUND(D31*K31,0))</f>
        <v/>
      </c>
      <c r="Q31" t="s">
        <v>125</v>
      </c>
      <c r="R31" t="b">
        <f t="shared" si="3"/>
        <v>0</v>
      </c>
    </row>
    <row r="32" spans="1:21">
      <c r="A32" s="18"/>
      <c r="B32" s="18"/>
      <c r="C32" s="19"/>
      <c r="D32" s="254" t="str">
        <f t="shared" si="0"/>
        <v/>
      </c>
      <c r="E32" s="255"/>
      <c r="F32" s="257"/>
      <c r="G32" s="284"/>
      <c r="H32" s="20"/>
      <c r="I32" s="210" t="str">
        <f t="shared" si="1"/>
        <v/>
      </c>
      <c r="J32" s="20"/>
      <c r="K32" s="105" t="str">
        <f t="shared" ca="1" si="2"/>
        <v/>
      </c>
      <c r="L32" s="256" t="str">
        <f ca="1">IF(K32="","",ROUND(D32*K32,0))</f>
        <v/>
      </c>
      <c r="Q32" t="s">
        <v>125</v>
      </c>
      <c r="R32" t="b">
        <f t="shared" si="3"/>
        <v>0</v>
      </c>
    </row>
    <row r="33" spans="1:18">
      <c r="A33" s="18"/>
      <c r="B33" s="18"/>
      <c r="C33" s="19"/>
      <c r="D33" s="254" t="str">
        <f t="shared" si="0"/>
        <v/>
      </c>
      <c r="E33" s="255"/>
      <c r="F33" s="257"/>
      <c r="G33" s="284"/>
      <c r="H33" s="20"/>
      <c r="I33" s="210" t="str">
        <f t="shared" si="1"/>
        <v/>
      </c>
      <c r="J33" s="20"/>
      <c r="K33" s="105" t="str">
        <f t="shared" ca="1" si="2"/>
        <v/>
      </c>
      <c r="L33" s="256" t="str">
        <f t="shared" ref="L33:L41" ca="1" si="5">IF(K33="","",ROUND(D33*K33,0))</f>
        <v/>
      </c>
      <c r="Q33" t="s">
        <v>125</v>
      </c>
      <c r="R33" t="b">
        <f t="shared" si="3"/>
        <v>0</v>
      </c>
    </row>
    <row r="34" spans="1:18">
      <c r="A34" s="18"/>
      <c r="B34" s="18"/>
      <c r="C34" s="19"/>
      <c r="D34" s="254" t="str">
        <f t="shared" si="0"/>
        <v/>
      </c>
      <c r="E34" s="255"/>
      <c r="F34" s="257"/>
      <c r="G34" s="284"/>
      <c r="H34" s="20"/>
      <c r="I34" s="210" t="str">
        <f t="shared" si="1"/>
        <v/>
      </c>
      <c r="J34" s="20"/>
      <c r="K34" s="105" t="str">
        <f t="shared" ca="1" si="2"/>
        <v/>
      </c>
      <c r="L34" s="256" t="str">
        <f t="shared" ca="1" si="5"/>
        <v/>
      </c>
      <c r="Q34" t="s">
        <v>125</v>
      </c>
      <c r="R34" t="b">
        <f t="shared" si="3"/>
        <v>0</v>
      </c>
    </row>
    <row r="35" spans="1:18">
      <c r="A35" s="18"/>
      <c r="B35" s="18"/>
      <c r="C35" s="19"/>
      <c r="D35" s="254" t="str">
        <f t="shared" si="0"/>
        <v/>
      </c>
      <c r="E35" s="255"/>
      <c r="F35" s="257"/>
      <c r="G35" s="284"/>
      <c r="H35" s="20"/>
      <c r="I35" s="210" t="str">
        <f t="shared" si="1"/>
        <v/>
      </c>
      <c r="J35" s="20"/>
      <c r="K35" s="105" t="str">
        <f t="shared" ca="1" si="2"/>
        <v/>
      </c>
      <c r="L35" s="256" t="str">
        <f t="shared" ca="1" si="5"/>
        <v/>
      </c>
      <c r="Q35" t="s">
        <v>125</v>
      </c>
      <c r="R35" t="b">
        <f t="shared" si="3"/>
        <v>0</v>
      </c>
    </row>
    <row r="36" spans="1:18">
      <c r="A36" s="18"/>
      <c r="B36" s="18"/>
      <c r="C36" s="19"/>
      <c r="D36" s="254" t="str">
        <f t="shared" si="0"/>
        <v/>
      </c>
      <c r="E36" s="255"/>
      <c r="F36" s="257"/>
      <c r="G36" s="284"/>
      <c r="H36" s="20"/>
      <c r="I36" s="210" t="str">
        <f t="shared" si="1"/>
        <v/>
      </c>
      <c r="J36" s="20"/>
      <c r="K36" s="105" t="str">
        <f t="shared" ca="1" si="2"/>
        <v/>
      </c>
      <c r="L36" s="256" t="str">
        <f t="shared" ca="1" si="5"/>
        <v/>
      </c>
      <c r="Q36" t="s">
        <v>125</v>
      </c>
      <c r="R36" t="b">
        <f t="shared" si="3"/>
        <v>0</v>
      </c>
    </row>
    <row r="37" spans="1:18">
      <c r="A37" s="18"/>
      <c r="B37" s="18"/>
      <c r="C37" s="19"/>
      <c r="D37" s="254" t="str">
        <f t="shared" si="0"/>
        <v/>
      </c>
      <c r="E37" s="255"/>
      <c r="F37" s="257"/>
      <c r="G37" s="284"/>
      <c r="H37" s="20"/>
      <c r="I37" s="210" t="str">
        <f t="shared" si="1"/>
        <v/>
      </c>
      <c r="J37" s="20"/>
      <c r="K37" s="105" t="str">
        <f t="shared" ca="1" si="2"/>
        <v/>
      </c>
      <c r="L37" s="256" t="str">
        <f t="shared" ca="1" si="5"/>
        <v/>
      </c>
      <c r="Q37" t="s">
        <v>125</v>
      </c>
      <c r="R37" t="b">
        <f t="shared" si="3"/>
        <v>0</v>
      </c>
    </row>
    <row r="38" spans="1:18">
      <c r="A38" s="18"/>
      <c r="B38" s="18"/>
      <c r="C38" s="19"/>
      <c r="D38" s="254" t="str">
        <f t="shared" si="0"/>
        <v/>
      </c>
      <c r="E38" s="258"/>
      <c r="F38" s="257"/>
      <c r="G38" s="284"/>
      <c r="H38" s="20"/>
      <c r="I38" s="210" t="str">
        <f t="shared" si="1"/>
        <v/>
      </c>
      <c r="J38" s="20"/>
      <c r="K38" s="105" t="str">
        <f t="shared" ca="1" si="2"/>
        <v/>
      </c>
      <c r="L38" s="256" t="str">
        <f t="shared" ca="1" si="5"/>
        <v/>
      </c>
      <c r="Q38" t="s">
        <v>125</v>
      </c>
      <c r="R38" t="b">
        <f t="shared" si="3"/>
        <v>0</v>
      </c>
    </row>
    <row r="39" spans="1:18">
      <c r="A39" s="18"/>
      <c r="B39" s="18"/>
      <c r="C39" s="19"/>
      <c r="D39" s="254" t="str">
        <f t="shared" si="0"/>
        <v/>
      </c>
      <c r="E39" s="255"/>
      <c r="F39" s="257"/>
      <c r="G39" s="284"/>
      <c r="H39" s="20"/>
      <c r="I39" s="210" t="str">
        <f t="shared" si="1"/>
        <v/>
      </c>
      <c r="J39" s="20"/>
      <c r="K39" s="105" t="str">
        <f t="shared" ca="1" si="2"/>
        <v/>
      </c>
      <c r="L39" s="256" t="str">
        <f t="shared" ca="1" si="5"/>
        <v/>
      </c>
      <c r="Q39" t="s">
        <v>125</v>
      </c>
      <c r="R39" t="b">
        <f t="shared" si="3"/>
        <v>0</v>
      </c>
    </row>
    <row r="40" spans="1:18">
      <c r="A40" s="18"/>
      <c r="B40" s="18"/>
      <c r="C40" s="19"/>
      <c r="D40" s="254" t="str">
        <f t="shared" si="0"/>
        <v/>
      </c>
      <c r="E40" s="255"/>
      <c r="F40" s="259"/>
      <c r="G40" s="284"/>
      <c r="H40" s="20"/>
      <c r="I40" s="210" t="str">
        <f t="shared" si="1"/>
        <v/>
      </c>
      <c r="J40" s="20"/>
      <c r="K40" s="105" t="str">
        <f t="shared" ca="1" si="2"/>
        <v/>
      </c>
      <c r="L40" s="256" t="str">
        <f t="shared" ca="1" si="5"/>
        <v/>
      </c>
      <c r="Q40" t="s">
        <v>125</v>
      </c>
      <c r="R40" t="b">
        <f t="shared" si="3"/>
        <v>0</v>
      </c>
    </row>
    <row r="41" spans="1:18">
      <c r="A41" s="27"/>
      <c r="B41" s="27"/>
      <c r="C41" s="28"/>
      <c r="D41" s="254" t="str">
        <f t="shared" si="0"/>
        <v/>
      </c>
      <c r="E41" s="258"/>
      <c r="F41" s="260"/>
      <c r="G41" s="285"/>
      <c r="H41" s="29"/>
      <c r="I41" s="210" t="str">
        <f t="shared" si="1"/>
        <v/>
      </c>
      <c r="J41" s="29"/>
      <c r="K41" s="105" t="str">
        <f t="shared" ca="1" si="2"/>
        <v/>
      </c>
      <c r="L41" s="256" t="str">
        <f t="shared" ca="1" si="5"/>
        <v/>
      </c>
      <c r="Q41" t="s">
        <v>125</v>
      </c>
      <c r="R41" t="b">
        <f t="shared" si="3"/>
        <v>0</v>
      </c>
    </row>
    <row r="42" spans="1:18" ht="13.5" thickBot="1">
      <c r="A42" s="31"/>
      <c r="B42" s="32"/>
      <c r="C42" s="33" t="s">
        <v>75</v>
      </c>
      <c r="D42" s="261">
        <f>SUM(D14:D41)</f>
        <v>0</v>
      </c>
      <c r="E42" s="31"/>
      <c r="F42" s="32"/>
      <c r="G42" s="32"/>
      <c r="H42" s="32"/>
      <c r="I42" s="32"/>
      <c r="J42" s="32"/>
      <c r="K42" s="34" t="s">
        <v>76</v>
      </c>
      <c r="L42" s="314">
        <f ca="1">SUM(L14:L41)</f>
        <v>0</v>
      </c>
    </row>
    <row r="43" spans="1:18" ht="13.5" thickTop="1">
      <c r="A43" s="211"/>
      <c r="B43" s="212"/>
      <c r="C43" s="213"/>
      <c r="D43" s="214"/>
      <c r="E43" s="213"/>
      <c r="F43" s="213"/>
      <c r="G43" s="213"/>
      <c r="H43" s="213"/>
      <c r="I43" s="213"/>
      <c r="J43" s="215"/>
      <c r="K43" s="216"/>
      <c r="L43" s="217"/>
    </row>
    <row r="44" spans="1:18" ht="13.5">
      <c r="A44" s="186" t="s">
        <v>77</v>
      </c>
      <c r="B44" s="187"/>
      <c r="C44" s="187"/>
      <c r="D44" s="187"/>
      <c r="E44" s="187"/>
      <c r="F44" s="187"/>
      <c r="G44" s="187"/>
      <c r="H44" s="187"/>
      <c r="I44" s="187"/>
      <c r="J44" s="187"/>
      <c r="K44" s="187"/>
      <c r="L44" s="188"/>
    </row>
    <row r="45" spans="1:18">
      <c r="A45" s="189" t="s">
        <v>52</v>
      </c>
      <c r="B45" s="190"/>
      <c r="C45" s="191" t="s">
        <v>53</v>
      </c>
      <c r="D45" s="192"/>
      <c r="E45" s="193"/>
      <c r="F45" s="218" t="s">
        <v>78</v>
      </c>
      <c r="G45" s="219"/>
      <c r="H45" s="219"/>
      <c r="I45" s="220"/>
      <c r="J45" s="219"/>
      <c r="K45" s="194" t="s">
        <v>79</v>
      </c>
      <c r="L45" s="195"/>
    </row>
    <row r="46" spans="1:18">
      <c r="A46" s="205" t="s">
        <v>67</v>
      </c>
      <c r="B46" s="205" t="s">
        <v>59</v>
      </c>
      <c r="C46" s="168" t="s">
        <v>60</v>
      </c>
      <c r="D46" s="167" t="s">
        <v>61</v>
      </c>
      <c r="E46" s="206" t="s">
        <v>54</v>
      </c>
      <c r="F46" s="152" t="s">
        <v>181</v>
      </c>
      <c r="G46" s="167"/>
      <c r="H46" s="167"/>
      <c r="I46" s="167"/>
      <c r="J46" s="167"/>
      <c r="K46" s="205" t="s">
        <v>73</v>
      </c>
      <c r="L46" s="206" t="s">
        <v>74</v>
      </c>
    </row>
    <row r="47" spans="1:18">
      <c r="A47" s="18"/>
      <c r="B47" s="18"/>
      <c r="C47" s="19"/>
      <c r="D47" s="254" t="str">
        <f t="shared" ref="D47:D52" si="6">IF(B47="","",B47*C47/10000)</f>
        <v/>
      </c>
      <c r="E47" s="262"/>
      <c r="F47" s="20"/>
      <c r="G47" s="223"/>
      <c r="H47" s="223"/>
      <c r="I47" s="223"/>
      <c r="J47" s="223"/>
      <c r="K47" s="105" t="str">
        <f t="shared" ref="K47:K52" ca="1" si="7">IF(R47=TRUE,0,IF(E47="","",INDIRECT($L$6&amp;E47&amp;"Kalmark")/2))</f>
        <v/>
      </c>
      <c r="L47" s="263" t="str">
        <f>IF($E47="","",(K47*D47))</f>
        <v/>
      </c>
      <c r="Q47" t="s">
        <v>125</v>
      </c>
      <c r="R47" t="b">
        <f t="shared" ref="R47:R52" si="8">EXACT(E47,Q47)</f>
        <v>0</v>
      </c>
    </row>
    <row r="48" spans="1:18">
      <c r="A48" s="18"/>
      <c r="B48" s="18"/>
      <c r="C48" s="19"/>
      <c r="D48" s="254" t="str">
        <f t="shared" si="6"/>
        <v/>
      </c>
      <c r="E48" s="262"/>
      <c r="F48" s="20"/>
      <c r="G48" s="223"/>
      <c r="H48" s="223"/>
      <c r="I48" s="223"/>
      <c r="J48" s="223"/>
      <c r="K48" s="105" t="str">
        <f t="shared" ca="1" si="7"/>
        <v/>
      </c>
      <c r="L48" s="263" t="str">
        <f>IF($E48="","",K48*D48)</f>
        <v/>
      </c>
      <c r="Q48" t="s">
        <v>125</v>
      </c>
      <c r="R48" t="b">
        <f t="shared" si="8"/>
        <v>0</v>
      </c>
    </row>
    <row r="49" spans="1:18">
      <c r="A49" s="18"/>
      <c r="B49" s="18"/>
      <c r="C49" s="19"/>
      <c r="D49" s="254" t="str">
        <f t="shared" si="6"/>
        <v/>
      </c>
      <c r="E49" s="262"/>
      <c r="F49" s="20"/>
      <c r="G49" s="223"/>
      <c r="H49" s="223"/>
      <c r="I49" s="223"/>
      <c r="J49" s="223"/>
      <c r="K49" s="105" t="str">
        <f t="shared" ca="1" si="7"/>
        <v/>
      </c>
      <c r="L49" s="263" t="str">
        <f>IF($E49="","",K49*D49)</f>
        <v/>
      </c>
      <c r="Q49" t="s">
        <v>125</v>
      </c>
      <c r="R49" t="b">
        <f t="shared" si="8"/>
        <v>0</v>
      </c>
    </row>
    <row r="50" spans="1:18">
      <c r="A50" s="18"/>
      <c r="B50" s="18"/>
      <c r="C50" s="19"/>
      <c r="D50" s="254" t="str">
        <f t="shared" si="6"/>
        <v/>
      </c>
      <c r="E50" s="262"/>
      <c r="F50" s="20"/>
      <c r="G50" s="223"/>
      <c r="H50" s="223"/>
      <c r="I50" s="223"/>
      <c r="J50" s="223"/>
      <c r="K50" s="105" t="str">
        <f t="shared" ca="1" si="7"/>
        <v/>
      </c>
      <c r="L50" s="263" t="str">
        <f>IF($E50="","",K50*D50)</f>
        <v/>
      </c>
      <c r="Q50" t="s">
        <v>125</v>
      </c>
      <c r="R50" t="b">
        <f t="shared" si="8"/>
        <v>0</v>
      </c>
    </row>
    <row r="51" spans="1:18">
      <c r="A51" s="18"/>
      <c r="B51" s="18"/>
      <c r="C51" s="19"/>
      <c r="D51" s="254" t="str">
        <f t="shared" si="6"/>
        <v/>
      </c>
      <c r="E51" s="262"/>
      <c r="F51" s="20"/>
      <c r="G51" s="223"/>
      <c r="H51" s="223"/>
      <c r="I51" s="223"/>
      <c r="J51" s="223"/>
      <c r="K51" s="105" t="str">
        <f t="shared" ca="1" si="7"/>
        <v/>
      </c>
      <c r="L51" s="263" t="str">
        <f>IF($E51="","",K51*D51)</f>
        <v/>
      </c>
      <c r="Q51" t="s">
        <v>125</v>
      </c>
      <c r="R51" t="b">
        <f t="shared" si="8"/>
        <v>0</v>
      </c>
    </row>
    <row r="52" spans="1:18">
      <c r="A52" s="27"/>
      <c r="B52" s="27"/>
      <c r="C52" s="28"/>
      <c r="D52" s="254" t="str">
        <f t="shared" si="6"/>
        <v/>
      </c>
      <c r="E52" s="264"/>
      <c r="F52" s="29"/>
      <c r="G52" s="224"/>
      <c r="H52" s="224"/>
      <c r="I52" s="224"/>
      <c r="J52" s="224"/>
      <c r="K52" s="105" t="str">
        <f t="shared" ca="1" si="7"/>
        <v/>
      </c>
      <c r="L52" s="263" t="str">
        <f>IF($E52="","",K52*D52)</f>
        <v/>
      </c>
      <c r="Q52" t="s">
        <v>125</v>
      </c>
      <c r="R52" t="b">
        <f t="shared" si="8"/>
        <v>0</v>
      </c>
    </row>
    <row r="53" spans="1:18" ht="13.5" thickBot="1">
      <c r="A53" s="221"/>
      <c r="B53" s="128"/>
      <c r="C53" s="222" t="s">
        <v>75</v>
      </c>
      <c r="D53" s="265">
        <f>SUM(D47:D52)</f>
        <v>0</v>
      </c>
      <c r="E53" s="185"/>
      <c r="F53" s="21"/>
      <c r="G53" s="21"/>
      <c r="H53" s="21"/>
      <c r="I53" s="21"/>
      <c r="J53" s="21"/>
      <c r="K53" s="147" t="s">
        <v>76</v>
      </c>
      <c r="L53" s="106">
        <f>SUM(L47:L52)</f>
        <v>0</v>
      </c>
    </row>
    <row r="54" spans="1:18" ht="13.5" thickTop="1">
      <c r="A54" s="432"/>
      <c r="B54" s="432"/>
      <c r="C54" s="432"/>
      <c r="D54" s="432"/>
      <c r="E54" s="432"/>
      <c r="F54" s="432"/>
      <c r="G54" s="432"/>
      <c r="H54" s="432"/>
      <c r="I54" s="432"/>
      <c r="J54" s="432"/>
      <c r="K54" s="432"/>
      <c r="L54" s="432"/>
    </row>
    <row r="55" spans="1:18">
      <c r="A55" s="433"/>
      <c r="B55" s="433"/>
      <c r="C55" s="433"/>
      <c r="D55" s="433"/>
      <c r="E55" s="433"/>
      <c r="F55" s="433"/>
      <c r="G55" s="433"/>
      <c r="H55" s="433"/>
      <c r="I55" s="433"/>
      <c r="J55" s="433"/>
      <c r="K55" s="433"/>
      <c r="L55" s="433"/>
    </row>
    <row r="56" spans="1:18">
      <c r="A56" s="433"/>
      <c r="B56" s="433"/>
      <c r="C56" s="433"/>
      <c r="D56" s="433"/>
      <c r="E56" s="433"/>
      <c r="F56" s="433"/>
      <c r="G56" s="433"/>
      <c r="H56" s="433"/>
      <c r="I56" s="433"/>
      <c r="J56" s="433"/>
      <c r="K56" s="433"/>
      <c r="L56" s="433"/>
    </row>
    <row r="57" spans="1:18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1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8">
      <c r="L59"/>
    </row>
    <row r="60" spans="1:18">
      <c r="L60"/>
    </row>
    <row r="61" spans="1:18">
      <c r="L61"/>
    </row>
    <row r="62" spans="1:18">
      <c r="L62"/>
    </row>
    <row r="63" spans="1:18">
      <c r="L63"/>
    </row>
    <row r="64" spans="1:18">
      <c r="L64"/>
    </row>
    <row r="65" spans="12:12">
      <c r="L65"/>
    </row>
    <row r="66" spans="12:12">
      <c r="L66"/>
    </row>
    <row r="67" spans="12:12">
      <c r="L67"/>
    </row>
    <row r="68" spans="12:12">
      <c r="L68"/>
    </row>
    <row r="69" spans="12:12">
      <c r="L69"/>
    </row>
    <row r="70" spans="12:12">
      <c r="L70"/>
    </row>
    <row r="71" spans="12:12">
      <c r="L71"/>
    </row>
    <row r="72" spans="12:12">
      <c r="L72"/>
    </row>
    <row r="73" spans="12:12">
      <c r="L73"/>
    </row>
    <row r="74" spans="12:12">
      <c r="L74"/>
    </row>
    <row r="75" spans="12:12">
      <c r="L75"/>
    </row>
    <row r="76" spans="12:12">
      <c r="L76"/>
    </row>
    <row r="77" spans="12:12">
      <c r="L77"/>
    </row>
    <row r="78" spans="12:12">
      <c r="L78"/>
    </row>
    <row r="79" spans="12:12">
      <c r="L79"/>
    </row>
  </sheetData>
  <sheetProtection password="836F" sheet="1" objects="1" scenarios="1"/>
  <mergeCells count="2">
    <mergeCell ref="A54:L56"/>
    <mergeCell ref="H4:L4"/>
  </mergeCells>
  <phoneticPr fontId="30" type="noConversion"/>
  <conditionalFormatting sqref="G14:G41">
    <cfRule type="cellIs" dxfId="7" priority="1" stopIfTrue="1" operator="between">
      <formula>0.001</formula>
      <formula>0.499</formula>
    </cfRule>
    <cfRule type="cellIs" dxfId="6" priority="2" stopIfTrue="1" operator="greaterThan">
      <formula>1</formula>
    </cfRule>
  </conditionalFormatting>
  <conditionalFormatting sqref="H14:H41">
    <cfRule type="cellIs" dxfId="5" priority="3" stopIfTrue="1" operator="between">
      <formula>0.001</formula>
      <formula>0.999</formula>
    </cfRule>
    <cfRule type="cellIs" dxfId="4" priority="4" stopIfTrue="1" operator="greaterThan">
      <formula>10</formula>
    </cfRule>
  </conditionalFormatting>
  <conditionalFormatting sqref="J14">
    <cfRule type="cellIs" dxfId="3" priority="5" stopIfTrue="1" operator="lessThan">
      <formula>0</formula>
    </cfRule>
    <cfRule type="cellIs" dxfId="2" priority="6" stopIfTrue="1" operator="greaterThan">
      <formula>100</formula>
    </cfRule>
  </conditionalFormatting>
  <conditionalFormatting sqref="J15:J41">
    <cfRule type="cellIs" dxfId="1" priority="7" stopIfTrue="1" operator="lessThan">
      <formula>0</formula>
    </cfRule>
    <cfRule type="cellIs" dxfId="0" priority="8" stopIfTrue="1" operator="greaterThan">
      <formula>100</formula>
    </cfRule>
  </conditionalFormatting>
  <pageMargins left="0.78740157480314965" right="0.5" top="0.68" bottom="0.72" header="0.51181102362204722" footer="0.51181102362204722"/>
  <pageSetup paperSize="9" orientation="portrait" horizontalDpi="36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Blad5"/>
  <dimension ref="A1:M103"/>
  <sheetViews>
    <sheetView showGridLines="0" workbookViewId="0">
      <pane ySplit="11" topLeftCell="A12" activePane="bottomLeft" state="frozen"/>
      <selection activeCell="B5" sqref="B5"/>
      <selection pane="bottomLeft" activeCell="F14" sqref="F14"/>
    </sheetView>
  </sheetViews>
  <sheetFormatPr defaultColWidth="8.7109375" defaultRowHeight="12.75"/>
  <cols>
    <col min="1" max="1" width="4.85546875" customWidth="1"/>
    <col min="2" max="2" width="4.7109375" customWidth="1"/>
    <col min="3" max="3" width="47" customWidth="1"/>
    <col min="4" max="4" width="9.5703125" style="236" customWidth="1"/>
    <col min="5" max="5" width="9.28515625" customWidth="1"/>
    <col min="6" max="6" width="6.85546875" style="236" customWidth="1"/>
    <col min="7" max="7" width="9.140625" customWidth="1"/>
  </cols>
  <sheetData>
    <row r="1" spans="1:13" ht="15.75">
      <c r="A1" s="321"/>
      <c r="B1" s="321"/>
      <c r="C1" s="321"/>
      <c r="D1" s="321"/>
      <c r="E1" s="321"/>
      <c r="F1" s="321"/>
      <c r="G1" s="322" t="s">
        <v>80</v>
      </c>
    </row>
    <row r="2" spans="1:13" ht="20.25">
      <c r="A2" s="373" t="str">
        <f>Fakta!$C$5</f>
        <v>Kraftringen Nät AB</v>
      </c>
      <c r="B2" s="321"/>
      <c r="C2" s="321"/>
      <c r="D2" s="321"/>
      <c r="E2" s="321"/>
      <c r="F2" s="321"/>
      <c r="G2" s="323"/>
    </row>
    <row r="3" spans="1:13" ht="11.25" customHeight="1">
      <c r="A3" s="321"/>
      <c r="B3" s="321"/>
      <c r="C3" s="321"/>
      <c r="D3" s="321"/>
      <c r="E3" s="321"/>
      <c r="F3" s="321"/>
      <c r="G3" s="321"/>
    </row>
    <row r="4" spans="1:13" ht="16.5" customHeight="1" thickBot="1">
      <c r="A4" s="324" t="s">
        <v>81</v>
      </c>
      <c r="B4" s="325"/>
      <c r="C4" s="325"/>
      <c r="D4" s="326" t="s">
        <v>20</v>
      </c>
      <c r="E4" s="436">
        <f>Sammandrag!F10</f>
        <v>0</v>
      </c>
      <c r="F4" s="436"/>
      <c r="G4" s="437"/>
    </row>
    <row r="5" spans="1:13" ht="15" customHeight="1" thickTop="1">
      <c r="A5" s="327"/>
      <c r="B5" s="328"/>
      <c r="C5" s="328"/>
      <c r="D5" s="329"/>
      <c r="E5" s="329"/>
      <c r="F5" s="329"/>
      <c r="G5" s="329"/>
      <c r="K5" s="149"/>
      <c r="L5" s="225"/>
      <c r="M5" s="288"/>
    </row>
    <row r="6" spans="1:13" ht="15" customHeight="1">
      <c r="A6" s="327" t="s">
        <v>22</v>
      </c>
      <c r="B6" s="330"/>
      <c r="C6" s="315">
        <f>Sammandrag!$B$6</f>
        <v>0</v>
      </c>
      <c r="D6" s="329"/>
      <c r="E6" s="329"/>
      <c r="F6" s="329"/>
      <c r="G6" s="329"/>
      <c r="K6" s="149"/>
      <c r="L6" s="225"/>
      <c r="M6" s="288"/>
    </row>
    <row r="7" spans="1:13" ht="15" customHeight="1">
      <c r="A7" s="331"/>
      <c r="B7" s="332"/>
      <c r="C7" s="376">
        <f>Sammandrag!$B$7</f>
        <v>0</v>
      </c>
      <c r="D7" s="332"/>
      <c r="E7" s="329"/>
      <c r="F7" s="333" t="s">
        <v>191</v>
      </c>
      <c r="G7" s="286">
        <f>ROUND(Fakta!C35*Fakta!C32/Fakta!C29,2)</f>
        <v>3.79</v>
      </c>
    </row>
    <row r="8" spans="1:13">
      <c r="A8" s="334" t="s">
        <v>82</v>
      </c>
      <c r="B8" s="330"/>
      <c r="C8" s="330"/>
      <c r="D8" s="447" t="s">
        <v>83</v>
      </c>
      <c r="E8" s="448"/>
      <c r="F8" s="335" t="s">
        <v>201</v>
      </c>
      <c r="G8" s="336" t="s">
        <v>84</v>
      </c>
    </row>
    <row r="9" spans="1:13">
      <c r="A9" s="334"/>
      <c r="B9" s="330"/>
      <c r="C9" s="330"/>
      <c r="D9" s="449" t="s">
        <v>85</v>
      </c>
      <c r="E9" s="450"/>
      <c r="F9" s="338" t="s">
        <v>200</v>
      </c>
      <c r="G9" s="336"/>
    </row>
    <row r="10" spans="1:13">
      <c r="A10" s="334"/>
      <c r="B10" s="330"/>
      <c r="C10" s="330"/>
      <c r="D10" s="337" t="s">
        <v>33</v>
      </c>
      <c r="E10" s="339" t="s">
        <v>34</v>
      </c>
      <c r="F10" s="335" t="s">
        <v>31</v>
      </c>
      <c r="G10" s="336"/>
    </row>
    <row r="11" spans="1:13">
      <c r="A11" s="340" t="s">
        <v>35</v>
      </c>
      <c r="B11" s="341" t="s">
        <v>36</v>
      </c>
      <c r="C11" s="341"/>
      <c r="D11" s="342" t="s">
        <v>37</v>
      </c>
      <c r="E11" s="343" t="s">
        <v>37</v>
      </c>
      <c r="F11" s="344" t="s">
        <v>38</v>
      </c>
      <c r="G11" s="345" t="s">
        <v>40</v>
      </c>
    </row>
    <row r="12" spans="1:13">
      <c r="A12" s="346"/>
      <c r="B12" s="347"/>
      <c r="C12" s="348"/>
      <c r="D12" s="316"/>
      <c r="E12" s="298"/>
      <c r="F12" s="319"/>
      <c r="G12" s="355">
        <f>ROUND(D12*ROUNDUP(E12,0)*IF(F12="",1,IF(F12&gt;0,1,0))*$G$7,0)</f>
        <v>0</v>
      </c>
    </row>
    <row r="13" spans="1:13">
      <c r="A13" s="346"/>
      <c r="B13" s="347"/>
      <c r="C13" s="348"/>
      <c r="D13" s="316"/>
      <c r="E13" s="298"/>
      <c r="F13" s="319"/>
      <c r="G13" s="355">
        <f t="shared" ref="G13:G48" si="0">ROUND(D13*ROUNDUP(E13,0)*IF(F13="",1,IF(F13&gt;0,1,0))*$G$7,0)</f>
        <v>0</v>
      </c>
    </row>
    <row r="14" spans="1:13">
      <c r="A14" s="346"/>
      <c r="B14" s="347"/>
      <c r="C14" s="348"/>
      <c r="D14" s="316"/>
      <c r="E14" s="298"/>
      <c r="F14" s="319"/>
      <c r="G14" s="355">
        <f t="shared" si="0"/>
        <v>0</v>
      </c>
    </row>
    <row r="15" spans="1:13">
      <c r="A15" s="346"/>
      <c r="B15" s="347"/>
      <c r="C15" s="348"/>
      <c r="D15" s="316"/>
      <c r="E15" s="298"/>
      <c r="F15" s="319"/>
      <c r="G15" s="355">
        <f t="shared" si="0"/>
        <v>0</v>
      </c>
    </row>
    <row r="16" spans="1:13">
      <c r="A16" s="346"/>
      <c r="B16" s="347"/>
      <c r="C16" s="348"/>
      <c r="D16" s="316"/>
      <c r="E16" s="298"/>
      <c r="F16" s="319"/>
      <c r="G16" s="355">
        <f t="shared" si="0"/>
        <v>0</v>
      </c>
    </row>
    <row r="17" spans="1:7">
      <c r="A17" s="346"/>
      <c r="B17" s="347"/>
      <c r="C17" s="348"/>
      <c r="D17" s="316"/>
      <c r="E17" s="298"/>
      <c r="F17" s="319"/>
      <c r="G17" s="355">
        <f t="shared" si="0"/>
        <v>0</v>
      </c>
    </row>
    <row r="18" spans="1:7">
      <c r="A18" s="346"/>
      <c r="B18" s="347"/>
      <c r="C18" s="348"/>
      <c r="D18" s="316"/>
      <c r="E18" s="298"/>
      <c r="F18" s="319"/>
      <c r="G18" s="355">
        <f>ROUND(D18*ROUNDUP(E18,0)*IF(F18="",1,IF(F18&gt;0,1,0))*$G$7,0)</f>
        <v>0</v>
      </c>
    </row>
    <row r="19" spans="1:7">
      <c r="A19" s="346"/>
      <c r="B19" s="347"/>
      <c r="C19" s="348"/>
      <c r="D19" s="316"/>
      <c r="E19" s="298"/>
      <c r="F19" s="319"/>
      <c r="G19" s="355">
        <f>ROUND(D19*ROUNDUP(E19,0)*IF(F19="",1,IF(F19&gt;0,1,0))*$G$7,0)</f>
        <v>0</v>
      </c>
    </row>
    <row r="20" spans="1:7">
      <c r="A20" s="346"/>
      <c r="B20" s="347"/>
      <c r="C20" s="348"/>
      <c r="D20" s="316"/>
      <c r="E20" s="298"/>
      <c r="F20" s="319"/>
      <c r="G20" s="355">
        <f>ROUND(D20*ROUNDUP(E20,0)*IF(F20="",1,IF(F20&gt;0,1,0))*$G$7,0)</f>
        <v>0</v>
      </c>
    </row>
    <row r="21" spans="1:7">
      <c r="A21" s="346"/>
      <c r="B21" s="347"/>
      <c r="C21" s="348"/>
      <c r="D21" s="316"/>
      <c r="E21" s="298"/>
      <c r="F21" s="319"/>
      <c r="G21" s="355">
        <f>ROUND(D21*ROUNDUP(E21,0)*IF(F21="",1,IF(F21&gt;0,1,0))*$G$7,0)</f>
        <v>0</v>
      </c>
    </row>
    <row r="22" spans="1:7">
      <c r="A22" s="346"/>
      <c r="B22" s="347"/>
      <c r="C22" s="348"/>
      <c r="D22" s="316"/>
      <c r="E22" s="298"/>
      <c r="F22" s="319"/>
      <c r="G22" s="355">
        <f>ROUND(D22*ROUNDUP(E22,0)*IF(F22="",1,IF(F22&gt;0,1,0))*$G$7,0)</f>
        <v>0</v>
      </c>
    </row>
    <row r="23" spans="1:7">
      <c r="A23" s="346"/>
      <c r="B23" s="347"/>
      <c r="C23" s="348"/>
      <c r="D23" s="316"/>
      <c r="E23" s="298"/>
      <c r="F23" s="319"/>
      <c r="G23" s="355">
        <f t="shared" si="0"/>
        <v>0</v>
      </c>
    </row>
    <row r="24" spans="1:7">
      <c r="A24" s="346"/>
      <c r="B24" s="347"/>
      <c r="C24" s="348"/>
      <c r="D24" s="316"/>
      <c r="E24" s="298"/>
      <c r="F24" s="319"/>
      <c r="G24" s="355">
        <f t="shared" si="0"/>
        <v>0</v>
      </c>
    </row>
    <row r="25" spans="1:7">
      <c r="A25" s="346"/>
      <c r="B25" s="347"/>
      <c r="C25" s="348"/>
      <c r="D25" s="316"/>
      <c r="E25" s="298"/>
      <c r="F25" s="319"/>
      <c r="G25" s="355">
        <f t="shared" si="0"/>
        <v>0</v>
      </c>
    </row>
    <row r="26" spans="1:7">
      <c r="A26" s="346"/>
      <c r="B26" s="347"/>
      <c r="C26" s="348"/>
      <c r="D26" s="316"/>
      <c r="E26" s="298"/>
      <c r="F26" s="319"/>
      <c r="G26" s="355">
        <f t="shared" si="0"/>
        <v>0</v>
      </c>
    </row>
    <row r="27" spans="1:7">
      <c r="A27" s="346"/>
      <c r="B27" s="347"/>
      <c r="C27" s="348"/>
      <c r="D27" s="316"/>
      <c r="E27" s="298"/>
      <c r="F27" s="319"/>
      <c r="G27" s="355">
        <f t="shared" si="0"/>
        <v>0</v>
      </c>
    </row>
    <row r="28" spans="1:7">
      <c r="A28" s="346"/>
      <c r="B28" s="347"/>
      <c r="C28" s="348"/>
      <c r="D28" s="316"/>
      <c r="E28" s="298"/>
      <c r="F28" s="319"/>
      <c r="G28" s="355">
        <f t="shared" si="0"/>
        <v>0</v>
      </c>
    </row>
    <row r="29" spans="1:7">
      <c r="A29" s="346"/>
      <c r="B29" s="347"/>
      <c r="C29" s="348"/>
      <c r="D29" s="316"/>
      <c r="E29" s="298"/>
      <c r="F29" s="319"/>
      <c r="G29" s="355">
        <f t="shared" si="0"/>
        <v>0</v>
      </c>
    </row>
    <row r="30" spans="1:7">
      <c r="A30" s="346"/>
      <c r="B30" s="347"/>
      <c r="C30" s="348"/>
      <c r="D30" s="316"/>
      <c r="E30" s="298"/>
      <c r="F30" s="319"/>
      <c r="G30" s="355">
        <f t="shared" si="0"/>
        <v>0</v>
      </c>
    </row>
    <row r="31" spans="1:7">
      <c r="A31" s="346"/>
      <c r="B31" s="347"/>
      <c r="C31" s="348"/>
      <c r="D31" s="316"/>
      <c r="E31" s="298"/>
      <c r="F31" s="319"/>
      <c r="G31" s="355">
        <f t="shared" si="0"/>
        <v>0</v>
      </c>
    </row>
    <row r="32" spans="1:7">
      <c r="A32" s="346"/>
      <c r="B32" s="347"/>
      <c r="C32" s="348"/>
      <c r="D32" s="316"/>
      <c r="E32" s="298"/>
      <c r="F32" s="319"/>
      <c r="G32" s="355">
        <f t="shared" si="0"/>
        <v>0</v>
      </c>
    </row>
    <row r="33" spans="1:7">
      <c r="A33" s="346"/>
      <c r="B33" s="347"/>
      <c r="C33" s="348"/>
      <c r="D33" s="316"/>
      <c r="E33" s="298"/>
      <c r="F33" s="319"/>
      <c r="G33" s="355">
        <f t="shared" si="0"/>
        <v>0</v>
      </c>
    </row>
    <row r="34" spans="1:7">
      <c r="A34" s="346"/>
      <c r="B34" s="347"/>
      <c r="C34" s="348"/>
      <c r="D34" s="316"/>
      <c r="E34" s="298"/>
      <c r="F34" s="319"/>
      <c r="G34" s="355">
        <f t="shared" si="0"/>
        <v>0</v>
      </c>
    </row>
    <row r="35" spans="1:7">
      <c r="A35" s="346"/>
      <c r="B35" s="347"/>
      <c r="C35" s="348"/>
      <c r="D35" s="316"/>
      <c r="E35" s="298"/>
      <c r="F35" s="319"/>
      <c r="G35" s="355">
        <f t="shared" si="0"/>
        <v>0</v>
      </c>
    </row>
    <row r="36" spans="1:7">
      <c r="A36" s="346"/>
      <c r="B36" s="347"/>
      <c r="C36" s="348"/>
      <c r="D36" s="316"/>
      <c r="E36" s="298"/>
      <c r="F36" s="319"/>
      <c r="G36" s="355">
        <f t="shared" si="0"/>
        <v>0</v>
      </c>
    </row>
    <row r="37" spans="1:7">
      <c r="A37" s="346"/>
      <c r="B37" s="347"/>
      <c r="C37" s="348"/>
      <c r="D37" s="316"/>
      <c r="E37" s="298"/>
      <c r="F37" s="319"/>
      <c r="G37" s="355">
        <f t="shared" si="0"/>
        <v>0</v>
      </c>
    </row>
    <row r="38" spans="1:7">
      <c r="A38" s="346"/>
      <c r="B38" s="347"/>
      <c r="C38" s="348"/>
      <c r="D38" s="316"/>
      <c r="E38" s="298"/>
      <c r="F38" s="319"/>
      <c r="G38" s="355">
        <f t="shared" si="0"/>
        <v>0</v>
      </c>
    </row>
    <row r="39" spans="1:7">
      <c r="A39" s="346"/>
      <c r="B39" s="347"/>
      <c r="C39" s="348"/>
      <c r="D39" s="316"/>
      <c r="E39" s="298"/>
      <c r="F39" s="319"/>
      <c r="G39" s="355">
        <f t="shared" si="0"/>
        <v>0</v>
      </c>
    </row>
    <row r="40" spans="1:7">
      <c r="A40" s="346"/>
      <c r="B40" s="347"/>
      <c r="C40" s="348"/>
      <c r="D40" s="316"/>
      <c r="E40" s="298"/>
      <c r="F40" s="319"/>
      <c r="G40" s="355">
        <f t="shared" si="0"/>
        <v>0</v>
      </c>
    </row>
    <row r="41" spans="1:7">
      <c r="A41" s="346"/>
      <c r="B41" s="347"/>
      <c r="C41" s="348"/>
      <c r="D41" s="316"/>
      <c r="E41" s="298"/>
      <c r="F41" s="319"/>
      <c r="G41" s="355">
        <f t="shared" si="0"/>
        <v>0</v>
      </c>
    </row>
    <row r="42" spans="1:7">
      <c r="A42" s="346"/>
      <c r="B42" s="347"/>
      <c r="C42" s="348"/>
      <c r="D42" s="316"/>
      <c r="E42" s="298"/>
      <c r="F42" s="319"/>
      <c r="G42" s="355">
        <f t="shared" si="0"/>
        <v>0</v>
      </c>
    </row>
    <row r="43" spans="1:7">
      <c r="A43" s="346"/>
      <c r="B43" s="347"/>
      <c r="C43" s="348"/>
      <c r="D43" s="316"/>
      <c r="E43" s="298"/>
      <c r="F43" s="319"/>
      <c r="G43" s="355">
        <f t="shared" si="0"/>
        <v>0</v>
      </c>
    </row>
    <row r="44" spans="1:7">
      <c r="A44" s="346"/>
      <c r="B44" s="347"/>
      <c r="C44" s="348"/>
      <c r="D44" s="316"/>
      <c r="E44" s="298"/>
      <c r="F44" s="319"/>
      <c r="G44" s="355">
        <f t="shared" si="0"/>
        <v>0</v>
      </c>
    </row>
    <row r="45" spans="1:7">
      <c r="A45" s="346"/>
      <c r="B45" s="347"/>
      <c r="C45" s="348"/>
      <c r="D45" s="316"/>
      <c r="E45" s="298"/>
      <c r="F45" s="319"/>
      <c r="G45" s="355">
        <f t="shared" si="0"/>
        <v>0</v>
      </c>
    </row>
    <row r="46" spans="1:7">
      <c r="A46" s="346"/>
      <c r="B46" s="347"/>
      <c r="C46" s="348"/>
      <c r="D46" s="316"/>
      <c r="E46" s="298"/>
      <c r="F46" s="319"/>
      <c r="G46" s="355">
        <f t="shared" si="0"/>
        <v>0</v>
      </c>
    </row>
    <row r="47" spans="1:7">
      <c r="A47" s="346"/>
      <c r="B47" s="347"/>
      <c r="C47" s="348"/>
      <c r="D47" s="316"/>
      <c r="E47" s="298"/>
      <c r="F47" s="319"/>
      <c r="G47" s="355">
        <f t="shared" si="0"/>
        <v>0</v>
      </c>
    </row>
    <row r="48" spans="1:7" ht="12.75" customHeight="1">
      <c r="A48" s="349"/>
      <c r="B48" s="350"/>
      <c r="C48" s="351"/>
      <c r="D48" s="317"/>
      <c r="E48" s="304"/>
      <c r="F48" s="320"/>
      <c r="G48" s="356">
        <f t="shared" si="0"/>
        <v>0</v>
      </c>
    </row>
    <row r="49" spans="1:7" ht="21.75" customHeight="1" thickBot="1">
      <c r="A49" s="352"/>
      <c r="B49" s="353"/>
      <c r="C49" s="353"/>
      <c r="D49" s="353"/>
      <c r="E49" s="354" t="s">
        <v>192</v>
      </c>
      <c r="F49" s="354"/>
      <c r="G49" s="175">
        <f>SUM(G12:G48)</f>
        <v>0</v>
      </c>
    </row>
    <row r="50" spans="1:7" ht="37.5" customHeight="1" thickTop="1">
      <c r="A50" s="451" t="s">
        <v>203</v>
      </c>
      <c r="B50" s="452"/>
      <c r="C50" s="452"/>
      <c r="D50" s="452"/>
      <c r="E50" s="452"/>
      <c r="F50" s="452"/>
      <c r="G50" s="453"/>
    </row>
    <row r="51" spans="1:7" ht="4.5" customHeight="1">
      <c r="A51" s="454"/>
      <c r="B51" s="455"/>
      <c r="C51" s="455"/>
      <c r="D51" s="455"/>
      <c r="E51" s="455"/>
      <c r="F51" s="455"/>
      <c r="G51" s="456"/>
    </row>
    <row r="52" spans="1:7">
      <c r="A52" s="457"/>
      <c r="B52" s="458"/>
      <c r="C52" s="458"/>
      <c r="D52" s="458"/>
      <c r="E52" s="458"/>
      <c r="F52" s="458"/>
      <c r="G52" s="459"/>
    </row>
    <row r="53" spans="1:7">
      <c r="A53" s="438"/>
      <c r="B53" s="439"/>
      <c r="C53" s="439"/>
      <c r="D53" s="439"/>
      <c r="E53" s="439"/>
      <c r="F53" s="439"/>
      <c r="G53" s="440"/>
    </row>
    <row r="54" spans="1:7">
      <c r="A54" s="441"/>
      <c r="B54" s="442"/>
      <c r="C54" s="442"/>
      <c r="D54" s="442"/>
      <c r="E54" s="442"/>
      <c r="F54" s="442"/>
      <c r="G54" s="443"/>
    </row>
    <row r="55" spans="1:7">
      <c r="A55" s="444"/>
      <c r="B55" s="445"/>
      <c r="C55" s="445"/>
      <c r="D55" s="445"/>
      <c r="E55" s="445"/>
      <c r="F55" s="445"/>
      <c r="G55" s="446"/>
    </row>
    <row r="56" spans="1:7">
      <c r="A56" s="6"/>
      <c r="B56" s="6"/>
      <c r="C56" s="6"/>
      <c r="D56" s="318"/>
      <c r="E56" s="6"/>
      <c r="F56" s="318"/>
    </row>
    <row r="57" spans="1:7">
      <c r="A57" s="6"/>
      <c r="B57" s="6"/>
      <c r="C57" s="6"/>
      <c r="D57" s="318"/>
      <c r="E57" s="6"/>
      <c r="F57" s="318"/>
    </row>
    <row r="58" spans="1:7">
      <c r="A58" s="6"/>
      <c r="B58" s="6"/>
      <c r="C58" s="6"/>
      <c r="D58" s="318"/>
      <c r="E58" s="6"/>
      <c r="F58" s="318"/>
    </row>
    <row r="59" spans="1:7">
      <c r="A59" s="6"/>
      <c r="B59" s="6"/>
      <c r="C59" s="6"/>
      <c r="D59" s="318"/>
      <c r="E59" s="6"/>
      <c r="F59" s="318"/>
    </row>
    <row r="60" spans="1:7">
      <c r="A60" s="6"/>
      <c r="B60" s="6"/>
      <c r="C60" s="6"/>
      <c r="D60" s="318"/>
      <c r="E60" s="6"/>
      <c r="F60" s="318"/>
    </row>
    <row r="61" spans="1:7">
      <c r="A61" s="6"/>
      <c r="B61" s="6"/>
      <c r="C61" s="6"/>
      <c r="D61" s="318"/>
      <c r="E61" s="6"/>
      <c r="F61" s="318"/>
    </row>
    <row r="62" spans="1:7">
      <c r="A62" s="6"/>
      <c r="B62" s="6"/>
      <c r="C62" s="6"/>
      <c r="D62" s="318"/>
      <c r="E62" s="6"/>
      <c r="F62" s="318"/>
    </row>
    <row r="63" spans="1:7">
      <c r="A63" s="6"/>
      <c r="B63" s="6"/>
      <c r="C63" s="6"/>
      <c r="D63" s="318"/>
      <c r="E63" s="6"/>
      <c r="F63" s="318"/>
    </row>
    <row r="64" spans="1:7">
      <c r="A64" s="6"/>
      <c r="B64" s="6"/>
      <c r="C64" s="6"/>
      <c r="D64" s="318"/>
      <c r="E64" s="6"/>
      <c r="F64" s="318"/>
    </row>
    <row r="65" spans="1:6">
      <c r="A65" s="6"/>
      <c r="B65" s="6"/>
      <c r="C65" s="6"/>
      <c r="D65" s="318"/>
      <c r="E65" s="6"/>
      <c r="F65" s="318"/>
    </row>
    <row r="66" spans="1:6">
      <c r="A66" s="6"/>
      <c r="B66" s="6"/>
      <c r="C66" s="6"/>
      <c r="D66" s="318"/>
      <c r="E66" s="6"/>
      <c r="F66" s="318"/>
    </row>
    <row r="67" spans="1:6">
      <c r="A67" s="6"/>
      <c r="B67" s="6"/>
      <c r="C67" s="6"/>
      <c r="D67" s="318"/>
      <c r="E67" s="6"/>
      <c r="F67" s="318"/>
    </row>
    <row r="68" spans="1:6">
      <c r="A68" s="6"/>
      <c r="B68" s="6"/>
      <c r="C68" s="6"/>
      <c r="D68" s="318"/>
      <c r="E68" s="6"/>
      <c r="F68" s="318"/>
    </row>
    <row r="69" spans="1:6">
      <c r="A69" s="6"/>
      <c r="B69" s="6"/>
      <c r="C69" s="6"/>
      <c r="D69" s="318"/>
      <c r="E69" s="6"/>
      <c r="F69" s="318"/>
    </row>
    <row r="70" spans="1:6">
      <c r="A70" s="6"/>
      <c r="B70" s="6"/>
      <c r="C70" s="6"/>
      <c r="D70" s="318"/>
      <c r="E70" s="6"/>
      <c r="F70" s="318"/>
    </row>
    <row r="71" spans="1:6">
      <c r="A71" s="6"/>
      <c r="B71" s="6"/>
      <c r="C71" s="6"/>
      <c r="D71" s="318"/>
      <c r="E71" s="6"/>
      <c r="F71" s="318"/>
    </row>
    <row r="72" spans="1:6">
      <c r="A72" s="6"/>
      <c r="B72" s="6"/>
      <c r="C72" s="6"/>
      <c r="D72" s="318"/>
      <c r="E72" s="6"/>
      <c r="F72" s="318"/>
    </row>
    <row r="73" spans="1:6">
      <c r="A73" s="6"/>
      <c r="B73" s="6"/>
      <c r="C73" s="6"/>
      <c r="D73" s="318"/>
      <c r="E73" s="6"/>
      <c r="F73" s="318"/>
    </row>
    <row r="74" spans="1:6">
      <c r="A74" s="6"/>
      <c r="B74" s="6"/>
      <c r="C74" s="6"/>
      <c r="D74" s="318"/>
      <c r="E74" s="6"/>
      <c r="F74" s="318"/>
    </row>
    <row r="75" spans="1:6">
      <c r="A75" s="6"/>
      <c r="B75" s="6"/>
      <c r="C75" s="6"/>
      <c r="D75" s="318"/>
      <c r="E75" s="6"/>
      <c r="F75" s="318"/>
    </row>
    <row r="76" spans="1:6">
      <c r="A76" s="6"/>
      <c r="B76" s="6"/>
      <c r="C76" s="6"/>
      <c r="D76" s="318"/>
      <c r="E76" s="6"/>
      <c r="F76" s="318"/>
    </row>
    <row r="77" spans="1:6">
      <c r="A77" s="6"/>
      <c r="B77" s="6"/>
      <c r="C77" s="6"/>
      <c r="D77" s="318"/>
      <c r="E77" s="6"/>
      <c r="F77" s="318"/>
    </row>
    <row r="78" spans="1:6">
      <c r="A78" s="6"/>
      <c r="B78" s="6"/>
      <c r="C78" s="6"/>
      <c r="D78" s="318"/>
      <c r="E78" s="6"/>
      <c r="F78" s="318"/>
    </row>
    <row r="79" spans="1:6">
      <c r="A79" s="6"/>
      <c r="B79" s="6"/>
      <c r="C79" s="6"/>
      <c r="D79" s="318"/>
      <c r="E79" s="6"/>
      <c r="F79" s="318"/>
    </row>
    <row r="80" spans="1:6">
      <c r="A80" s="6"/>
      <c r="B80" s="6"/>
      <c r="C80" s="6"/>
      <c r="D80" s="318"/>
      <c r="E80" s="6"/>
      <c r="F80" s="318"/>
    </row>
    <row r="81" spans="1:6">
      <c r="A81" s="6"/>
      <c r="B81" s="6"/>
      <c r="C81" s="6"/>
      <c r="D81" s="318"/>
      <c r="E81" s="6"/>
      <c r="F81" s="318"/>
    </row>
    <row r="82" spans="1:6">
      <c r="A82" s="6"/>
      <c r="B82" s="6"/>
      <c r="C82" s="6"/>
      <c r="D82" s="318"/>
      <c r="E82" s="6"/>
      <c r="F82" s="318"/>
    </row>
    <row r="83" spans="1:6">
      <c r="A83" s="6"/>
      <c r="B83" s="6"/>
      <c r="C83" s="6"/>
      <c r="D83" s="318"/>
      <c r="E83" s="6"/>
      <c r="F83" s="318"/>
    </row>
    <row r="84" spans="1:6">
      <c r="A84" s="6"/>
      <c r="B84" s="6"/>
      <c r="C84" s="6"/>
      <c r="D84" s="318"/>
      <c r="E84" s="6"/>
      <c r="F84" s="318"/>
    </row>
    <row r="85" spans="1:6">
      <c r="A85" s="6"/>
      <c r="B85" s="6"/>
      <c r="C85" s="6"/>
      <c r="D85" s="318"/>
      <c r="E85" s="6"/>
      <c r="F85" s="318"/>
    </row>
    <row r="86" spans="1:6">
      <c r="A86" s="6"/>
      <c r="B86" s="6"/>
      <c r="C86" s="6"/>
      <c r="D86" s="318"/>
      <c r="E86" s="6"/>
      <c r="F86" s="318"/>
    </row>
    <row r="87" spans="1:6">
      <c r="A87" s="6"/>
      <c r="B87" s="6"/>
      <c r="C87" s="6"/>
      <c r="D87" s="318"/>
      <c r="E87" s="6"/>
      <c r="F87" s="318"/>
    </row>
    <row r="88" spans="1:6">
      <c r="A88" s="6"/>
      <c r="B88" s="6"/>
      <c r="C88" s="6"/>
      <c r="D88" s="318"/>
      <c r="E88" s="6"/>
      <c r="F88" s="318"/>
    </row>
    <row r="89" spans="1:6">
      <c r="A89" s="6"/>
      <c r="B89" s="6"/>
      <c r="C89" s="6"/>
      <c r="D89" s="318"/>
      <c r="E89" s="6"/>
      <c r="F89" s="318"/>
    </row>
    <row r="90" spans="1:6">
      <c r="A90" s="6"/>
      <c r="B90" s="6"/>
      <c r="C90" s="6"/>
      <c r="D90" s="318"/>
      <c r="E90" s="6"/>
      <c r="F90" s="318"/>
    </row>
    <row r="91" spans="1:6">
      <c r="A91" s="6"/>
      <c r="B91" s="6"/>
      <c r="C91" s="6"/>
      <c r="D91" s="318"/>
      <c r="E91" s="6"/>
      <c r="F91" s="318"/>
    </row>
    <row r="92" spans="1:6">
      <c r="A92" s="6"/>
      <c r="B92" s="6"/>
      <c r="C92" s="6"/>
      <c r="D92" s="318"/>
      <c r="E92" s="6"/>
      <c r="F92" s="318"/>
    </row>
    <row r="93" spans="1:6">
      <c r="A93" s="6"/>
      <c r="B93" s="6"/>
      <c r="C93" s="6"/>
      <c r="D93" s="318"/>
      <c r="E93" s="6"/>
      <c r="F93" s="318"/>
    </row>
    <row r="94" spans="1:6">
      <c r="A94" s="6"/>
      <c r="B94" s="6"/>
      <c r="C94" s="6"/>
      <c r="D94" s="318"/>
      <c r="E94" s="6"/>
      <c r="F94" s="318"/>
    </row>
    <row r="95" spans="1:6">
      <c r="A95" s="6"/>
      <c r="B95" s="6"/>
      <c r="C95" s="6"/>
      <c r="D95" s="318"/>
      <c r="E95" s="6"/>
      <c r="F95" s="318"/>
    </row>
    <row r="96" spans="1:6">
      <c r="A96" s="6"/>
      <c r="B96" s="6"/>
      <c r="C96" s="6"/>
      <c r="D96" s="318"/>
      <c r="E96" s="6"/>
      <c r="F96" s="318"/>
    </row>
    <row r="97" spans="1:6">
      <c r="A97" s="6"/>
      <c r="B97" s="6"/>
      <c r="C97" s="6"/>
      <c r="D97" s="318"/>
      <c r="E97" s="6"/>
      <c r="F97" s="318"/>
    </row>
    <row r="98" spans="1:6">
      <c r="A98" s="6"/>
      <c r="B98" s="6"/>
      <c r="C98" s="6"/>
      <c r="D98" s="318"/>
      <c r="E98" s="6"/>
      <c r="F98" s="318"/>
    </row>
    <row r="99" spans="1:6">
      <c r="A99" s="6"/>
      <c r="B99" s="6"/>
      <c r="C99" s="6"/>
      <c r="D99" s="318"/>
      <c r="E99" s="6"/>
      <c r="F99" s="318"/>
    </row>
    <row r="100" spans="1:6">
      <c r="A100" s="6"/>
      <c r="B100" s="6"/>
      <c r="C100" s="6"/>
      <c r="D100" s="318"/>
      <c r="E100" s="6"/>
      <c r="F100" s="318"/>
    </row>
    <row r="101" spans="1:6">
      <c r="A101" s="6"/>
      <c r="B101" s="6"/>
      <c r="C101" s="6"/>
      <c r="D101" s="318"/>
      <c r="E101" s="6"/>
      <c r="F101" s="318"/>
    </row>
    <row r="102" spans="1:6">
      <c r="A102" s="6"/>
      <c r="B102" s="6"/>
      <c r="C102" s="6"/>
      <c r="D102" s="318"/>
      <c r="E102" s="6"/>
      <c r="F102" s="318"/>
    </row>
    <row r="103" spans="1:6">
      <c r="A103" s="6"/>
      <c r="B103" s="6"/>
      <c r="C103" s="6"/>
      <c r="D103" s="318"/>
      <c r="E103" s="6"/>
      <c r="F103" s="318"/>
    </row>
  </sheetData>
  <sheetProtection password="836F" sheet="1" objects="1" scenarios="1"/>
  <mergeCells count="5">
    <mergeCell ref="E4:G4"/>
    <mergeCell ref="A53:G55"/>
    <mergeCell ref="D8:E8"/>
    <mergeCell ref="D9:E9"/>
    <mergeCell ref="A50:G52"/>
  </mergeCells>
  <phoneticPr fontId="30" type="noConversion"/>
  <printOptions gridLinesSet="0"/>
  <pageMargins left="0.78740157480314965" right="0.39370078740157483" top="0.47244094488188981" bottom="0.6692913385826772" header="0.39370078740157483" footer="0.47244094488188981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Blad6"/>
  <dimension ref="A1:G50"/>
  <sheetViews>
    <sheetView showGridLines="0" zoomScale="90" workbookViewId="0">
      <pane ySplit="3" topLeftCell="A4" activePane="bottomLeft" state="frozen"/>
      <selection pane="bottomLeft" activeCell="F29" sqref="F29"/>
    </sheetView>
  </sheetViews>
  <sheetFormatPr defaultColWidth="9.140625" defaultRowHeight="12.75"/>
  <cols>
    <col min="1" max="1" width="3.7109375" style="132" customWidth="1"/>
    <col min="2" max="2" width="41.42578125" style="132" customWidth="1"/>
    <col min="3" max="5" width="9.140625" style="132"/>
    <col min="6" max="6" width="8.42578125" style="132" customWidth="1"/>
    <col min="7" max="16384" width="9.140625" style="132"/>
  </cols>
  <sheetData>
    <row r="1" spans="1:7" ht="15.75" customHeight="1">
      <c r="G1" s="273" t="s">
        <v>86</v>
      </c>
    </row>
    <row r="2" spans="1:7" ht="20.25" customHeight="1">
      <c r="A2" s="358" t="s">
        <v>87</v>
      </c>
      <c r="G2" s="311"/>
    </row>
    <row r="3" spans="1:7" ht="20.100000000000001" customHeight="1">
      <c r="A3" s="44"/>
      <c r="B3" s="44"/>
      <c r="G3" s="270"/>
    </row>
    <row r="4" spans="1:7" ht="15.75">
      <c r="A4" s="358" t="s">
        <v>88</v>
      </c>
      <c r="B4" s="359"/>
    </row>
    <row r="5" spans="1:7" ht="20.25" customHeight="1">
      <c r="A5" s="359" t="s">
        <v>89</v>
      </c>
      <c r="B5" s="359"/>
      <c r="C5" s="460" t="s">
        <v>224</v>
      </c>
      <c r="D5" s="461"/>
      <c r="E5" s="461"/>
      <c r="F5" s="461"/>
      <c r="G5" s="462"/>
    </row>
    <row r="6" spans="1:7" ht="15.75">
      <c r="A6" s="359"/>
      <c r="B6" s="359"/>
      <c r="C6" s="360"/>
    </row>
    <row r="7" spans="1:7" ht="15.75">
      <c r="A7" s="359" t="s">
        <v>3</v>
      </c>
      <c r="B7" s="359"/>
      <c r="C7" s="363">
        <v>44500</v>
      </c>
    </row>
    <row r="8" spans="1:7">
      <c r="A8" s="44"/>
      <c r="B8" s="44"/>
    </row>
    <row r="9" spans="1:7" ht="15.75">
      <c r="A9" s="358" t="s">
        <v>90</v>
      </c>
      <c r="B9" s="44"/>
    </row>
    <row r="10" spans="1:7" ht="6" customHeight="1">
      <c r="A10" s="361"/>
      <c r="B10" s="44"/>
    </row>
    <row r="11" spans="1:7" ht="15.75">
      <c r="A11" s="359" t="s">
        <v>91</v>
      </c>
      <c r="B11" s="44"/>
      <c r="C11" s="299">
        <v>282.89</v>
      </c>
    </row>
    <row r="12" spans="1:7">
      <c r="A12" s="44"/>
      <c r="B12" s="362" t="s">
        <v>199</v>
      </c>
    </row>
    <row r="13" spans="1:7">
      <c r="A13" s="44"/>
      <c r="B13" s="44"/>
    </row>
    <row r="14" spans="1:7" ht="15.75">
      <c r="A14" s="359" t="s">
        <v>92</v>
      </c>
      <c r="B14" s="44"/>
      <c r="C14" s="390">
        <v>313.43</v>
      </c>
    </row>
    <row r="15" spans="1:7">
      <c r="A15" s="44"/>
      <c r="B15" s="362" t="s">
        <v>196</v>
      </c>
    </row>
    <row r="16" spans="1:7">
      <c r="A16" s="44"/>
      <c r="B16" s="362"/>
    </row>
    <row r="17" spans="1:3" ht="15.75">
      <c r="A17" s="359" t="s">
        <v>93</v>
      </c>
      <c r="B17" s="44"/>
      <c r="C17" s="226" t="s">
        <v>103</v>
      </c>
    </row>
    <row r="18" spans="1:3">
      <c r="A18" s="44"/>
      <c r="B18" s="362" t="s">
        <v>94</v>
      </c>
    </row>
    <row r="19" spans="1:3">
      <c r="A19" s="44"/>
      <c r="B19" s="362"/>
    </row>
    <row r="20" spans="1:3" ht="15.75">
      <c r="A20" s="358" t="s">
        <v>95</v>
      </c>
      <c r="B20" s="44"/>
    </row>
    <row r="21" spans="1:3" ht="6" customHeight="1">
      <c r="A21" s="361"/>
      <c r="B21" s="44"/>
    </row>
    <row r="22" spans="1:3" ht="15.75">
      <c r="A22" s="359" t="s">
        <v>96</v>
      </c>
      <c r="B22" s="44"/>
      <c r="C22" s="297">
        <v>34</v>
      </c>
    </row>
    <row r="23" spans="1:3">
      <c r="A23" s="44"/>
      <c r="B23" s="44"/>
    </row>
    <row r="24" spans="1:3" ht="15.75">
      <c r="A24" s="359" t="s">
        <v>179</v>
      </c>
      <c r="B24" s="44"/>
      <c r="C24" s="226" t="s">
        <v>221</v>
      </c>
    </row>
    <row r="25" spans="1:3">
      <c r="A25" s="44"/>
      <c r="B25" s="362" t="s">
        <v>178</v>
      </c>
    </row>
    <row r="26" spans="1:3">
      <c r="A26" s="44"/>
      <c r="B26" s="362"/>
    </row>
    <row r="27" spans="1:3" ht="15.75">
      <c r="A27" s="358" t="s">
        <v>97</v>
      </c>
      <c r="B27" s="44"/>
    </row>
    <row r="28" spans="1:3" ht="6" customHeight="1">
      <c r="A28" s="361"/>
      <c r="B28" s="44"/>
    </row>
    <row r="29" spans="1:3" ht="15.75">
      <c r="A29" s="359" t="s">
        <v>98</v>
      </c>
      <c r="B29" s="44"/>
      <c r="C29" s="296">
        <v>256.89999999999998</v>
      </c>
    </row>
    <row r="30" spans="1:3">
      <c r="A30" s="44"/>
      <c r="B30" s="362" t="s">
        <v>99</v>
      </c>
    </row>
    <row r="31" spans="1:3">
      <c r="A31" s="44"/>
      <c r="B31" s="44"/>
    </row>
    <row r="32" spans="1:3" ht="15.75">
      <c r="A32" s="359" t="s">
        <v>100</v>
      </c>
      <c r="B32" s="44"/>
      <c r="C32" s="226">
        <v>314.02</v>
      </c>
    </row>
    <row r="33" spans="1:3">
      <c r="A33" s="44"/>
      <c r="B33" s="362" t="s">
        <v>184</v>
      </c>
    </row>
    <row r="34" spans="1:3">
      <c r="A34" s="44"/>
      <c r="B34" s="44"/>
    </row>
    <row r="35" spans="1:3" ht="15.75">
      <c r="A35" s="359" t="s">
        <v>202</v>
      </c>
      <c r="B35" s="44"/>
      <c r="C35" s="299">
        <v>3.1</v>
      </c>
    </row>
    <row r="36" spans="1:3">
      <c r="A36" s="44"/>
      <c r="B36" s="362"/>
    </row>
    <row r="37" spans="1:3">
      <c r="A37" s="44"/>
      <c r="B37" s="362"/>
    </row>
    <row r="38" spans="1:3">
      <c r="A38" s="44"/>
      <c r="B38" s="44"/>
    </row>
    <row r="39" spans="1:3" ht="15.75">
      <c r="A39" s="359" t="s">
        <v>190</v>
      </c>
      <c r="B39" s="44"/>
      <c r="C39" s="299">
        <v>5</v>
      </c>
    </row>
    <row r="40" spans="1:3">
      <c r="A40" s="44"/>
      <c r="B40" s="44"/>
    </row>
    <row r="41" spans="1:3">
      <c r="A41" s="44"/>
      <c r="B41" s="44"/>
    </row>
    <row r="42" spans="1:3">
      <c r="A42" s="44"/>
      <c r="B42" s="44"/>
    </row>
    <row r="43" spans="1:3">
      <c r="A43" s="44"/>
      <c r="B43" s="44"/>
    </row>
    <row r="44" spans="1:3">
      <c r="A44" s="44"/>
      <c r="B44" s="44"/>
    </row>
    <row r="45" spans="1:3">
      <c r="A45" s="44"/>
      <c r="B45" s="44"/>
    </row>
    <row r="46" spans="1:3">
      <c r="A46" s="44"/>
      <c r="B46" s="44"/>
    </row>
    <row r="47" spans="1:3">
      <c r="A47" s="44"/>
      <c r="B47" s="44"/>
    </row>
    <row r="48" spans="1:3">
      <c r="A48" s="44"/>
      <c r="B48" s="44"/>
    </row>
    <row r="49" spans="1:2">
      <c r="A49" s="44"/>
      <c r="B49" s="44"/>
    </row>
    <row r="50" spans="1:2">
      <c r="A50" s="44"/>
      <c r="B50" s="44"/>
    </row>
  </sheetData>
  <sheetProtection password="836F" sheet="1" objects="1" scenarios="1"/>
  <protectedRanges>
    <protectedRange sqref="C5:G5 C7 C14 C17 C22 C24 C32" name="Område1"/>
  </protectedRanges>
  <mergeCells count="1">
    <mergeCell ref="C5:G5"/>
  </mergeCells>
  <phoneticPr fontId="30" type="noConversion"/>
  <pageMargins left="0.78740157480314965" right="0.23" top="0.47244094488188981" bottom="0.6692913385826772" header="0.39370078740157483" footer="0.47244094488188981"/>
  <pageSetup paperSize="9" orientation="portrait" horizontalDpi="300" verticalDpi="300" r:id="rId1"/>
  <headerFooter alignWithMargins="0">
    <oddFooter>&amp;L&amp;8*\VP2001\&amp;A     Svensk Energi år 2001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codeName="Blad7"/>
  <dimension ref="A1:V40"/>
  <sheetViews>
    <sheetView zoomScaleNormal="75" workbookViewId="0">
      <selection activeCell="O15" sqref="O15"/>
    </sheetView>
  </sheetViews>
  <sheetFormatPr defaultRowHeight="12.75"/>
  <cols>
    <col min="1" max="1" width="6.42578125" customWidth="1"/>
    <col min="2" max="21" width="6.28515625" customWidth="1"/>
    <col min="22" max="22" width="1.42578125" customWidth="1"/>
  </cols>
  <sheetData>
    <row r="1" spans="1:22" ht="4.5" customHeight="1">
      <c r="A1" s="55"/>
      <c r="U1">
        <v>1996</v>
      </c>
    </row>
    <row r="3" spans="1:22" ht="15.75">
      <c r="A3" s="56" t="s">
        <v>101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2" ht="20.100000000000001" customHeight="1">
      <c r="A4" s="56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2">
      <c r="A5" s="57" t="s">
        <v>102</v>
      </c>
      <c r="B5" s="3"/>
      <c r="C5" s="3"/>
      <c r="D5" s="58" t="s">
        <v>103</v>
      </c>
      <c r="E5" s="3"/>
      <c r="F5" s="3"/>
      <c r="G5" s="58" t="s">
        <v>104</v>
      </c>
      <c r="H5" s="3"/>
      <c r="I5" s="463">
        <v>38777</v>
      </c>
      <c r="J5" s="463"/>
      <c r="K5" s="3"/>
      <c r="M5" s="3"/>
      <c r="N5" s="3"/>
      <c r="O5" s="3"/>
      <c r="P5" s="60" t="s">
        <v>105</v>
      </c>
      <c r="Q5" s="464">
        <v>282.89</v>
      </c>
      <c r="R5" s="465"/>
      <c r="S5" s="3"/>
      <c r="T5" s="3"/>
      <c r="U5" s="3"/>
    </row>
    <row r="6" spans="1:22">
      <c r="A6" s="61"/>
      <c r="B6" s="62"/>
      <c r="C6" s="62"/>
      <c r="D6" s="61"/>
      <c r="E6" s="62"/>
      <c r="F6" s="62"/>
      <c r="G6" s="61"/>
      <c r="H6" s="62"/>
      <c r="I6" s="63"/>
      <c r="J6" s="62"/>
      <c r="K6" s="62"/>
      <c r="L6" s="61"/>
      <c r="M6" s="62"/>
      <c r="N6" s="62"/>
      <c r="O6" s="62"/>
      <c r="P6" s="62"/>
      <c r="Q6" s="61"/>
      <c r="R6" s="62"/>
      <c r="S6" s="62"/>
      <c r="T6" s="62"/>
      <c r="U6" s="62"/>
    </row>
    <row r="7" spans="1:22">
      <c r="A7" s="58"/>
      <c r="B7" s="3"/>
      <c r="C7" s="3"/>
      <c r="D7" s="58"/>
      <c r="E7" s="3"/>
      <c r="F7" s="3"/>
      <c r="G7" s="58"/>
      <c r="H7" s="3"/>
      <c r="I7" s="59"/>
      <c r="J7" s="3"/>
      <c r="K7" s="3"/>
      <c r="L7" s="58"/>
      <c r="M7" s="3"/>
      <c r="N7" s="3"/>
      <c r="O7" s="3"/>
      <c r="P7" s="3"/>
      <c r="Q7" s="58"/>
      <c r="R7" s="3"/>
      <c r="S7" s="3"/>
      <c r="T7" s="3"/>
      <c r="U7" s="3"/>
    </row>
    <row r="8" spans="1:22">
      <c r="A8" s="58" t="s">
        <v>106</v>
      </c>
      <c r="B8" s="3"/>
      <c r="C8" s="3"/>
      <c r="D8" s="58"/>
      <c r="E8" s="3"/>
      <c r="F8" s="3"/>
      <c r="G8" s="58"/>
      <c r="H8" s="3"/>
      <c r="I8" s="59"/>
      <c r="J8" s="3"/>
      <c r="K8" s="3"/>
      <c r="L8" s="58"/>
      <c r="M8" s="3"/>
      <c r="N8" s="3"/>
      <c r="O8" s="3"/>
      <c r="P8" s="3"/>
      <c r="Q8" s="58"/>
      <c r="R8" s="3"/>
      <c r="S8" s="3"/>
      <c r="T8" s="3"/>
      <c r="U8" s="3"/>
    </row>
    <row r="9" spans="1:22" ht="13.5" thickBot="1">
      <c r="A9" s="58"/>
      <c r="B9" s="3"/>
      <c r="C9" s="3"/>
      <c r="D9" s="58"/>
      <c r="E9" s="3"/>
      <c r="F9" s="3"/>
      <c r="G9" s="58"/>
      <c r="H9" s="3"/>
      <c r="I9" s="59"/>
      <c r="J9" s="3"/>
      <c r="K9" s="3"/>
      <c r="L9" s="58"/>
      <c r="M9" s="3"/>
      <c r="N9" s="3"/>
      <c r="O9" s="3"/>
      <c r="P9" s="3"/>
      <c r="Q9" s="58"/>
      <c r="R9" s="3"/>
      <c r="S9" s="3"/>
      <c r="T9" s="3"/>
      <c r="U9" s="3"/>
    </row>
    <row r="10" spans="1:22" ht="13.5" thickTop="1">
      <c r="A10" s="64"/>
      <c r="B10" s="65" t="s">
        <v>59</v>
      </c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6"/>
    </row>
    <row r="11" spans="1:22">
      <c r="A11" s="67" t="s">
        <v>60</v>
      </c>
      <c r="B11" s="68">
        <v>1</v>
      </c>
      <c r="C11" s="68">
        <v>2</v>
      </c>
      <c r="D11" s="68">
        <v>3</v>
      </c>
      <c r="E11" s="68">
        <v>4</v>
      </c>
      <c r="F11" s="68">
        <v>5</v>
      </c>
      <c r="G11" s="68">
        <v>6</v>
      </c>
      <c r="H11" s="68">
        <v>7</v>
      </c>
      <c r="I11" s="68">
        <v>8</v>
      </c>
      <c r="J11" s="68">
        <v>9</v>
      </c>
      <c r="K11" s="68">
        <v>10</v>
      </c>
      <c r="L11" s="68">
        <v>11</v>
      </c>
      <c r="M11" s="68">
        <v>12</v>
      </c>
      <c r="N11" s="68">
        <v>13</v>
      </c>
      <c r="O11" s="68">
        <v>14</v>
      </c>
      <c r="P11" s="68">
        <v>15</v>
      </c>
      <c r="Q11" s="68">
        <v>16</v>
      </c>
      <c r="R11" s="68">
        <v>17</v>
      </c>
      <c r="S11" s="68">
        <v>18</v>
      </c>
      <c r="T11" s="68">
        <v>19</v>
      </c>
      <c r="U11" s="69">
        <v>20</v>
      </c>
      <c r="V11" s="66"/>
    </row>
    <row r="12" spans="1:22" ht="18" customHeight="1">
      <c r="A12" s="70">
        <v>1</v>
      </c>
      <c r="B12" s="309">
        <v>12439</v>
      </c>
      <c r="C12" s="113">
        <v>13683</v>
      </c>
      <c r="D12" s="113">
        <v>14927</v>
      </c>
      <c r="E12" s="113">
        <v>16171</v>
      </c>
      <c r="F12" s="309">
        <v>17365</v>
      </c>
      <c r="G12" s="113">
        <v>18581</v>
      </c>
      <c r="H12" s="113">
        <v>19796</v>
      </c>
      <c r="I12" s="113">
        <v>21012</v>
      </c>
      <c r="J12" s="113">
        <v>22227</v>
      </c>
      <c r="K12" s="113">
        <v>23443</v>
      </c>
      <c r="L12" s="113">
        <v>25564</v>
      </c>
      <c r="M12" s="113">
        <v>26614</v>
      </c>
      <c r="N12" s="113">
        <v>27665</v>
      </c>
      <c r="O12" s="113">
        <v>28715</v>
      </c>
      <c r="P12" s="113">
        <v>29766</v>
      </c>
      <c r="Q12" s="306">
        <v>30817</v>
      </c>
      <c r="R12" s="306">
        <v>30817</v>
      </c>
      <c r="S12" s="113">
        <v>32918</v>
      </c>
      <c r="T12" s="113">
        <v>33968</v>
      </c>
      <c r="U12" s="114">
        <v>35019</v>
      </c>
      <c r="V12" s="66"/>
    </row>
    <row r="13" spans="1:22" ht="18" customHeight="1">
      <c r="A13" s="70">
        <v>2</v>
      </c>
      <c r="B13" s="113"/>
      <c r="C13" s="113">
        <v>14504</v>
      </c>
      <c r="D13" s="113">
        <v>15822</v>
      </c>
      <c r="E13" s="113">
        <v>17141</v>
      </c>
      <c r="F13" s="113">
        <v>18060</v>
      </c>
      <c r="G13" s="113">
        <v>19327</v>
      </c>
      <c r="H13" s="113">
        <v>20595</v>
      </c>
      <c r="I13" s="113">
        <v>21845</v>
      </c>
      <c r="J13" s="113">
        <v>23113</v>
      </c>
      <c r="K13" s="113">
        <v>25024</v>
      </c>
      <c r="L13" s="113">
        <v>26096</v>
      </c>
      <c r="M13" s="113">
        <v>27169</v>
      </c>
      <c r="N13" s="113">
        <v>28241</v>
      </c>
      <c r="O13" s="113">
        <v>29314</v>
      </c>
      <c r="P13" s="113">
        <v>30386</v>
      </c>
      <c r="Q13" s="113">
        <v>31459</v>
      </c>
      <c r="R13" s="113">
        <v>32531</v>
      </c>
      <c r="S13" s="113">
        <v>33604</v>
      </c>
      <c r="T13" s="113">
        <v>34676</v>
      </c>
      <c r="U13" s="114">
        <v>35748</v>
      </c>
      <c r="V13" s="66"/>
    </row>
    <row r="14" spans="1:22" ht="18" customHeight="1">
      <c r="A14" s="70">
        <v>3</v>
      </c>
      <c r="B14" s="113"/>
      <c r="C14" s="113"/>
      <c r="D14" s="113">
        <v>16718</v>
      </c>
      <c r="E14" s="113">
        <v>18111</v>
      </c>
      <c r="F14" s="113">
        <v>18754</v>
      </c>
      <c r="G14" s="113">
        <v>20074</v>
      </c>
      <c r="H14" s="113">
        <v>21376</v>
      </c>
      <c r="I14" s="113">
        <v>22696</v>
      </c>
      <c r="J14" s="113">
        <v>23998</v>
      </c>
      <c r="K14" s="113">
        <v>25318</v>
      </c>
      <c r="L14" s="113">
        <v>26629</v>
      </c>
      <c r="M14" s="113">
        <v>27723</v>
      </c>
      <c r="N14" s="113">
        <v>28818</v>
      </c>
      <c r="O14" s="113">
        <v>29912</v>
      </c>
      <c r="P14" s="113">
        <v>31006</v>
      </c>
      <c r="Q14" s="113">
        <v>32101</v>
      </c>
      <c r="R14" s="113">
        <v>33195</v>
      </c>
      <c r="S14" s="113">
        <v>34289</v>
      </c>
      <c r="T14" s="113">
        <v>35384</v>
      </c>
      <c r="U14" s="310">
        <v>36478</v>
      </c>
      <c r="V14" s="66"/>
    </row>
    <row r="15" spans="1:22" ht="18" customHeight="1">
      <c r="A15" s="70">
        <v>4</v>
      </c>
      <c r="B15" s="113"/>
      <c r="C15" s="113"/>
      <c r="D15" s="113"/>
      <c r="E15" s="113">
        <v>19081</v>
      </c>
      <c r="F15" s="113">
        <v>19449</v>
      </c>
      <c r="G15" s="113">
        <v>20803</v>
      </c>
      <c r="H15" s="113">
        <v>22175</v>
      </c>
      <c r="I15" s="113">
        <v>23530</v>
      </c>
      <c r="J15" s="113">
        <v>24901</v>
      </c>
      <c r="K15" s="113">
        <v>26256</v>
      </c>
      <c r="L15" s="113">
        <v>27162</v>
      </c>
      <c r="M15" s="113">
        <v>28278</v>
      </c>
      <c r="N15" s="113">
        <v>29394</v>
      </c>
      <c r="O15" s="113">
        <v>30510</v>
      </c>
      <c r="P15" s="113">
        <v>31626</v>
      </c>
      <c r="Q15" s="113">
        <v>32743</v>
      </c>
      <c r="R15" s="113">
        <v>33859</v>
      </c>
      <c r="S15" s="113">
        <v>34975</v>
      </c>
      <c r="T15" s="113">
        <v>36091</v>
      </c>
      <c r="U15" s="114">
        <v>37208</v>
      </c>
      <c r="V15" s="66"/>
    </row>
    <row r="16" spans="1:22" ht="18" customHeight="1">
      <c r="A16" s="70">
        <v>5</v>
      </c>
      <c r="B16" s="113"/>
      <c r="C16" s="113"/>
      <c r="D16" s="113"/>
      <c r="E16" s="113"/>
      <c r="F16" s="113">
        <v>20143</v>
      </c>
      <c r="G16" s="113">
        <v>21550</v>
      </c>
      <c r="H16" s="113">
        <v>22963</v>
      </c>
      <c r="I16" s="113">
        <v>24380</v>
      </c>
      <c r="J16" s="113">
        <v>25418</v>
      </c>
      <c r="K16" s="113">
        <v>26556</v>
      </c>
      <c r="L16" s="113">
        <v>27694</v>
      </c>
      <c r="M16" s="113">
        <v>28832</v>
      </c>
      <c r="N16" s="113">
        <v>29970</v>
      </c>
      <c r="O16" s="113">
        <v>31108</v>
      </c>
      <c r="P16" s="113">
        <v>32247</v>
      </c>
      <c r="Q16" s="113">
        <v>33385</v>
      </c>
      <c r="R16" s="113">
        <v>34523</v>
      </c>
      <c r="S16" s="113">
        <v>35661</v>
      </c>
      <c r="T16" s="113">
        <v>36799</v>
      </c>
      <c r="U16" s="114">
        <v>37937</v>
      </c>
      <c r="V16" s="66"/>
    </row>
    <row r="17" spans="1:22" ht="18" customHeight="1">
      <c r="A17" s="70">
        <v>6</v>
      </c>
      <c r="B17" s="113"/>
      <c r="C17" s="113"/>
      <c r="D17" s="113"/>
      <c r="E17" s="113"/>
      <c r="F17" s="113"/>
      <c r="G17" s="113">
        <v>22297</v>
      </c>
      <c r="H17" s="113">
        <v>23634</v>
      </c>
      <c r="I17" s="113">
        <v>24770</v>
      </c>
      <c r="J17" s="113">
        <v>25907</v>
      </c>
      <c r="K17" s="113">
        <v>27067</v>
      </c>
      <c r="L17" s="113">
        <v>28227</v>
      </c>
      <c r="M17" s="113">
        <v>29387</v>
      </c>
      <c r="N17" s="113">
        <v>30547</v>
      </c>
      <c r="O17" s="113">
        <v>31707</v>
      </c>
      <c r="P17" s="113">
        <v>32867</v>
      </c>
      <c r="Q17" s="113">
        <v>34027</v>
      </c>
      <c r="R17" s="113">
        <v>35187</v>
      </c>
      <c r="S17" s="113">
        <v>36347</v>
      </c>
      <c r="T17" s="113">
        <v>37507</v>
      </c>
      <c r="U17" s="114">
        <v>38667</v>
      </c>
      <c r="V17" s="66"/>
    </row>
    <row r="18" spans="1:22" ht="18" customHeight="1" thickBot="1">
      <c r="A18" s="71">
        <v>7</v>
      </c>
      <c r="B18" s="115"/>
      <c r="C18" s="115"/>
      <c r="D18" s="115"/>
      <c r="E18" s="115"/>
      <c r="F18" s="115"/>
      <c r="G18" s="115"/>
      <c r="H18" s="115">
        <v>24554</v>
      </c>
      <c r="I18" s="115">
        <v>25475</v>
      </c>
      <c r="J18" s="115">
        <v>26395</v>
      </c>
      <c r="K18" s="115">
        <v>27577</v>
      </c>
      <c r="L18" s="115">
        <v>28759</v>
      </c>
      <c r="M18" s="115">
        <v>29941</v>
      </c>
      <c r="N18" s="115">
        <v>31123</v>
      </c>
      <c r="O18" s="115">
        <v>32305</v>
      </c>
      <c r="P18" s="115">
        <v>33487</v>
      </c>
      <c r="Q18" s="115">
        <v>34669</v>
      </c>
      <c r="R18" s="115">
        <v>35851</v>
      </c>
      <c r="S18" s="115">
        <v>37032</v>
      </c>
      <c r="T18" s="115">
        <v>38214</v>
      </c>
      <c r="U18" s="116">
        <v>39396</v>
      </c>
      <c r="V18" s="66"/>
    </row>
    <row r="19" spans="1:22" ht="13.5" thickTop="1">
      <c r="A19" s="65"/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</row>
    <row r="20" spans="1:22">
      <c r="A20" s="13"/>
      <c r="B20" s="13"/>
      <c r="C20" s="13"/>
      <c r="D20" s="13"/>
      <c r="E20" s="13"/>
      <c r="F20" s="72" t="s">
        <v>107</v>
      </c>
      <c r="G20" s="73">
        <v>1094</v>
      </c>
      <c r="H20" s="74" t="s">
        <v>108</v>
      </c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</row>
    <row r="21" spans="1:22">
      <c r="A21" s="13"/>
      <c r="B21" s="13"/>
      <c r="C21" s="13"/>
      <c r="D21" s="13"/>
      <c r="E21" s="13"/>
      <c r="F21" s="72" t="s">
        <v>109</v>
      </c>
      <c r="G21" s="73">
        <v>730</v>
      </c>
      <c r="H21" s="74" t="s">
        <v>108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spans="1:22">
      <c r="A22" s="13"/>
      <c r="B22" s="13"/>
      <c r="C22" s="13"/>
      <c r="D22" s="13"/>
      <c r="E22" s="13"/>
      <c r="F22" s="72"/>
      <c r="G22" s="73"/>
      <c r="H22" s="74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</row>
    <row r="23" spans="1:22">
      <c r="A23" s="3"/>
      <c r="B23" s="3"/>
      <c r="C23" s="3"/>
      <c r="D23" s="3"/>
      <c r="E23" s="3"/>
      <c r="F23" s="75"/>
      <c r="G23" s="76"/>
      <c r="H23" s="77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>
      <c r="A24" s="78" t="s">
        <v>110</v>
      </c>
    </row>
    <row r="25" spans="1:22" ht="13.5" thickBot="1">
      <c r="A25" s="79"/>
      <c r="B25" s="79"/>
      <c r="C25" s="79"/>
      <c r="D25" s="79"/>
      <c r="E25" s="79"/>
      <c r="F25" s="79"/>
      <c r="G25" s="79"/>
    </row>
    <row r="26" spans="1:22" ht="18" customHeight="1" thickTop="1">
      <c r="A26" s="80" t="s">
        <v>111</v>
      </c>
      <c r="F26" s="81" t="s">
        <v>112</v>
      </c>
      <c r="G26" s="82"/>
    </row>
    <row r="27" spans="1:22" ht="18" customHeight="1">
      <c r="A27" s="83" t="s">
        <v>113</v>
      </c>
      <c r="B27" s="84"/>
      <c r="C27" s="84"/>
      <c r="D27" s="84"/>
      <c r="E27" s="84"/>
      <c r="F27" s="85"/>
      <c r="G27" s="86"/>
    </row>
    <row r="28" spans="1:22" ht="18" customHeight="1">
      <c r="A28" s="87"/>
      <c r="B28" s="88"/>
      <c r="C28" s="88"/>
      <c r="D28" s="88"/>
      <c r="F28" s="89" t="s">
        <v>114</v>
      </c>
      <c r="G28" s="90" t="s">
        <v>115</v>
      </c>
    </row>
    <row r="29" spans="1:22" ht="18" customHeight="1">
      <c r="A29" s="91" t="s">
        <v>116</v>
      </c>
      <c r="B29" s="92" t="s">
        <v>117</v>
      </c>
      <c r="C29" s="92" t="s">
        <v>118</v>
      </c>
      <c r="D29" s="92" t="s">
        <v>119</v>
      </c>
      <c r="E29" s="92" t="s">
        <v>120</v>
      </c>
      <c r="F29" s="93" t="s">
        <v>121</v>
      </c>
      <c r="G29" s="94" t="s">
        <v>122</v>
      </c>
    </row>
    <row r="30" spans="1:22" ht="18" customHeight="1" thickBot="1">
      <c r="A30" s="95">
        <v>25</v>
      </c>
      <c r="B30" s="96">
        <v>35</v>
      </c>
      <c r="C30" s="96">
        <v>45</v>
      </c>
      <c r="D30" s="96">
        <v>100</v>
      </c>
      <c r="E30" s="96">
        <v>100</v>
      </c>
      <c r="F30" s="97">
        <v>15</v>
      </c>
      <c r="G30" s="98">
        <v>10</v>
      </c>
    </row>
    <row r="31" spans="1:22" ht="13.5" thickTop="1">
      <c r="A31" s="99"/>
      <c r="B31" s="99"/>
      <c r="C31" s="99"/>
      <c r="D31" s="99"/>
      <c r="E31" s="99"/>
      <c r="F31" s="99"/>
      <c r="G31" s="99"/>
    </row>
    <row r="32" spans="1:22">
      <c r="U32" s="100" t="s">
        <v>123</v>
      </c>
    </row>
    <row r="34" spans="1:5">
      <c r="A34" s="12"/>
    </row>
    <row r="36" spans="1:5" hidden="1">
      <c r="A36">
        <v>0</v>
      </c>
      <c r="B36">
        <v>0.25</v>
      </c>
      <c r="D36" t="s">
        <v>124</v>
      </c>
      <c r="E36">
        <v>0.15</v>
      </c>
    </row>
    <row r="37" spans="1:5" hidden="1">
      <c r="A37">
        <v>1</v>
      </c>
      <c r="B37">
        <v>0.35</v>
      </c>
      <c r="D37" t="s">
        <v>125</v>
      </c>
      <c r="E37">
        <v>0.1</v>
      </c>
    </row>
    <row r="38" spans="1:5" hidden="1">
      <c r="A38">
        <v>2</v>
      </c>
      <c r="B38">
        <v>0.45</v>
      </c>
    </row>
    <row r="39" spans="1:5" hidden="1">
      <c r="A39">
        <v>3</v>
      </c>
      <c r="B39">
        <v>1</v>
      </c>
    </row>
    <row r="40" spans="1:5" hidden="1">
      <c r="A40">
        <v>14.99</v>
      </c>
      <c r="B40">
        <v>1</v>
      </c>
    </row>
  </sheetData>
  <sheetProtection password="836F" sheet="1" objects="1" scenarios="1"/>
  <mergeCells count="2">
    <mergeCell ref="I5:J5"/>
    <mergeCell ref="Q5:R5"/>
  </mergeCells>
  <phoneticPr fontId="30" type="noConversion"/>
  <pageMargins left="0.59055118110236227" right="0.59055118110236227" top="0.78740157480314965" bottom="0.51181102362204722" header="0.51181102362204722" footer="0.31496062992125984"/>
  <pageSetup paperSize="9" orientation="landscape" horizontalDpi="360" verticalDpi="360" r:id="rId1"/>
  <headerFooter alignWithMargins="0">
    <oddHeader>&amp;L&amp;"Times New Roman,Normal"2007-11-06</oddHeader>
    <oddFooter>&amp;L&amp;8*\&amp;F\&amp;A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codeName="Blad8"/>
  <dimension ref="A1:V38"/>
  <sheetViews>
    <sheetView topLeftCell="A11" zoomScaleNormal="75" workbookViewId="0">
      <selection activeCell="K11" sqref="K11"/>
    </sheetView>
  </sheetViews>
  <sheetFormatPr defaultRowHeight="12.75"/>
  <cols>
    <col min="1" max="21" width="6.28515625" customWidth="1"/>
    <col min="22" max="22" width="1.42578125" customWidth="1"/>
  </cols>
  <sheetData>
    <row r="1" spans="1:22" ht="5.25" customHeight="1">
      <c r="A1" s="55"/>
      <c r="U1">
        <v>1996</v>
      </c>
    </row>
    <row r="3" spans="1:22" ht="15.75">
      <c r="A3" s="56" t="s">
        <v>101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2" ht="20.100000000000001" customHeight="1">
      <c r="A4" s="56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2">
      <c r="A5" s="58" t="s">
        <v>102</v>
      </c>
      <c r="B5" s="3"/>
      <c r="C5" s="3"/>
      <c r="D5" s="58" t="s">
        <v>126</v>
      </c>
      <c r="E5" s="3"/>
      <c r="F5" s="3"/>
      <c r="G5" s="58" t="s">
        <v>104</v>
      </c>
      <c r="H5" s="3"/>
      <c r="I5" s="463">
        <v>38777</v>
      </c>
      <c r="J5" s="463"/>
      <c r="K5" s="3"/>
      <c r="M5" s="3"/>
      <c r="N5" s="3"/>
      <c r="O5" s="3"/>
      <c r="P5" s="60" t="s">
        <v>105</v>
      </c>
      <c r="Q5" s="464">
        <v>282.89</v>
      </c>
      <c r="R5" s="464"/>
      <c r="S5" s="3"/>
      <c r="T5" s="3"/>
      <c r="U5" s="3"/>
    </row>
    <row r="6" spans="1:22">
      <c r="A6" s="61"/>
      <c r="B6" s="62"/>
      <c r="C6" s="62"/>
      <c r="D6" s="61"/>
      <c r="E6" s="62"/>
      <c r="F6" s="62"/>
      <c r="G6" s="61"/>
      <c r="H6" s="62"/>
      <c r="I6" s="63"/>
      <c r="J6" s="62"/>
      <c r="K6" s="62"/>
      <c r="L6" s="61"/>
      <c r="M6" s="62"/>
      <c r="N6" s="62"/>
      <c r="O6" s="62"/>
      <c r="P6" s="62"/>
      <c r="Q6" s="61"/>
      <c r="R6" s="62"/>
      <c r="S6" s="62"/>
      <c r="T6" s="62"/>
      <c r="U6" s="62"/>
    </row>
    <row r="7" spans="1:22">
      <c r="A7" s="58"/>
      <c r="B7" s="3"/>
      <c r="C7" s="3"/>
      <c r="D7" s="58"/>
      <c r="E7" s="3"/>
      <c r="F7" s="3"/>
      <c r="G7" s="58"/>
      <c r="H7" s="3"/>
      <c r="I7" s="59"/>
      <c r="J7" s="3"/>
      <c r="K7" s="3"/>
      <c r="L7" s="58"/>
      <c r="M7" s="3"/>
      <c r="N7" s="3"/>
      <c r="O7" s="3"/>
      <c r="P7" s="3"/>
      <c r="Q7" s="58"/>
      <c r="R7" s="3"/>
      <c r="S7" s="3"/>
      <c r="T7" s="3"/>
      <c r="U7" s="3"/>
    </row>
    <row r="8" spans="1:22">
      <c r="A8" s="58" t="s">
        <v>106</v>
      </c>
      <c r="B8" s="3"/>
      <c r="C8" s="3"/>
      <c r="D8" s="58"/>
      <c r="E8" s="3"/>
      <c r="F8" s="3"/>
      <c r="G8" s="58"/>
      <c r="H8" s="3"/>
      <c r="I8" s="59"/>
      <c r="J8" s="3"/>
      <c r="K8" s="3"/>
      <c r="L8" s="58"/>
      <c r="M8" s="3"/>
      <c r="N8" s="3"/>
      <c r="O8" s="3"/>
      <c r="P8" s="3"/>
      <c r="Q8" s="58"/>
      <c r="R8" s="3"/>
      <c r="S8" s="3"/>
      <c r="T8" s="3"/>
      <c r="U8" s="3"/>
    </row>
    <row r="9" spans="1:22" ht="13.5" thickBot="1">
      <c r="A9" s="58"/>
      <c r="B9" s="3"/>
      <c r="C9" s="3"/>
      <c r="D9" s="58"/>
      <c r="E9" s="3"/>
      <c r="F9" s="3"/>
      <c r="G9" s="58"/>
      <c r="H9" s="3"/>
      <c r="I9" s="59"/>
      <c r="J9" s="3"/>
      <c r="K9" s="3"/>
      <c r="L9" s="58"/>
      <c r="M9" s="3"/>
      <c r="N9" s="3"/>
      <c r="O9" s="3"/>
      <c r="P9" s="3"/>
      <c r="Q9" s="58"/>
      <c r="R9" s="3"/>
      <c r="S9" s="3"/>
      <c r="T9" s="3"/>
      <c r="U9" s="3"/>
    </row>
    <row r="10" spans="1:22" ht="13.5" thickTop="1">
      <c r="A10" s="64"/>
      <c r="B10" s="65" t="s">
        <v>59</v>
      </c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6"/>
    </row>
    <row r="11" spans="1:22">
      <c r="A11" s="67" t="s">
        <v>60</v>
      </c>
      <c r="B11" s="68">
        <v>1</v>
      </c>
      <c r="C11" s="68">
        <v>2</v>
      </c>
      <c r="D11" s="68">
        <v>3</v>
      </c>
      <c r="E11" s="68">
        <v>4</v>
      </c>
      <c r="F11" s="68">
        <v>5</v>
      </c>
      <c r="G11" s="68">
        <v>6</v>
      </c>
      <c r="H11" s="68">
        <v>7</v>
      </c>
      <c r="I11" s="68">
        <v>8</v>
      </c>
      <c r="J11" s="68">
        <v>9</v>
      </c>
      <c r="K11" s="68">
        <v>10</v>
      </c>
      <c r="L11" s="68">
        <v>11</v>
      </c>
      <c r="M11" s="68">
        <v>12</v>
      </c>
      <c r="N11" s="68">
        <v>13</v>
      </c>
      <c r="O11" s="68">
        <v>14</v>
      </c>
      <c r="P11" s="68">
        <v>15</v>
      </c>
      <c r="Q11" s="68">
        <v>16</v>
      </c>
      <c r="R11" s="68">
        <v>17</v>
      </c>
      <c r="S11" s="68">
        <v>18</v>
      </c>
      <c r="T11" s="68">
        <v>19</v>
      </c>
      <c r="U11" s="69">
        <v>20</v>
      </c>
      <c r="V11" s="66"/>
    </row>
    <row r="12" spans="1:22" ht="18" customHeight="1">
      <c r="A12" s="70">
        <v>1</v>
      </c>
      <c r="B12" s="309">
        <v>11410</v>
      </c>
      <c r="C12" s="113">
        <v>12551</v>
      </c>
      <c r="D12" s="113">
        <v>13692</v>
      </c>
      <c r="E12" s="113">
        <v>14833</v>
      </c>
      <c r="F12" s="309">
        <v>16129</v>
      </c>
      <c r="G12" s="113">
        <v>17258</v>
      </c>
      <c r="H12" s="113">
        <v>18387</v>
      </c>
      <c r="I12" s="113">
        <v>19516</v>
      </c>
      <c r="J12" s="113">
        <v>20645</v>
      </c>
      <c r="K12" s="113">
        <v>21774</v>
      </c>
      <c r="L12" s="113">
        <v>23555</v>
      </c>
      <c r="M12" s="113">
        <v>24523</v>
      </c>
      <c r="N12" s="113">
        <v>25491</v>
      </c>
      <c r="O12" s="117">
        <v>26459</v>
      </c>
      <c r="P12" s="117">
        <v>27427</v>
      </c>
      <c r="Q12" s="307">
        <v>28395</v>
      </c>
      <c r="R12" s="307">
        <v>28395</v>
      </c>
      <c r="S12" s="117">
        <v>30331</v>
      </c>
      <c r="T12" s="117">
        <v>31299</v>
      </c>
      <c r="U12" s="117">
        <v>33064</v>
      </c>
      <c r="V12" s="66"/>
    </row>
    <row r="13" spans="1:22" ht="18" customHeight="1">
      <c r="A13" s="70">
        <v>2</v>
      </c>
      <c r="B13" s="117"/>
      <c r="C13" s="117">
        <v>13304</v>
      </c>
      <c r="D13" s="117">
        <v>14514</v>
      </c>
      <c r="E13" s="117">
        <v>15723</v>
      </c>
      <c r="F13" s="117">
        <v>16774</v>
      </c>
      <c r="G13" s="117">
        <v>17952</v>
      </c>
      <c r="H13" s="117">
        <v>19129</v>
      </c>
      <c r="I13" s="117">
        <v>20290</v>
      </c>
      <c r="J13" s="117">
        <v>21468</v>
      </c>
      <c r="K13" s="117">
        <v>23057</v>
      </c>
      <c r="L13" s="117">
        <v>24045</v>
      </c>
      <c r="M13" s="117">
        <v>25033</v>
      </c>
      <c r="N13" s="117">
        <v>26022</v>
      </c>
      <c r="O13" s="117">
        <v>27010</v>
      </c>
      <c r="P13" s="117">
        <v>27998</v>
      </c>
      <c r="Q13" s="117">
        <v>28986</v>
      </c>
      <c r="R13" s="117">
        <v>29974</v>
      </c>
      <c r="S13" s="117">
        <v>30962</v>
      </c>
      <c r="T13" s="117">
        <v>31951</v>
      </c>
      <c r="U13" s="307">
        <v>34387</v>
      </c>
      <c r="V13" s="66"/>
    </row>
    <row r="14" spans="1:22" ht="18" customHeight="1">
      <c r="A14" s="70">
        <v>3</v>
      </c>
      <c r="B14" s="117"/>
      <c r="C14" s="117"/>
      <c r="D14" s="117">
        <v>15335</v>
      </c>
      <c r="E14" s="117">
        <v>16613</v>
      </c>
      <c r="F14" s="117">
        <v>17419</v>
      </c>
      <c r="G14" s="117">
        <v>18645</v>
      </c>
      <c r="H14" s="117">
        <v>19855</v>
      </c>
      <c r="I14" s="117">
        <v>21081</v>
      </c>
      <c r="J14" s="117">
        <v>22290</v>
      </c>
      <c r="K14" s="117">
        <v>23516</v>
      </c>
      <c r="L14" s="117">
        <v>24536</v>
      </c>
      <c r="M14" s="117">
        <v>25544</v>
      </c>
      <c r="N14" s="117">
        <v>26553</v>
      </c>
      <c r="O14" s="117">
        <v>27561</v>
      </c>
      <c r="P14" s="117">
        <v>28569</v>
      </c>
      <c r="Q14" s="117">
        <v>29578</v>
      </c>
      <c r="R14" s="117">
        <v>30586</v>
      </c>
      <c r="S14" s="117">
        <v>31594</v>
      </c>
      <c r="T14" s="117">
        <v>32603</v>
      </c>
      <c r="U14" s="388">
        <v>33611</v>
      </c>
      <c r="V14" s="66"/>
    </row>
    <row r="15" spans="1:22" ht="18" customHeight="1">
      <c r="A15" s="70">
        <v>4</v>
      </c>
      <c r="B15" s="117"/>
      <c r="C15" s="117"/>
      <c r="D15" s="117"/>
      <c r="E15" s="117">
        <v>17503</v>
      </c>
      <c r="F15" s="117">
        <v>18064</v>
      </c>
      <c r="G15" s="117">
        <v>19323</v>
      </c>
      <c r="H15" s="117">
        <v>20597</v>
      </c>
      <c r="I15" s="117">
        <v>21855</v>
      </c>
      <c r="J15" s="117">
        <v>23129</v>
      </c>
      <c r="K15" s="117">
        <v>24387</v>
      </c>
      <c r="L15" s="117">
        <v>25027</v>
      </c>
      <c r="M15" s="117">
        <v>26055</v>
      </c>
      <c r="N15" s="117">
        <v>27084</v>
      </c>
      <c r="O15" s="117">
        <v>28112</v>
      </c>
      <c r="P15" s="117">
        <v>29141</v>
      </c>
      <c r="Q15" s="117">
        <v>30169</v>
      </c>
      <c r="R15" s="117">
        <v>31198</v>
      </c>
      <c r="S15" s="117">
        <v>32226</v>
      </c>
      <c r="T15" s="117">
        <v>33255</v>
      </c>
      <c r="U15" s="117">
        <v>34283</v>
      </c>
      <c r="V15" s="66"/>
    </row>
    <row r="16" spans="1:22" ht="18" customHeight="1">
      <c r="A16" s="70">
        <v>5</v>
      </c>
      <c r="B16" s="117"/>
      <c r="C16" s="117"/>
      <c r="D16" s="117"/>
      <c r="E16" s="117"/>
      <c r="F16" s="117">
        <v>18710</v>
      </c>
      <c r="G16" s="117">
        <v>20016</v>
      </c>
      <c r="H16" s="117">
        <v>21329</v>
      </c>
      <c r="I16" s="117">
        <v>22645</v>
      </c>
      <c r="J16" s="117">
        <v>23420</v>
      </c>
      <c r="K16" s="117">
        <v>24469</v>
      </c>
      <c r="L16" s="117">
        <v>25517</v>
      </c>
      <c r="M16" s="117">
        <v>26566</v>
      </c>
      <c r="N16" s="117">
        <v>27615</v>
      </c>
      <c r="O16" s="117">
        <v>28663</v>
      </c>
      <c r="P16" s="117">
        <v>29712</v>
      </c>
      <c r="Q16" s="117">
        <v>30761</v>
      </c>
      <c r="R16" s="117">
        <v>31809</v>
      </c>
      <c r="S16" s="117">
        <v>32858</v>
      </c>
      <c r="T16" s="117">
        <v>33907</v>
      </c>
      <c r="U16" s="117">
        <v>34955</v>
      </c>
      <c r="V16" s="66"/>
    </row>
    <row r="17" spans="1:22" ht="18" customHeight="1">
      <c r="A17" s="70">
        <v>6</v>
      </c>
      <c r="B17" s="117"/>
      <c r="C17" s="117"/>
      <c r="D17" s="117"/>
      <c r="E17" s="117"/>
      <c r="F17" s="117"/>
      <c r="G17" s="117">
        <v>20710</v>
      </c>
      <c r="H17" s="117">
        <v>21952</v>
      </c>
      <c r="I17" s="117">
        <v>22911</v>
      </c>
      <c r="J17" s="117">
        <v>23871</v>
      </c>
      <c r="K17" s="117">
        <v>24939</v>
      </c>
      <c r="L17" s="117">
        <v>26008</v>
      </c>
      <c r="M17" s="117">
        <v>27077</v>
      </c>
      <c r="N17" s="117">
        <v>28146</v>
      </c>
      <c r="O17" s="117">
        <v>29215</v>
      </c>
      <c r="P17" s="117">
        <v>30284</v>
      </c>
      <c r="Q17" s="117">
        <v>31352</v>
      </c>
      <c r="R17" s="117">
        <v>32421</v>
      </c>
      <c r="S17" s="117">
        <v>33490</v>
      </c>
      <c r="T17" s="117">
        <v>34559</v>
      </c>
      <c r="U17" s="117">
        <v>35655</v>
      </c>
      <c r="V17" s="66"/>
    </row>
    <row r="18" spans="1:22" ht="18" customHeight="1" thickBot="1">
      <c r="A18" s="71">
        <v>7</v>
      </c>
      <c r="B18" s="118"/>
      <c r="C18" s="118"/>
      <c r="D18" s="118"/>
      <c r="E18" s="118"/>
      <c r="F18" s="118"/>
      <c r="G18" s="118"/>
      <c r="H18" s="117">
        <v>22806</v>
      </c>
      <c r="I18" s="117">
        <v>23564</v>
      </c>
      <c r="J18" s="117">
        <v>24321</v>
      </c>
      <c r="K18" s="117">
        <v>25410</v>
      </c>
      <c r="L18" s="117">
        <v>26499</v>
      </c>
      <c r="M18" s="117">
        <v>27588</v>
      </c>
      <c r="N18" s="117">
        <v>28677</v>
      </c>
      <c r="O18" s="117">
        <v>29766</v>
      </c>
      <c r="P18" s="117">
        <v>30855</v>
      </c>
      <c r="Q18" s="117">
        <v>31944</v>
      </c>
      <c r="R18" s="117">
        <v>33033</v>
      </c>
      <c r="S18" s="117">
        <v>34122</v>
      </c>
      <c r="T18" s="117">
        <v>35211</v>
      </c>
      <c r="U18" s="117">
        <v>36354</v>
      </c>
      <c r="V18" s="66"/>
    </row>
    <row r="19" spans="1:22" ht="13.5" thickTop="1">
      <c r="A19" s="65"/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</row>
    <row r="20" spans="1:22">
      <c r="A20" s="13"/>
      <c r="B20" s="13"/>
      <c r="C20" s="13"/>
      <c r="D20" s="13"/>
      <c r="E20" s="13"/>
      <c r="F20" s="72" t="s">
        <v>107</v>
      </c>
      <c r="G20" s="73">
        <v>1008</v>
      </c>
      <c r="H20" s="74" t="s">
        <v>108</v>
      </c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</row>
    <row r="21" spans="1:22">
      <c r="A21" s="13"/>
      <c r="B21" s="13"/>
      <c r="C21" s="13"/>
      <c r="D21" s="13"/>
      <c r="E21" s="13"/>
      <c r="F21" s="72" t="s">
        <v>109</v>
      </c>
      <c r="G21" s="73">
        <v>672</v>
      </c>
      <c r="H21" s="74" t="s">
        <v>108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spans="1:22">
      <c r="A22" s="13"/>
      <c r="B22" s="13"/>
      <c r="C22" s="13"/>
      <c r="D22" s="13"/>
      <c r="E22" s="13"/>
      <c r="F22" s="72"/>
      <c r="G22" s="73"/>
      <c r="H22" s="74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</row>
    <row r="23" spans="1:22">
      <c r="A23" s="3"/>
      <c r="B23" s="3"/>
      <c r="C23" s="3"/>
      <c r="D23" s="3"/>
      <c r="E23" s="3"/>
      <c r="F23" s="75"/>
      <c r="G23" s="76"/>
      <c r="H23" s="77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>
      <c r="A24" s="78" t="s">
        <v>110</v>
      </c>
    </row>
    <row r="25" spans="1:22" ht="13.5" thickBot="1">
      <c r="A25" s="79"/>
      <c r="B25" s="79"/>
      <c r="C25" s="79"/>
      <c r="D25" s="79"/>
      <c r="E25" s="79"/>
      <c r="F25" s="79"/>
      <c r="G25" s="79"/>
    </row>
    <row r="26" spans="1:22" ht="18" customHeight="1" thickTop="1">
      <c r="A26" s="80" t="s">
        <v>111</v>
      </c>
      <c r="F26" s="81" t="s">
        <v>112</v>
      </c>
      <c r="G26" s="82"/>
    </row>
    <row r="27" spans="1:22" ht="18" customHeight="1">
      <c r="A27" s="83" t="s">
        <v>113</v>
      </c>
      <c r="B27" s="84"/>
      <c r="C27" s="84"/>
      <c r="D27" s="84"/>
      <c r="E27" s="84"/>
      <c r="F27" s="85"/>
      <c r="G27" s="86"/>
    </row>
    <row r="28" spans="1:22" ht="18" customHeight="1">
      <c r="A28" s="87"/>
      <c r="B28" s="88"/>
      <c r="C28" s="88"/>
      <c r="D28" s="88"/>
      <c r="F28" s="89" t="s">
        <v>114</v>
      </c>
      <c r="G28" s="90" t="s">
        <v>115</v>
      </c>
    </row>
    <row r="29" spans="1:22" ht="18" customHeight="1">
      <c r="A29" s="91" t="s">
        <v>116</v>
      </c>
      <c r="B29" s="92" t="s">
        <v>117</v>
      </c>
      <c r="C29" s="92" t="s">
        <v>118</v>
      </c>
      <c r="D29" s="92" t="s">
        <v>119</v>
      </c>
      <c r="E29" s="92" t="s">
        <v>120</v>
      </c>
      <c r="F29" s="93" t="s">
        <v>121</v>
      </c>
      <c r="G29" s="94" t="s">
        <v>122</v>
      </c>
    </row>
    <row r="30" spans="1:22" ht="18" customHeight="1" thickBot="1">
      <c r="A30" s="266">
        <v>20</v>
      </c>
      <c r="B30" s="267">
        <v>25</v>
      </c>
      <c r="C30" s="267">
        <v>30</v>
      </c>
      <c r="D30" s="267">
        <v>100</v>
      </c>
      <c r="E30" s="267">
        <v>100</v>
      </c>
      <c r="F30" s="268">
        <v>15</v>
      </c>
      <c r="G30" s="269">
        <v>10</v>
      </c>
    </row>
    <row r="31" spans="1:22" ht="13.5" thickTop="1"/>
    <row r="32" spans="1:22">
      <c r="A32" s="12"/>
      <c r="U32" s="100" t="s">
        <v>127</v>
      </c>
    </row>
    <row r="33" spans="1:5" hidden="1"/>
    <row r="34" spans="1:5" hidden="1">
      <c r="A34">
        <v>0</v>
      </c>
      <c r="B34">
        <v>0.2</v>
      </c>
      <c r="D34" t="s">
        <v>124</v>
      </c>
      <c r="E34">
        <v>0.15</v>
      </c>
    </row>
    <row r="35" spans="1:5" hidden="1">
      <c r="A35">
        <v>1</v>
      </c>
      <c r="B35">
        <v>0.25</v>
      </c>
      <c r="D35" t="s">
        <v>125</v>
      </c>
      <c r="E35">
        <v>0.1</v>
      </c>
    </row>
    <row r="36" spans="1:5" hidden="1">
      <c r="A36">
        <v>2</v>
      </c>
      <c r="B36">
        <v>0.3</v>
      </c>
    </row>
    <row r="37" spans="1:5" hidden="1">
      <c r="A37">
        <v>3</v>
      </c>
      <c r="B37">
        <v>1</v>
      </c>
    </row>
    <row r="38" spans="1:5" hidden="1">
      <c r="A38">
        <v>14.99</v>
      </c>
      <c r="B38">
        <v>1</v>
      </c>
    </row>
  </sheetData>
  <sheetProtection password="836F" sheet="1" objects="1" scenarios="1"/>
  <mergeCells count="2">
    <mergeCell ref="I5:J5"/>
    <mergeCell ref="Q5:R5"/>
  </mergeCells>
  <phoneticPr fontId="30" type="noConversion"/>
  <pageMargins left="0.59055118110236227" right="0.59055118110236227" top="0.78740157480314965" bottom="0.51181102362204722" header="0.51181102362204722" footer="0.31496062992125984"/>
  <pageSetup paperSize="9" orientation="landscape" horizontalDpi="300" verticalDpi="300" r:id="rId1"/>
  <headerFooter alignWithMargins="0">
    <oddHeader>&amp;L&amp;"Times New Roman,Normal"2007-11-06</oddHeader>
    <oddFooter>&amp;L&amp;8*\&amp;F\&amp;A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codeName="Blad9"/>
  <dimension ref="A1:V40"/>
  <sheetViews>
    <sheetView topLeftCell="A11" zoomScaleNormal="75" workbookViewId="0">
      <selection activeCell="M18" sqref="M18"/>
    </sheetView>
  </sheetViews>
  <sheetFormatPr defaultRowHeight="12.75"/>
  <cols>
    <col min="1" max="21" width="6.28515625" customWidth="1"/>
    <col min="22" max="22" width="1.42578125" customWidth="1"/>
  </cols>
  <sheetData>
    <row r="1" spans="1:22" ht="4.5" customHeight="1">
      <c r="A1" s="55"/>
      <c r="U1">
        <v>1996</v>
      </c>
    </row>
    <row r="3" spans="1:22" ht="15.75">
      <c r="A3" s="56" t="s">
        <v>101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2" ht="20.100000000000001" customHeight="1">
      <c r="A4" s="56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2">
      <c r="A5" s="58" t="s">
        <v>102</v>
      </c>
      <c r="B5" s="3"/>
      <c r="C5" s="3"/>
      <c r="D5" s="58" t="s">
        <v>128</v>
      </c>
      <c r="E5" s="3"/>
      <c r="F5" s="3"/>
      <c r="G5" s="58" t="s">
        <v>104</v>
      </c>
      <c r="H5" s="3"/>
      <c r="I5" s="463">
        <v>38777</v>
      </c>
      <c r="J5" s="463"/>
      <c r="K5" s="3"/>
      <c r="M5" s="3"/>
      <c r="N5" s="3"/>
      <c r="O5" s="3"/>
      <c r="P5" s="60" t="s">
        <v>105</v>
      </c>
      <c r="Q5" s="466">
        <v>282.89</v>
      </c>
      <c r="R5" s="466"/>
      <c r="S5" s="3"/>
      <c r="T5" s="3"/>
      <c r="U5" s="3"/>
    </row>
    <row r="6" spans="1:22">
      <c r="A6" s="61"/>
      <c r="B6" s="62"/>
      <c r="C6" s="62"/>
      <c r="D6" s="61"/>
      <c r="E6" s="62"/>
      <c r="F6" s="62"/>
      <c r="G6" s="61"/>
      <c r="H6" s="62"/>
      <c r="I6" s="63"/>
      <c r="J6" s="62"/>
      <c r="K6" s="62"/>
      <c r="L6" s="61"/>
      <c r="M6" s="62"/>
      <c r="N6" s="62"/>
      <c r="O6" s="62"/>
      <c r="P6" s="62"/>
      <c r="Q6" s="61"/>
      <c r="R6" s="62"/>
      <c r="S6" s="62"/>
      <c r="T6" s="62"/>
      <c r="U6" s="62"/>
    </row>
    <row r="7" spans="1:22">
      <c r="A7" s="58"/>
      <c r="B7" s="3"/>
      <c r="C7" s="3"/>
      <c r="D7" s="58"/>
      <c r="E7" s="3"/>
      <c r="F7" s="3"/>
      <c r="G7" s="58"/>
      <c r="H7" s="3"/>
      <c r="I7" s="59"/>
      <c r="J7" s="3"/>
      <c r="K7" s="3"/>
      <c r="L7" s="58"/>
      <c r="M7" s="3"/>
      <c r="N7" s="3"/>
      <c r="O7" s="3"/>
      <c r="P7" s="3"/>
      <c r="Q7" s="58"/>
      <c r="R7" s="3"/>
      <c r="S7" s="3"/>
      <c r="T7" s="3"/>
      <c r="U7" s="3"/>
    </row>
    <row r="8" spans="1:22">
      <c r="A8" s="58" t="s">
        <v>106</v>
      </c>
      <c r="B8" s="3"/>
      <c r="C8" s="3"/>
      <c r="D8" s="58"/>
      <c r="E8" s="3"/>
      <c r="F8" s="3"/>
      <c r="G8" s="58"/>
      <c r="H8" s="3"/>
      <c r="I8" s="59"/>
      <c r="J8" s="3"/>
      <c r="K8" s="3"/>
      <c r="L8" s="58"/>
      <c r="M8" s="3"/>
      <c r="N8" s="3"/>
      <c r="O8" s="3"/>
      <c r="P8" s="3"/>
      <c r="Q8" s="58"/>
      <c r="R8" s="3"/>
      <c r="S8" s="3"/>
      <c r="T8" s="3"/>
      <c r="U8" s="3"/>
    </row>
    <row r="9" spans="1:22" ht="13.5" thickBot="1">
      <c r="A9" s="58"/>
      <c r="B9" s="3"/>
      <c r="C9" s="3"/>
      <c r="D9" s="58"/>
      <c r="E9" s="3"/>
      <c r="F9" s="3"/>
      <c r="G9" s="58"/>
      <c r="H9" s="3"/>
      <c r="I9" s="59"/>
      <c r="J9" s="3"/>
      <c r="K9" s="3"/>
      <c r="L9" s="58"/>
      <c r="M9" s="3"/>
      <c r="N9" s="3"/>
      <c r="O9" s="3"/>
      <c r="P9" s="3"/>
      <c r="Q9" s="58"/>
      <c r="R9" s="3"/>
      <c r="S9" s="3"/>
      <c r="T9" s="3"/>
      <c r="U9" s="3"/>
    </row>
    <row r="10" spans="1:22" ht="13.5" thickTop="1">
      <c r="A10" s="64"/>
      <c r="B10" s="65" t="s">
        <v>59</v>
      </c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6"/>
    </row>
    <row r="11" spans="1:22">
      <c r="A11" s="67" t="s">
        <v>60</v>
      </c>
      <c r="B11" s="68">
        <v>1</v>
      </c>
      <c r="C11" s="68">
        <v>2</v>
      </c>
      <c r="D11" s="68">
        <v>3</v>
      </c>
      <c r="E11" s="68">
        <v>4</v>
      </c>
      <c r="F11" s="68">
        <v>5</v>
      </c>
      <c r="G11" s="68">
        <v>6</v>
      </c>
      <c r="H11" s="68">
        <v>7</v>
      </c>
      <c r="I11" s="68">
        <v>8</v>
      </c>
      <c r="J11" s="68">
        <v>9</v>
      </c>
      <c r="K11" s="68">
        <v>10</v>
      </c>
      <c r="L11" s="68">
        <v>11</v>
      </c>
      <c r="M11" s="68">
        <v>12</v>
      </c>
      <c r="N11" s="68">
        <v>13</v>
      </c>
      <c r="O11" s="68">
        <v>14</v>
      </c>
      <c r="P11" s="68">
        <v>15</v>
      </c>
      <c r="Q11" s="68">
        <v>16</v>
      </c>
      <c r="R11" s="68">
        <v>17</v>
      </c>
      <c r="S11" s="68">
        <v>18</v>
      </c>
      <c r="T11" s="68">
        <v>19</v>
      </c>
      <c r="U11" s="69">
        <v>20</v>
      </c>
      <c r="V11" s="66"/>
    </row>
    <row r="12" spans="1:22" ht="18" customHeight="1">
      <c r="A12" s="70">
        <v>1</v>
      </c>
      <c r="B12" s="309">
        <v>11083</v>
      </c>
      <c r="C12" s="117">
        <v>12191</v>
      </c>
      <c r="D12" s="117">
        <v>13300</v>
      </c>
      <c r="E12" s="117">
        <v>14408</v>
      </c>
      <c r="F12" s="309">
        <v>15306</v>
      </c>
      <c r="G12" s="117">
        <v>16377</v>
      </c>
      <c r="H12" s="117">
        <v>17449</v>
      </c>
      <c r="I12" s="117">
        <v>18520</v>
      </c>
      <c r="J12" s="117">
        <v>19592</v>
      </c>
      <c r="K12" s="117">
        <v>20663</v>
      </c>
      <c r="L12" s="117">
        <v>22034</v>
      </c>
      <c r="M12" s="117">
        <v>22939</v>
      </c>
      <c r="N12" s="117">
        <v>23845</v>
      </c>
      <c r="O12" s="117">
        <v>24750</v>
      </c>
      <c r="P12" s="117">
        <v>25656</v>
      </c>
      <c r="Q12" s="307">
        <v>26561</v>
      </c>
      <c r="R12" s="307">
        <v>26561</v>
      </c>
      <c r="S12" s="117">
        <v>28372</v>
      </c>
      <c r="T12" s="117">
        <v>29278</v>
      </c>
      <c r="U12" s="117">
        <v>31377</v>
      </c>
      <c r="V12" s="66"/>
    </row>
    <row r="13" spans="1:22" ht="18" customHeight="1">
      <c r="A13" s="70">
        <v>2</v>
      </c>
      <c r="B13" s="117"/>
      <c r="C13" s="117">
        <v>12923</v>
      </c>
      <c r="D13" s="117">
        <v>14098</v>
      </c>
      <c r="E13" s="117">
        <v>15272</v>
      </c>
      <c r="F13" s="117">
        <v>15918</v>
      </c>
      <c r="G13" s="117">
        <v>17036</v>
      </c>
      <c r="H13" s="117">
        <v>18153</v>
      </c>
      <c r="I13" s="117">
        <v>19255</v>
      </c>
      <c r="J13" s="117">
        <v>20372</v>
      </c>
      <c r="K13" s="117">
        <v>21569</v>
      </c>
      <c r="L13" s="117">
        <v>22493</v>
      </c>
      <c r="M13" s="117">
        <v>23417</v>
      </c>
      <c r="N13" s="117">
        <v>24342</v>
      </c>
      <c r="O13" s="117">
        <v>25266</v>
      </c>
      <c r="P13" s="117">
        <v>26190</v>
      </c>
      <c r="Q13" s="117">
        <v>27115</v>
      </c>
      <c r="R13" s="117">
        <v>28039</v>
      </c>
      <c r="S13" s="117">
        <v>28963</v>
      </c>
      <c r="T13" s="117">
        <v>29888</v>
      </c>
      <c r="U13" s="307">
        <v>32632</v>
      </c>
      <c r="V13" s="66"/>
    </row>
    <row r="14" spans="1:22" ht="18" customHeight="1">
      <c r="A14" s="70">
        <v>3</v>
      </c>
      <c r="B14" s="117"/>
      <c r="C14" s="117"/>
      <c r="D14" s="117">
        <v>14896</v>
      </c>
      <c r="E14" s="117">
        <v>16137</v>
      </c>
      <c r="F14" s="117">
        <v>16530</v>
      </c>
      <c r="G14" s="117">
        <v>17694</v>
      </c>
      <c r="H14" s="117">
        <v>18842</v>
      </c>
      <c r="I14" s="117">
        <v>20005</v>
      </c>
      <c r="J14" s="117">
        <v>21153</v>
      </c>
      <c r="K14" s="117">
        <v>22316</v>
      </c>
      <c r="L14" s="117">
        <v>22952</v>
      </c>
      <c r="M14" s="117">
        <v>23895</v>
      </c>
      <c r="N14" s="117">
        <v>24838</v>
      </c>
      <c r="O14" s="117">
        <v>25782</v>
      </c>
      <c r="P14" s="117">
        <v>26725</v>
      </c>
      <c r="Q14" s="117">
        <v>27668</v>
      </c>
      <c r="R14" s="117">
        <v>28611</v>
      </c>
      <c r="S14" s="117">
        <v>29555</v>
      </c>
      <c r="T14" s="117">
        <v>30498</v>
      </c>
      <c r="U14" s="388">
        <v>31441</v>
      </c>
      <c r="V14" s="66"/>
    </row>
    <row r="15" spans="1:22" ht="18" customHeight="1">
      <c r="A15" s="70">
        <v>4</v>
      </c>
      <c r="B15" s="117"/>
      <c r="C15" s="117"/>
      <c r="D15" s="117"/>
      <c r="E15" s="117">
        <v>17001</v>
      </c>
      <c r="F15" s="117">
        <v>17143</v>
      </c>
      <c r="G15" s="117">
        <v>18337</v>
      </c>
      <c r="H15" s="117">
        <v>19546</v>
      </c>
      <c r="I15" s="117">
        <v>20740</v>
      </c>
      <c r="J15" s="307">
        <v>21949</v>
      </c>
      <c r="K15" s="307">
        <v>23143</v>
      </c>
      <c r="L15" s="117">
        <v>23411</v>
      </c>
      <c r="M15" s="117">
        <v>24373</v>
      </c>
      <c r="N15" s="117">
        <v>25335</v>
      </c>
      <c r="O15" s="117">
        <v>26297</v>
      </c>
      <c r="P15" s="117">
        <v>27259</v>
      </c>
      <c r="Q15" s="117">
        <v>28221</v>
      </c>
      <c r="R15" s="117">
        <v>29184</v>
      </c>
      <c r="S15" s="117">
        <v>30146</v>
      </c>
      <c r="T15" s="117">
        <v>31108</v>
      </c>
      <c r="U15" s="117">
        <v>32070</v>
      </c>
      <c r="V15" s="66"/>
    </row>
    <row r="16" spans="1:22" ht="18" customHeight="1">
      <c r="A16" s="70">
        <v>5</v>
      </c>
      <c r="B16" s="117"/>
      <c r="C16" s="117"/>
      <c r="D16" s="117"/>
      <c r="E16" s="117"/>
      <c r="F16" s="117">
        <v>17755</v>
      </c>
      <c r="G16" s="117">
        <v>18995</v>
      </c>
      <c r="H16" s="117">
        <v>20241</v>
      </c>
      <c r="I16" s="117">
        <v>21490</v>
      </c>
      <c r="J16" s="307">
        <v>21908</v>
      </c>
      <c r="K16" s="307">
        <v>22889</v>
      </c>
      <c r="L16" s="117">
        <v>23870</v>
      </c>
      <c r="M16" s="117">
        <v>24851</v>
      </c>
      <c r="N16" s="117">
        <v>25832</v>
      </c>
      <c r="O16" s="117">
        <v>26813</v>
      </c>
      <c r="P16" s="117">
        <v>27794</v>
      </c>
      <c r="Q16" s="117">
        <v>28775</v>
      </c>
      <c r="R16" s="117">
        <v>29756</v>
      </c>
      <c r="S16" s="117">
        <v>30737</v>
      </c>
      <c r="T16" s="117">
        <v>31718</v>
      </c>
      <c r="U16" s="117">
        <v>32699</v>
      </c>
      <c r="V16" s="66"/>
    </row>
    <row r="17" spans="1:22" ht="18" customHeight="1">
      <c r="A17" s="70">
        <v>6</v>
      </c>
      <c r="B17" s="117"/>
      <c r="C17" s="117"/>
      <c r="D17" s="117"/>
      <c r="E17" s="117"/>
      <c r="F17" s="117"/>
      <c r="G17" s="117">
        <v>19653</v>
      </c>
      <c r="H17" s="117">
        <v>20831</v>
      </c>
      <c r="I17" s="117">
        <v>21580</v>
      </c>
      <c r="J17" s="117">
        <v>22329</v>
      </c>
      <c r="K17" s="117">
        <v>23329</v>
      </c>
      <c r="L17" s="117">
        <v>24329</v>
      </c>
      <c r="M17" s="117">
        <v>25329</v>
      </c>
      <c r="N17" s="117">
        <v>26329</v>
      </c>
      <c r="O17" s="117">
        <v>27329</v>
      </c>
      <c r="P17" s="117">
        <v>28328</v>
      </c>
      <c r="Q17" s="117">
        <v>29328</v>
      </c>
      <c r="R17" s="117">
        <v>30328</v>
      </c>
      <c r="S17" s="117">
        <v>31328</v>
      </c>
      <c r="T17" s="117">
        <v>32328</v>
      </c>
      <c r="U17" s="117">
        <v>33353</v>
      </c>
      <c r="V17" s="66"/>
    </row>
    <row r="18" spans="1:22" ht="18" customHeight="1" thickBot="1">
      <c r="A18" s="71">
        <v>7</v>
      </c>
      <c r="B18" s="118"/>
      <c r="C18" s="118"/>
      <c r="D18" s="118"/>
      <c r="E18" s="118"/>
      <c r="F18" s="118"/>
      <c r="G18" s="118"/>
      <c r="H18" s="117">
        <v>21643</v>
      </c>
      <c r="I18" s="117">
        <v>22197</v>
      </c>
      <c r="J18" s="117">
        <v>22751</v>
      </c>
      <c r="K18" s="117">
        <v>23769</v>
      </c>
      <c r="L18" s="117">
        <v>24788</v>
      </c>
      <c r="M18" s="117">
        <v>25807</v>
      </c>
      <c r="N18" s="117">
        <v>26825</v>
      </c>
      <c r="O18" s="117">
        <v>27844</v>
      </c>
      <c r="P18" s="117">
        <v>28863</v>
      </c>
      <c r="Q18" s="117">
        <v>29882</v>
      </c>
      <c r="R18" s="117">
        <v>30900</v>
      </c>
      <c r="S18" s="117">
        <v>31919</v>
      </c>
      <c r="T18" s="117">
        <v>32938</v>
      </c>
      <c r="U18" s="117">
        <v>34007</v>
      </c>
      <c r="V18" s="66"/>
    </row>
    <row r="19" spans="1:22" ht="13.5" thickTop="1">
      <c r="A19" s="65"/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</row>
    <row r="20" spans="1:22">
      <c r="A20" s="13"/>
      <c r="B20" s="13"/>
      <c r="C20" s="13"/>
      <c r="D20" s="13"/>
      <c r="E20" s="13"/>
      <c r="F20" s="72" t="s">
        <v>107</v>
      </c>
      <c r="G20" s="73">
        <v>943</v>
      </c>
      <c r="H20" s="74" t="s">
        <v>108</v>
      </c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</row>
    <row r="21" spans="1:22">
      <c r="A21" s="13"/>
      <c r="B21" s="13"/>
      <c r="C21" s="13"/>
      <c r="D21" s="13"/>
      <c r="E21" s="13"/>
      <c r="F21" s="72" t="s">
        <v>109</v>
      </c>
      <c r="G21" s="73">
        <v>629</v>
      </c>
      <c r="H21" s="74" t="s">
        <v>108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spans="1:22">
      <c r="A22" s="13"/>
      <c r="B22" s="13"/>
      <c r="C22" s="13"/>
      <c r="D22" s="13"/>
      <c r="E22" s="13"/>
      <c r="F22" s="72"/>
      <c r="G22" s="73"/>
      <c r="H22" s="74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</row>
    <row r="23" spans="1:22">
      <c r="A23" s="3"/>
      <c r="B23" s="3"/>
      <c r="C23" s="3"/>
      <c r="D23" s="3"/>
      <c r="E23" s="3"/>
      <c r="F23" s="75"/>
      <c r="G23" s="76"/>
      <c r="H23" s="77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>
      <c r="A24" s="78" t="s">
        <v>110</v>
      </c>
    </row>
    <row r="25" spans="1:22" ht="13.5" thickBot="1">
      <c r="A25" s="79"/>
      <c r="B25" s="79"/>
      <c r="C25" s="79"/>
      <c r="D25" s="79"/>
      <c r="E25" s="79"/>
      <c r="F25" s="79"/>
      <c r="G25" s="79"/>
    </row>
    <row r="26" spans="1:22" ht="18" customHeight="1" thickTop="1">
      <c r="A26" s="80" t="s">
        <v>111</v>
      </c>
      <c r="F26" s="81" t="s">
        <v>112</v>
      </c>
      <c r="G26" s="82"/>
    </row>
    <row r="27" spans="1:22" ht="18" customHeight="1">
      <c r="A27" s="83" t="s">
        <v>113</v>
      </c>
      <c r="B27" s="84"/>
      <c r="C27" s="84"/>
      <c r="D27" s="84"/>
      <c r="E27" s="84"/>
      <c r="F27" s="85"/>
      <c r="G27" s="86"/>
    </row>
    <row r="28" spans="1:22" ht="18" customHeight="1">
      <c r="A28" s="87"/>
      <c r="B28" s="88"/>
      <c r="C28" s="88"/>
      <c r="D28" s="88"/>
      <c r="F28" s="89" t="s">
        <v>114</v>
      </c>
      <c r="G28" s="90" t="s">
        <v>115</v>
      </c>
    </row>
    <row r="29" spans="1:22" ht="18" customHeight="1">
      <c r="A29" s="91" t="s">
        <v>116</v>
      </c>
      <c r="B29" s="92" t="s">
        <v>117</v>
      </c>
      <c r="C29" s="92" t="s">
        <v>118</v>
      </c>
      <c r="D29" s="92" t="s">
        <v>119</v>
      </c>
      <c r="E29" s="92" t="s">
        <v>120</v>
      </c>
      <c r="F29" s="93" t="s">
        <v>121</v>
      </c>
      <c r="G29" s="94" t="s">
        <v>122</v>
      </c>
    </row>
    <row r="30" spans="1:22" ht="18" customHeight="1" thickBot="1">
      <c r="A30" s="95">
        <v>20</v>
      </c>
      <c r="B30" s="96">
        <v>25</v>
      </c>
      <c r="C30" s="96">
        <v>30</v>
      </c>
      <c r="D30" s="96">
        <v>100</v>
      </c>
      <c r="E30" s="96">
        <v>100</v>
      </c>
      <c r="F30" s="97">
        <v>15</v>
      </c>
      <c r="G30" s="98">
        <v>10</v>
      </c>
    </row>
    <row r="31" spans="1:22" ht="13.5" thickTop="1">
      <c r="A31" s="99"/>
      <c r="B31" s="99"/>
      <c r="C31" s="99"/>
      <c r="D31" s="99"/>
      <c r="E31" s="99"/>
      <c r="F31" s="99"/>
      <c r="G31" s="99"/>
    </row>
    <row r="32" spans="1:22">
      <c r="U32" s="100" t="s">
        <v>129</v>
      </c>
    </row>
    <row r="34" spans="1:5">
      <c r="A34" s="12"/>
    </row>
    <row r="35" spans="1:5" hidden="1"/>
    <row r="36" spans="1:5" hidden="1">
      <c r="A36">
        <v>0</v>
      </c>
      <c r="B36">
        <v>0.2</v>
      </c>
      <c r="D36" t="s">
        <v>124</v>
      </c>
      <c r="E36">
        <v>0.15</v>
      </c>
    </row>
    <row r="37" spans="1:5" hidden="1">
      <c r="A37">
        <v>1</v>
      </c>
      <c r="B37">
        <v>0.25</v>
      </c>
      <c r="D37" t="s">
        <v>125</v>
      </c>
      <c r="E37">
        <v>0.1</v>
      </c>
    </row>
    <row r="38" spans="1:5" hidden="1">
      <c r="A38">
        <v>2</v>
      </c>
      <c r="B38">
        <v>0.3</v>
      </c>
    </row>
    <row r="39" spans="1:5" hidden="1">
      <c r="A39">
        <v>3</v>
      </c>
      <c r="B39">
        <v>1</v>
      </c>
    </row>
    <row r="40" spans="1:5" hidden="1">
      <c r="A40">
        <v>14.99</v>
      </c>
      <c r="B40">
        <v>1</v>
      </c>
    </row>
  </sheetData>
  <sheetProtection password="836F" sheet="1" objects="1" scenarios="1"/>
  <mergeCells count="2">
    <mergeCell ref="I5:J5"/>
    <mergeCell ref="Q5:R5"/>
  </mergeCells>
  <phoneticPr fontId="30" type="noConversion"/>
  <pageMargins left="0.59055118110236227" right="0.59055118110236227" top="0.78740157480314965" bottom="0.51181102362204722" header="0.51181102362204722" footer="0.31496062992125984"/>
  <pageSetup paperSize="9" orientation="landscape" horizontalDpi="300" verticalDpi="300" r:id="rId1"/>
  <headerFooter alignWithMargins="0">
    <oddHeader>&amp;L&amp;"Times New Roman,Normal"2007-11-06</oddHeader>
    <oddFooter>&amp;L&amp;8*\&amp;F\&amp;A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codeName="Blad11"/>
  <dimension ref="A1:V40"/>
  <sheetViews>
    <sheetView topLeftCell="A11" zoomScaleNormal="75" workbookViewId="0">
      <selection activeCell="O16" sqref="O16"/>
    </sheetView>
  </sheetViews>
  <sheetFormatPr defaultRowHeight="12.75"/>
  <cols>
    <col min="1" max="21" width="6.28515625" customWidth="1"/>
    <col min="22" max="22" width="1.42578125" customWidth="1"/>
  </cols>
  <sheetData>
    <row r="1" spans="1:22" ht="5.25" customHeight="1">
      <c r="A1" s="55"/>
      <c r="U1">
        <v>1996</v>
      </c>
    </row>
    <row r="3" spans="1:22" ht="15.75">
      <c r="A3" s="56" t="s">
        <v>101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2" ht="20.100000000000001" customHeight="1">
      <c r="A4" s="56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2">
      <c r="A5" s="58" t="s">
        <v>102</v>
      </c>
      <c r="B5" s="3"/>
      <c r="C5" s="3"/>
      <c r="D5" s="58" t="s">
        <v>132</v>
      </c>
      <c r="E5" s="3"/>
      <c r="F5" s="3"/>
      <c r="G5" s="58" t="s">
        <v>104</v>
      </c>
      <c r="H5" s="3"/>
      <c r="I5" s="463">
        <v>38777</v>
      </c>
      <c r="J5" s="463"/>
      <c r="K5" s="3"/>
      <c r="M5" s="3"/>
      <c r="N5" s="3"/>
      <c r="O5" s="3"/>
      <c r="P5" s="60" t="s">
        <v>105</v>
      </c>
      <c r="Q5" s="466">
        <v>282.89</v>
      </c>
      <c r="R5" s="466"/>
      <c r="S5" s="3"/>
      <c r="T5" s="3"/>
      <c r="U5" s="3"/>
    </row>
    <row r="6" spans="1:22">
      <c r="A6" s="61"/>
      <c r="B6" s="62"/>
      <c r="C6" s="62"/>
      <c r="D6" s="61"/>
      <c r="E6" s="62"/>
      <c r="F6" s="62"/>
      <c r="G6" s="61"/>
      <c r="H6" s="62"/>
      <c r="I6" s="63"/>
      <c r="J6" s="62"/>
      <c r="K6" s="62"/>
      <c r="L6" s="61"/>
      <c r="M6" s="62"/>
      <c r="N6" s="62"/>
      <c r="O6" s="62"/>
      <c r="P6" s="62"/>
      <c r="Q6" s="61"/>
      <c r="R6" s="62"/>
      <c r="S6" s="62"/>
      <c r="T6" s="62"/>
      <c r="U6" s="62"/>
    </row>
    <row r="7" spans="1:22">
      <c r="A7" s="58"/>
      <c r="B7" s="3"/>
      <c r="C7" s="3"/>
      <c r="D7" s="58"/>
      <c r="E7" s="3"/>
      <c r="F7" s="3"/>
      <c r="G7" s="58"/>
      <c r="H7" s="3"/>
      <c r="I7" s="59"/>
      <c r="J7" s="3"/>
      <c r="K7" s="3"/>
      <c r="L7" s="58"/>
      <c r="M7" s="3"/>
      <c r="N7" s="3"/>
      <c r="O7" s="3"/>
      <c r="P7" s="3"/>
      <c r="Q7" s="58"/>
      <c r="R7" s="3"/>
      <c r="S7" s="3"/>
      <c r="T7" s="3"/>
      <c r="U7" s="3"/>
    </row>
    <row r="8" spans="1:22">
      <c r="A8" s="58" t="s">
        <v>106</v>
      </c>
      <c r="B8" s="3"/>
      <c r="C8" s="3"/>
      <c r="D8" s="58"/>
      <c r="E8" s="3"/>
      <c r="F8" s="3"/>
      <c r="G8" s="58"/>
      <c r="H8" s="3"/>
      <c r="I8" s="59"/>
      <c r="J8" s="3"/>
      <c r="K8" s="3"/>
      <c r="L8" s="58"/>
      <c r="M8" s="3"/>
      <c r="N8" s="3"/>
      <c r="O8" s="3"/>
      <c r="P8" s="3"/>
      <c r="Q8" s="58"/>
      <c r="R8" s="3"/>
      <c r="S8" s="3"/>
      <c r="T8" s="3"/>
      <c r="U8" s="3"/>
    </row>
    <row r="9" spans="1:22" ht="13.5" thickBot="1">
      <c r="A9" s="58"/>
      <c r="B9" s="3"/>
      <c r="C9" s="3"/>
      <c r="D9" s="58"/>
      <c r="E9" s="3"/>
      <c r="F9" s="3"/>
      <c r="G9" s="58"/>
      <c r="H9" s="3"/>
      <c r="I9" s="59"/>
      <c r="J9" s="3"/>
      <c r="K9" s="3"/>
      <c r="L9" s="58"/>
      <c r="M9" s="3"/>
      <c r="N9" s="3"/>
      <c r="O9" s="3"/>
      <c r="P9" s="3"/>
      <c r="Q9" s="58"/>
      <c r="R9" s="3"/>
      <c r="S9" s="3"/>
      <c r="T9" s="3"/>
      <c r="U9" s="3"/>
    </row>
    <row r="10" spans="1:22" ht="13.5" thickTop="1">
      <c r="A10" s="64"/>
      <c r="B10" s="65" t="s">
        <v>59</v>
      </c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6"/>
    </row>
    <row r="11" spans="1:22">
      <c r="A11" s="67" t="s">
        <v>60</v>
      </c>
      <c r="B11" s="68">
        <v>1</v>
      </c>
      <c r="C11" s="68">
        <v>2</v>
      </c>
      <c r="D11" s="68">
        <v>3</v>
      </c>
      <c r="E11" s="68">
        <v>4</v>
      </c>
      <c r="F11" s="68">
        <v>5</v>
      </c>
      <c r="G11" s="68">
        <v>6</v>
      </c>
      <c r="H11" s="68">
        <v>7</v>
      </c>
      <c r="I11" s="68">
        <v>8</v>
      </c>
      <c r="J11" s="68">
        <v>9</v>
      </c>
      <c r="K11" s="68">
        <v>10</v>
      </c>
      <c r="L11" s="68">
        <v>11</v>
      </c>
      <c r="M11" s="68">
        <v>12</v>
      </c>
      <c r="N11" s="68">
        <v>13</v>
      </c>
      <c r="O11" s="68">
        <v>14</v>
      </c>
      <c r="P11" s="68">
        <v>15</v>
      </c>
      <c r="Q11" s="68">
        <v>16</v>
      </c>
      <c r="R11" s="68">
        <v>17</v>
      </c>
      <c r="S11" s="68">
        <v>18</v>
      </c>
      <c r="T11" s="68">
        <v>19</v>
      </c>
      <c r="U11" s="69">
        <v>20</v>
      </c>
      <c r="V11" s="66"/>
    </row>
    <row r="12" spans="1:22" ht="18" customHeight="1">
      <c r="A12" s="70">
        <v>1</v>
      </c>
      <c r="B12" s="309">
        <v>11155</v>
      </c>
      <c r="C12" s="117">
        <v>12271</v>
      </c>
      <c r="D12" s="117">
        <v>13386</v>
      </c>
      <c r="E12" s="117">
        <v>14502</v>
      </c>
      <c r="F12" s="309">
        <v>15381</v>
      </c>
      <c r="G12" s="117">
        <v>16458</v>
      </c>
      <c r="H12" s="117">
        <v>17534</v>
      </c>
      <c r="I12" s="117">
        <v>18611</v>
      </c>
      <c r="J12" s="117">
        <v>19688</v>
      </c>
      <c r="K12" s="117">
        <v>20764</v>
      </c>
      <c r="L12" s="117">
        <v>22229</v>
      </c>
      <c r="M12" s="117">
        <v>23143</v>
      </c>
      <c r="N12" s="117">
        <v>24056</v>
      </c>
      <c r="O12" s="113">
        <v>24970</v>
      </c>
      <c r="P12" s="113">
        <v>25884</v>
      </c>
      <c r="Q12" s="306">
        <v>26797</v>
      </c>
      <c r="R12" s="306">
        <v>26797</v>
      </c>
      <c r="S12" s="113">
        <v>28624</v>
      </c>
      <c r="T12" s="113">
        <v>29538</v>
      </c>
      <c r="U12" s="114">
        <v>31531</v>
      </c>
      <c r="V12" s="66"/>
    </row>
    <row r="13" spans="1:22" ht="18" customHeight="1">
      <c r="A13" s="70">
        <v>2</v>
      </c>
      <c r="B13" s="113"/>
      <c r="C13" s="113">
        <v>13007</v>
      </c>
      <c r="D13" s="113">
        <v>14189</v>
      </c>
      <c r="E13" s="113">
        <v>15372</v>
      </c>
      <c r="F13" s="113">
        <v>15996</v>
      </c>
      <c r="G13" s="113">
        <v>17119</v>
      </c>
      <c r="H13" s="113">
        <v>18242</v>
      </c>
      <c r="I13" s="113">
        <v>19349</v>
      </c>
      <c r="J13" s="113">
        <v>20472</v>
      </c>
      <c r="K13" s="113">
        <v>21760</v>
      </c>
      <c r="L13" s="113">
        <v>22692</v>
      </c>
      <c r="M13" s="113">
        <v>23625</v>
      </c>
      <c r="N13" s="113">
        <v>24558</v>
      </c>
      <c r="O13" s="113">
        <v>25490</v>
      </c>
      <c r="P13" s="113">
        <v>26423</v>
      </c>
      <c r="Q13" s="113">
        <v>27355</v>
      </c>
      <c r="R13" s="113">
        <v>28288</v>
      </c>
      <c r="S13" s="113">
        <v>29220</v>
      </c>
      <c r="T13" s="113">
        <v>30153</v>
      </c>
      <c r="U13" s="308">
        <v>32792</v>
      </c>
      <c r="V13" s="66"/>
    </row>
    <row r="14" spans="1:22" ht="18" customHeight="1">
      <c r="A14" s="70">
        <v>3</v>
      </c>
      <c r="B14" s="113"/>
      <c r="C14" s="113"/>
      <c r="D14" s="113">
        <v>14992</v>
      </c>
      <c r="E14" s="113">
        <v>16242</v>
      </c>
      <c r="F14" s="113">
        <v>16611</v>
      </c>
      <c r="G14" s="113">
        <v>17780</v>
      </c>
      <c r="H14" s="113">
        <v>18934</v>
      </c>
      <c r="I14" s="113">
        <v>20103</v>
      </c>
      <c r="J14" s="113">
        <v>21257</v>
      </c>
      <c r="K14" s="113">
        <v>22425</v>
      </c>
      <c r="L14" s="113">
        <v>23156</v>
      </c>
      <c r="M14" s="113">
        <v>24107</v>
      </c>
      <c r="N14" s="113">
        <v>25059</v>
      </c>
      <c r="O14" s="113">
        <v>26010</v>
      </c>
      <c r="P14" s="113">
        <v>26962</v>
      </c>
      <c r="Q14" s="113">
        <v>27914</v>
      </c>
      <c r="R14" s="113">
        <v>28865</v>
      </c>
      <c r="S14" s="113">
        <v>29817</v>
      </c>
      <c r="T14" s="113">
        <v>30768</v>
      </c>
      <c r="U14" s="389">
        <v>31720</v>
      </c>
      <c r="V14" s="66"/>
    </row>
    <row r="15" spans="1:22" ht="18" customHeight="1">
      <c r="A15" s="70">
        <v>4</v>
      </c>
      <c r="B15" s="113"/>
      <c r="C15" s="113"/>
      <c r="D15" s="113"/>
      <c r="E15" s="113">
        <v>17112</v>
      </c>
      <c r="F15" s="113">
        <v>17227</v>
      </c>
      <c r="G15" s="113">
        <v>18426</v>
      </c>
      <c r="H15" s="113">
        <v>19642</v>
      </c>
      <c r="I15" s="113">
        <v>20841</v>
      </c>
      <c r="J15" s="113">
        <v>22056</v>
      </c>
      <c r="K15" s="306">
        <v>23256</v>
      </c>
      <c r="L15" s="113">
        <v>23619</v>
      </c>
      <c r="M15" s="113">
        <v>24589</v>
      </c>
      <c r="N15" s="113">
        <v>25560</v>
      </c>
      <c r="O15" s="113">
        <v>26531</v>
      </c>
      <c r="P15" s="113">
        <v>27501</v>
      </c>
      <c r="Q15" s="113">
        <v>28472</v>
      </c>
      <c r="R15" s="113">
        <v>29443</v>
      </c>
      <c r="S15" s="113">
        <v>30413</v>
      </c>
      <c r="T15" s="113">
        <v>31384</v>
      </c>
      <c r="U15" s="114">
        <v>32354</v>
      </c>
      <c r="V15" s="66"/>
    </row>
    <row r="16" spans="1:22" ht="18" customHeight="1">
      <c r="A16" s="70">
        <v>5</v>
      </c>
      <c r="B16" s="113"/>
      <c r="C16" s="113"/>
      <c r="D16" s="113"/>
      <c r="E16" s="113"/>
      <c r="F16" s="113">
        <v>17842</v>
      </c>
      <c r="G16" s="113">
        <v>19088</v>
      </c>
      <c r="H16" s="113">
        <v>20340</v>
      </c>
      <c r="I16" s="113">
        <v>21595</v>
      </c>
      <c r="J16" s="113">
        <v>22102</v>
      </c>
      <c r="K16" s="306">
        <v>23092</v>
      </c>
      <c r="L16" s="113">
        <v>24082</v>
      </c>
      <c r="M16" s="113">
        <v>25071</v>
      </c>
      <c r="N16" s="113">
        <v>26061</v>
      </c>
      <c r="O16" s="113">
        <v>27051</v>
      </c>
      <c r="P16" s="113">
        <v>28040</v>
      </c>
      <c r="Q16" s="113">
        <v>29030</v>
      </c>
      <c r="R16" s="113">
        <v>30020</v>
      </c>
      <c r="S16" s="113">
        <v>31009</v>
      </c>
      <c r="T16" s="113">
        <v>31999</v>
      </c>
      <c r="U16" s="114">
        <v>32989</v>
      </c>
      <c r="V16" s="66"/>
    </row>
    <row r="17" spans="1:22" ht="18" customHeight="1">
      <c r="A17" s="70">
        <v>6</v>
      </c>
      <c r="B17" s="113"/>
      <c r="C17" s="113"/>
      <c r="D17" s="113"/>
      <c r="E17" s="113"/>
      <c r="F17" s="113"/>
      <c r="G17" s="113">
        <v>19749</v>
      </c>
      <c r="H17" s="113">
        <v>20934</v>
      </c>
      <c r="I17" s="113">
        <v>21731</v>
      </c>
      <c r="J17" s="113">
        <v>22528</v>
      </c>
      <c r="K17" s="113">
        <v>23536</v>
      </c>
      <c r="L17" s="113">
        <v>24545</v>
      </c>
      <c r="M17" s="113">
        <v>25554</v>
      </c>
      <c r="N17" s="113">
        <v>26562</v>
      </c>
      <c r="O17" s="113">
        <v>27571</v>
      </c>
      <c r="P17" s="113">
        <v>28580</v>
      </c>
      <c r="Q17" s="113">
        <v>29588</v>
      </c>
      <c r="R17" s="113">
        <v>30597</v>
      </c>
      <c r="S17" s="113">
        <v>31606</v>
      </c>
      <c r="T17" s="113">
        <v>32615</v>
      </c>
      <c r="U17" s="114">
        <v>33649</v>
      </c>
      <c r="V17" s="66"/>
    </row>
    <row r="18" spans="1:22" ht="18" customHeight="1" thickBot="1">
      <c r="A18" s="71">
        <v>7</v>
      </c>
      <c r="B18" s="115"/>
      <c r="C18" s="115"/>
      <c r="D18" s="115"/>
      <c r="E18" s="115"/>
      <c r="F18" s="115"/>
      <c r="G18" s="115"/>
      <c r="H18" s="115">
        <v>21749</v>
      </c>
      <c r="I18" s="115">
        <v>22351</v>
      </c>
      <c r="J18" s="115">
        <v>22953</v>
      </c>
      <c r="K18" s="115">
        <v>23980</v>
      </c>
      <c r="L18" s="115">
        <v>25008</v>
      </c>
      <c r="M18" s="115">
        <v>26036</v>
      </c>
      <c r="N18" s="115">
        <v>27064</v>
      </c>
      <c r="O18" s="115">
        <v>28091</v>
      </c>
      <c r="P18" s="115">
        <v>29119</v>
      </c>
      <c r="Q18" s="115">
        <v>30147</v>
      </c>
      <c r="R18" s="115">
        <v>31174</v>
      </c>
      <c r="S18" s="115">
        <v>32202</v>
      </c>
      <c r="T18" s="115">
        <v>33230</v>
      </c>
      <c r="U18" s="116">
        <v>34308</v>
      </c>
      <c r="V18" s="66"/>
    </row>
    <row r="19" spans="1:22" ht="13.5" thickTop="1">
      <c r="A19" s="65"/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</row>
    <row r="20" spans="1:22">
      <c r="A20" s="13"/>
      <c r="B20" s="13"/>
      <c r="C20" s="13"/>
      <c r="D20" s="13"/>
      <c r="E20" s="13"/>
      <c r="F20" s="72" t="s">
        <v>107</v>
      </c>
      <c r="G20" s="73">
        <v>952</v>
      </c>
      <c r="H20" s="74" t="s">
        <v>108</v>
      </c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</row>
    <row r="21" spans="1:22">
      <c r="A21" s="13"/>
      <c r="B21" s="13"/>
      <c r="C21" s="13"/>
      <c r="D21" s="13"/>
      <c r="E21" s="13"/>
      <c r="F21" s="72" t="s">
        <v>109</v>
      </c>
      <c r="G21" s="73">
        <v>634</v>
      </c>
      <c r="H21" s="74" t="s">
        <v>108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spans="1:22">
      <c r="A22" s="13"/>
      <c r="B22" s="13"/>
      <c r="C22" s="13"/>
      <c r="D22" s="13"/>
      <c r="E22" s="13"/>
      <c r="F22" s="72"/>
      <c r="G22" s="73"/>
      <c r="H22" s="74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</row>
    <row r="23" spans="1:22">
      <c r="A23" s="3"/>
      <c r="B23" s="3"/>
      <c r="C23" s="3"/>
      <c r="D23" s="3"/>
      <c r="E23" s="3"/>
      <c r="F23" s="75"/>
      <c r="G23" s="76"/>
      <c r="H23" s="77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>
      <c r="A24" s="78" t="s">
        <v>110</v>
      </c>
    </row>
    <row r="25" spans="1:22" ht="13.5" thickBot="1">
      <c r="A25" s="79"/>
      <c r="B25" s="79"/>
      <c r="C25" s="79"/>
      <c r="D25" s="79"/>
      <c r="E25" s="79"/>
      <c r="F25" s="79"/>
      <c r="G25" s="79"/>
    </row>
    <row r="26" spans="1:22" ht="18" customHeight="1" thickTop="1">
      <c r="A26" s="80" t="s">
        <v>111</v>
      </c>
      <c r="F26" s="81" t="s">
        <v>112</v>
      </c>
      <c r="G26" s="82"/>
    </row>
    <row r="27" spans="1:22" ht="18" customHeight="1">
      <c r="A27" s="83" t="s">
        <v>113</v>
      </c>
      <c r="B27" s="84"/>
      <c r="C27" s="84"/>
      <c r="D27" s="84"/>
      <c r="E27" s="84"/>
      <c r="F27" s="85"/>
      <c r="G27" s="86"/>
    </row>
    <row r="28" spans="1:22" ht="18" customHeight="1">
      <c r="A28" s="87"/>
      <c r="B28" s="88"/>
      <c r="C28" s="88"/>
      <c r="D28" s="88"/>
      <c r="F28" s="89" t="s">
        <v>114</v>
      </c>
      <c r="G28" s="90" t="s">
        <v>115</v>
      </c>
    </row>
    <row r="29" spans="1:22" ht="18" customHeight="1">
      <c r="A29" s="91" t="s">
        <v>116</v>
      </c>
      <c r="B29" s="92" t="s">
        <v>117</v>
      </c>
      <c r="C29" s="92" t="s">
        <v>118</v>
      </c>
      <c r="D29" s="92" t="s">
        <v>119</v>
      </c>
      <c r="E29" s="92" t="s">
        <v>120</v>
      </c>
      <c r="F29" s="93" t="s">
        <v>121</v>
      </c>
      <c r="G29" s="94" t="s">
        <v>122</v>
      </c>
    </row>
    <row r="30" spans="1:22" ht="18" customHeight="1" thickBot="1">
      <c r="A30" s="95">
        <v>20</v>
      </c>
      <c r="B30" s="96">
        <v>25</v>
      </c>
      <c r="C30" s="96">
        <v>30</v>
      </c>
      <c r="D30" s="96">
        <v>100</v>
      </c>
      <c r="E30" s="96">
        <v>100</v>
      </c>
      <c r="F30" s="97">
        <v>15</v>
      </c>
      <c r="G30" s="98">
        <v>10</v>
      </c>
    </row>
    <row r="31" spans="1:22" ht="13.5" thickTop="1">
      <c r="A31" s="99"/>
      <c r="B31" s="99"/>
      <c r="C31" s="99"/>
      <c r="D31" s="99"/>
      <c r="E31" s="99"/>
      <c r="F31" s="99"/>
      <c r="G31" s="99"/>
    </row>
    <row r="32" spans="1:22">
      <c r="U32" s="100" t="s">
        <v>133</v>
      </c>
    </row>
    <row r="34" spans="1:5">
      <c r="A34" s="12"/>
    </row>
    <row r="35" spans="1:5" hidden="1"/>
    <row r="36" spans="1:5" hidden="1">
      <c r="A36">
        <v>0</v>
      </c>
      <c r="B36">
        <v>0.2</v>
      </c>
      <c r="D36" t="s">
        <v>124</v>
      </c>
      <c r="E36">
        <v>0.15</v>
      </c>
    </row>
    <row r="37" spans="1:5" hidden="1">
      <c r="A37">
        <v>1</v>
      </c>
      <c r="B37">
        <v>0.25</v>
      </c>
      <c r="D37" t="s">
        <v>125</v>
      </c>
      <c r="E37">
        <v>0.1</v>
      </c>
    </row>
    <row r="38" spans="1:5" hidden="1">
      <c r="A38">
        <v>2</v>
      </c>
      <c r="B38">
        <v>0.3</v>
      </c>
    </row>
    <row r="39" spans="1:5" hidden="1">
      <c r="A39">
        <v>3</v>
      </c>
      <c r="B39">
        <v>1</v>
      </c>
    </row>
    <row r="40" spans="1:5" hidden="1">
      <c r="A40">
        <v>14.99</v>
      </c>
      <c r="B40">
        <v>1</v>
      </c>
    </row>
  </sheetData>
  <sheetProtection password="836F" sheet="1" objects="1" scenarios="1"/>
  <mergeCells count="2">
    <mergeCell ref="I5:J5"/>
    <mergeCell ref="Q5:R5"/>
  </mergeCells>
  <phoneticPr fontId="30" type="noConversion"/>
  <pageMargins left="0.59055118110236227" right="0.59055118110236227" top="0.78740157480314965" bottom="0.51181102362204722" header="0.51181102362204722" footer="0.31496062992125984"/>
  <pageSetup paperSize="9" orientation="landscape" horizontalDpi="300" verticalDpi="300" r:id="rId1"/>
  <headerFooter alignWithMargins="0">
    <oddHeader>&amp;L&amp;"Times New Roman,Normal"2007-11-06</oddHeader>
    <oddFooter>&amp;L&amp;8*\&amp;F\&amp;A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23</vt:i4>
      </vt:variant>
      <vt:variant>
        <vt:lpstr>Namngivna områden</vt:lpstr>
      </vt:variant>
      <vt:variant>
        <vt:i4>111</vt:i4>
      </vt:variant>
    </vt:vector>
  </HeadingPairs>
  <TitlesOfParts>
    <vt:vector size="134" baseType="lpstr">
      <vt:lpstr>Sammandrag</vt:lpstr>
      <vt:lpstr>Åker</vt:lpstr>
      <vt:lpstr>Skog</vt:lpstr>
      <vt:lpstr>I_mark</vt:lpstr>
      <vt:lpstr>Fakta</vt:lpstr>
      <vt:lpstr>Gss</vt:lpstr>
      <vt:lpstr>Gmb</vt:lpstr>
      <vt:lpstr>Gns</vt:lpstr>
      <vt:lpstr>Ss</vt:lpstr>
      <vt:lpstr>Gsk</vt:lpstr>
      <vt:lpstr>Ssk</vt:lpstr>
      <vt:lpstr>Nn</vt:lpstr>
      <vt:lpstr>Nö</vt:lpstr>
      <vt:lpstr>Norrl I</vt:lpstr>
      <vt:lpstr>Norrl II</vt:lpstr>
      <vt:lpstr>Norrl III</vt:lpstr>
      <vt:lpstr>Svea I</vt:lpstr>
      <vt:lpstr>Svea II</vt:lpstr>
      <vt:lpstr>Svea III</vt:lpstr>
      <vt:lpstr>Göta I</vt:lpstr>
      <vt:lpstr>Göta II</vt:lpstr>
      <vt:lpstr>Göta III</vt:lpstr>
      <vt:lpstr>Listinfo</vt:lpstr>
      <vt:lpstr>Beståndstyp</vt:lpstr>
      <vt:lpstr>Bet</vt:lpstr>
      <vt:lpstr>Bet.</vt:lpstr>
      <vt:lpstr>Bonitet</vt:lpstr>
      <vt:lpstr>I_mark!Ersättnbete</vt:lpstr>
      <vt:lpstr>I_mark!ErsättnImp</vt:lpstr>
      <vt:lpstr>I_mark!Ersättnåker</vt:lpstr>
      <vt:lpstr>Gmb</vt:lpstr>
      <vt:lpstr>Gmbb</vt:lpstr>
      <vt:lpstr>Gmbl</vt:lpstr>
      <vt:lpstr>GmbLv</vt:lpstr>
      <vt:lpstr>GmbRv</vt:lpstr>
      <vt:lpstr>Gns</vt:lpstr>
      <vt:lpstr>Gnsb</vt:lpstr>
      <vt:lpstr>Gnsl</vt:lpstr>
      <vt:lpstr>GnsLv</vt:lpstr>
      <vt:lpstr>GnsRv</vt:lpstr>
      <vt:lpstr>Gsk</vt:lpstr>
      <vt:lpstr>Gskb</vt:lpstr>
      <vt:lpstr>Gskl</vt:lpstr>
      <vt:lpstr>GskLv</vt:lpstr>
      <vt:lpstr>GskRv</vt:lpstr>
      <vt:lpstr>Gss</vt:lpstr>
      <vt:lpstr>Gssb</vt:lpstr>
      <vt:lpstr>Gssl</vt:lpstr>
      <vt:lpstr>GssLv</vt:lpstr>
      <vt:lpstr>GssRv</vt:lpstr>
      <vt:lpstr>GötaIIIKalmark</vt:lpstr>
      <vt:lpstr>GötaIIIMassavedskog</vt:lpstr>
      <vt:lpstr>GötaIIIPlantskog</vt:lpstr>
      <vt:lpstr>GötaIIIRöjningsskog</vt:lpstr>
      <vt:lpstr>GötaIIIYngre_timmerskog</vt:lpstr>
      <vt:lpstr>GötaIIIÄldre_timmerskog</vt:lpstr>
      <vt:lpstr>GötaIIKalmark</vt:lpstr>
      <vt:lpstr>GötaIIMassavedskog</vt:lpstr>
      <vt:lpstr>GötaIIPlantskog</vt:lpstr>
      <vt:lpstr>GötaIIRöjningsskog</vt:lpstr>
      <vt:lpstr>GötaIIYngre_timmerskog</vt:lpstr>
      <vt:lpstr>GötaIIÄldre_timmerskog</vt:lpstr>
      <vt:lpstr>GötaIKalmark</vt:lpstr>
      <vt:lpstr>GötaIMassavedskog</vt:lpstr>
      <vt:lpstr>GötaIPlantskog</vt:lpstr>
      <vt:lpstr>GötaIRöjningsskog</vt:lpstr>
      <vt:lpstr>GötaIYngre_timmerskog</vt:lpstr>
      <vt:lpstr>GötaIÄldre_timmerskog</vt:lpstr>
      <vt:lpstr>Imp</vt:lpstr>
      <vt:lpstr>Imp.</vt:lpstr>
      <vt:lpstr>Nn</vt:lpstr>
      <vt:lpstr>Nnb</vt:lpstr>
      <vt:lpstr>Nnl</vt:lpstr>
      <vt:lpstr>NnLv</vt:lpstr>
      <vt:lpstr>NnRv</vt:lpstr>
      <vt:lpstr>NorrlIIIKalmark</vt:lpstr>
      <vt:lpstr>NorrlIIIMassavedskog</vt:lpstr>
      <vt:lpstr>NorrlIIIPlantskog</vt:lpstr>
      <vt:lpstr>NorrlIIIRöjningsskog</vt:lpstr>
      <vt:lpstr>NorrlIIIYngre_timmerskog</vt:lpstr>
      <vt:lpstr>NorrlIIIÄldre_timmerskog</vt:lpstr>
      <vt:lpstr>NorrlIIKalmark</vt:lpstr>
      <vt:lpstr>NorrlIIMassavedskog</vt:lpstr>
      <vt:lpstr>NorrlIIPlantskog</vt:lpstr>
      <vt:lpstr>NorrlIIRöjningsskog</vt:lpstr>
      <vt:lpstr>NorrlIIYngre_timmerskog</vt:lpstr>
      <vt:lpstr>NorrlIIÄldre_timmerskog</vt:lpstr>
      <vt:lpstr>NorrlIKalmark</vt:lpstr>
      <vt:lpstr>NorrlIMassavedskog</vt:lpstr>
      <vt:lpstr>NorrlIPlantskog</vt:lpstr>
      <vt:lpstr>NorrlIRöjningsskog</vt:lpstr>
      <vt:lpstr>NorrlIYngre_timmerskog</vt:lpstr>
      <vt:lpstr>NorrlIÄldre_timmerskog</vt:lpstr>
      <vt:lpstr>Nö</vt:lpstr>
      <vt:lpstr>Nöb</vt:lpstr>
      <vt:lpstr>Nöl</vt:lpstr>
      <vt:lpstr>NöLv</vt:lpstr>
      <vt:lpstr>NöRv</vt:lpstr>
      <vt:lpstr>Ss</vt:lpstr>
      <vt:lpstr>Ssb</vt:lpstr>
      <vt:lpstr>Ssk</vt:lpstr>
      <vt:lpstr>Sskb</vt:lpstr>
      <vt:lpstr>Sskl</vt:lpstr>
      <vt:lpstr>SskLv</vt:lpstr>
      <vt:lpstr>SskRv</vt:lpstr>
      <vt:lpstr>Ssl</vt:lpstr>
      <vt:lpstr>SsLv</vt:lpstr>
      <vt:lpstr>SsRv</vt:lpstr>
      <vt:lpstr>SveaIIIKalmark</vt:lpstr>
      <vt:lpstr>SveaIIIMassavedskog</vt:lpstr>
      <vt:lpstr>SveaIIIPlantskog</vt:lpstr>
      <vt:lpstr>SveaIIIRöjningsskog</vt:lpstr>
      <vt:lpstr>SveaIIIYngre_timmerskog</vt:lpstr>
      <vt:lpstr>SveaIIIÄldre_timmerskog</vt:lpstr>
      <vt:lpstr>SveaIIKalmark</vt:lpstr>
      <vt:lpstr>SveaIIMassavedskog</vt:lpstr>
      <vt:lpstr>SveaIIPlantskog</vt:lpstr>
      <vt:lpstr>SveaIIRöjningsskog</vt:lpstr>
      <vt:lpstr>SveaIIYngre_timmerskog</vt:lpstr>
      <vt:lpstr>SveaIIÄldre_timmerskog</vt:lpstr>
      <vt:lpstr>SveaIKalmark</vt:lpstr>
      <vt:lpstr>SveaIMassavedskog</vt:lpstr>
      <vt:lpstr>SveaIPlantskog</vt:lpstr>
      <vt:lpstr>SveaIRöjningsskog</vt:lpstr>
      <vt:lpstr>SveaIYngre_timmerskog</vt:lpstr>
      <vt:lpstr>SveaIÄldre_timmerskog</vt:lpstr>
      <vt:lpstr>Gns!Utskriftsområde</vt:lpstr>
      <vt:lpstr>Gsk!Utskriftsområde</vt:lpstr>
      <vt:lpstr>Gss!Utskriftsområde</vt:lpstr>
      <vt:lpstr>Nn!Utskriftsområde</vt:lpstr>
      <vt:lpstr>Nö!Utskriftsområde</vt:lpstr>
      <vt:lpstr>Skog!Utskriftsområde</vt:lpstr>
      <vt:lpstr>Ss!Utskriftsområde</vt:lpstr>
      <vt:lpstr>Ssk!Utskriftsområde</vt:lpstr>
    </vt:vector>
  </TitlesOfParts>
  <Company>Clever El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Värderingsprotokoll</dc:title>
  <dc:creator>Lundborg Anders</dc:creator>
  <cp:lastModifiedBy>elplo</cp:lastModifiedBy>
  <cp:lastPrinted>2014-01-27T11:04:02Z</cp:lastPrinted>
  <dcterms:created xsi:type="dcterms:W3CDTF">1998-08-31T14:04:10Z</dcterms:created>
  <dcterms:modified xsi:type="dcterms:W3CDTF">2015-09-04T12:10:47Z</dcterms:modified>
</cp:coreProperties>
</file>