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workbookProtection workbookAlgorithmName="SHA-512" workbookHashValue="YKYCfZ0mOU2Ep1arUCE3BpP+Jw7QXcCXgzbAzZGJRvgvGllQa92YsJMtFlfGtSZk5etHuFrd98K9wIsMDW6P8w==" workbookSaltValue="amgBguXsm/oJIttdgnqnmA==" workbookSpinCount="100000" lockStructure="1"/>
  <bookViews>
    <workbookView xWindow="-120" yWindow="-16320" windowWidth="29040" windowHeight="16440"/>
  </bookViews>
  <sheets>
    <sheet name="Värderingsbilaga" sheetId="1" r:id="rId1"/>
    <sheet name="Karta Tillväxtområde" sheetId="5" r:id="rId2"/>
    <sheet name="Tabeller Värdering enstaka träd" sheetId="4" state="hidden" r:id="rId3"/>
  </sheets>
  <definedNames>
    <definedName name="_xlnm._FilterDatabase" localSheetId="2" hidden="1">'Tabeller Värdering enstaka träd'!$A$15:$A$39</definedName>
    <definedName name="Á_pris_kr_m2">'Tabeller Värdering enstaka träd'!$G$48:$G$48</definedName>
    <definedName name="Gran">'Tabeller Värdering enstaka träd'!$I$16:$J$39</definedName>
    <definedName name="GranMV">'Tabeller Värdering enstaka träd'!$K$16:$K$39</definedName>
    <definedName name="Län">'Tabeller Värdering enstaka träd'!$A$77:$A$97</definedName>
    <definedName name="ListØ">'Tabeller Värdering enstaka träd'!$A$16:$A$39</definedName>
    <definedName name="Löv">'Tabeller Värdering enstaka träd'!$N$16:$O$39</definedName>
    <definedName name="LövMV">'Tabeller Värdering enstaka träd'!$P$16:$P$39</definedName>
    <definedName name="Markvärde">'Tabeller Värdering enstaka träd'!#REF!</definedName>
    <definedName name="Planthöjd">'Tabeller Värdering enstaka träd'!$A$12:$A$13</definedName>
    <definedName name="prisrelation" localSheetId="2">'Tabeller Värdering enstaka träd'!$A$42:$F$47</definedName>
    <definedName name="Röjskog">'Tabeller Värdering enstaka träd'!$F$48:$G$48</definedName>
    <definedName name="Röjskog2">'Tabeller Värdering enstaka träd'!$N$9:$O$11</definedName>
    <definedName name="Tall">'Tabeller Värdering enstaka träd'!$D$16:$E$39</definedName>
    <definedName name="TallMV">'Tabeller Värdering enstaka träd'!$F$16:$F$39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4" l="1"/>
  <c r="A109" i="4" l="1"/>
  <c r="C109" i="4"/>
  <c r="B109" i="4"/>
  <c r="H17" i="1"/>
  <c r="H18" i="1"/>
  <c r="H19" i="1"/>
  <c r="H16" i="1"/>
  <c r="H12" i="1" l="1"/>
  <c r="H11" i="1"/>
  <c r="H10" i="1"/>
  <c r="H9" i="1"/>
  <c r="L17" i="1" l="1"/>
  <c r="G13" i="1" s="1"/>
  <c r="D42" i="4" l="1"/>
  <c r="E42" i="4"/>
  <c r="F42" i="4"/>
  <c r="D43" i="4"/>
  <c r="E43" i="4"/>
  <c r="F43" i="4"/>
  <c r="D44" i="4"/>
  <c r="E44" i="4"/>
  <c r="F44" i="4"/>
  <c r="D45" i="4"/>
  <c r="E45" i="4"/>
  <c r="F45" i="4"/>
  <c r="D47" i="4"/>
  <c r="E47" i="4"/>
  <c r="F47" i="4"/>
  <c r="D5" i="4"/>
  <c r="E5" i="4"/>
  <c r="F33" i="1"/>
  <c r="E33" i="1"/>
  <c r="D33" i="1"/>
  <c r="B9" i="4" l="1"/>
  <c r="F9" i="4"/>
  <c r="E10" i="4"/>
  <c r="D11" i="4"/>
  <c r="C9" i="4"/>
  <c r="B10" i="4"/>
  <c r="F10" i="4"/>
  <c r="E11" i="4"/>
  <c r="E9" i="4"/>
  <c r="D10" i="4"/>
  <c r="C11" i="4"/>
  <c r="D9" i="4"/>
  <c r="C10" i="4"/>
  <c r="B11" i="4"/>
  <c r="F11" i="4"/>
  <c r="C4" i="4"/>
  <c r="O10" i="4"/>
  <c r="D4" i="4"/>
  <c r="O11" i="4"/>
  <c r="E4" i="4"/>
  <c r="O9" i="4"/>
  <c r="C38" i="4" l="1"/>
  <c r="C39" i="4"/>
  <c r="I12" i="1"/>
  <c r="I19" i="1"/>
  <c r="I9" i="1"/>
  <c r="I17" i="1"/>
  <c r="I11" i="1"/>
  <c r="I18" i="1"/>
  <c r="I16" i="1"/>
  <c r="I10" i="1"/>
  <c r="M16" i="4"/>
  <c r="O16" i="4" s="1"/>
  <c r="L20" i="4"/>
  <c r="M21" i="4"/>
  <c r="L24" i="4"/>
  <c r="M25" i="4"/>
  <c r="L28" i="4"/>
  <c r="M29" i="4"/>
  <c r="L19" i="4"/>
  <c r="M20" i="4"/>
  <c r="L23" i="4"/>
  <c r="M24" i="4"/>
  <c r="L27" i="4"/>
  <c r="M28" i="4"/>
  <c r="L31" i="4"/>
  <c r="M32" i="4"/>
  <c r="L35" i="4"/>
  <c r="M36" i="4"/>
  <c r="P16" i="4"/>
  <c r="M19" i="4"/>
  <c r="L22" i="4"/>
  <c r="M23" i="4"/>
  <c r="L26" i="4"/>
  <c r="M27" i="4"/>
  <c r="L30" i="4"/>
  <c r="M31" i="4"/>
  <c r="L34" i="4"/>
  <c r="M35" i="4"/>
  <c r="M18" i="4"/>
  <c r="L36" i="4"/>
  <c r="M37" i="4"/>
  <c r="M38" i="4"/>
  <c r="M17" i="4"/>
  <c r="L29" i="4"/>
  <c r="M30" i="4"/>
  <c r="L33" i="4"/>
  <c r="M34" i="4"/>
  <c r="L39" i="4"/>
  <c r="M22" i="4"/>
  <c r="L37" i="4"/>
  <c r="L38" i="4"/>
  <c r="L25" i="4"/>
  <c r="M26" i="4"/>
  <c r="L32" i="4"/>
  <c r="M33" i="4"/>
  <c r="M39" i="4"/>
  <c r="L21" i="4"/>
  <c r="F16" i="4"/>
  <c r="C19" i="4"/>
  <c r="B22" i="4"/>
  <c r="C23" i="4"/>
  <c r="B26" i="4"/>
  <c r="C27" i="4"/>
  <c r="B30" i="4"/>
  <c r="C31" i="4"/>
  <c r="B21" i="4"/>
  <c r="C22" i="4"/>
  <c r="B25" i="4"/>
  <c r="C26" i="4"/>
  <c r="B29" i="4"/>
  <c r="C30" i="4"/>
  <c r="B33" i="4"/>
  <c r="C34" i="4"/>
  <c r="B37" i="4"/>
  <c r="C16" i="4"/>
  <c r="E16" i="4" s="1"/>
  <c r="B20" i="4"/>
  <c r="C21" i="4"/>
  <c r="B24" i="4"/>
  <c r="C25" i="4"/>
  <c r="B28" i="4"/>
  <c r="C29" i="4"/>
  <c r="B32" i="4"/>
  <c r="C33" i="4"/>
  <c r="B36" i="4"/>
  <c r="C37" i="4"/>
  <c r="B23" i="4"/>
  <c r="C24" i="4"/>
  <c r="B34" i="4"/>
  <c r="C35" i="4"/>
  <c r="B19" i="4"/>
  <c r="C20" i="4"/>
  <c r="C17" i="4"/>
  <c r="B27" i="4"/>
  <c r="B35" i="4"/>
  <c r="C18" i="4"/>
  <c r="B31" i="4"/>
  <c r="C32" i="4"/>
  <c r="B38" i="4"/>
  <c r="C28" i="4"/>
  <c r="C36" i="4"/>
  <c r="B39" i="4"/>
  <c r="G19" i="4"/>
  <c r="H20" i="4"/>
  <c r="G23" i="4"/>
  <c r="H24" i="4"/>
  <c r="G27" i="4"/>
  <c r="H28" i="4"/>
  <c r="G31" i="4"/>
  <c r="H16" i="4"/>
  <c r="J16" i="4" s="1"/>
  <c r="H19" i="4"/>
  <c r="G22" i="4"/>
  <c r="H23" i="4"/>
  <c r="G26" i="4"/>
  <c r="H27" i="4"/>
  <c r="G30" i="4"/>
  <c r="H31" i="4"/>
  <c r="G34" i="4"/>
  <c r="H35" i="4"/>
  <c r="G38" i="4"/>
  <c r="G21" i="4"/>
  <c r="H22" i="4"/>
  <c r="G25" i="4"/>
  <c r="H26" i="4"/>
  <c r="G29" i="4"/>
  <c r="H30" i="4"/>
  <c r="G33" i="4"/>
  <c r="H34" i="4"/>
  <c r="G37" i="4"/>
  <c r="H38" i="4"/>
  <c r="H17" i="4"/>
  <c r="G28" i="4"/>
  <c r="H29" i="4"/>
  <c r="H32" i="4"/>
  <c r="G39" i="4"/>
  <c r="G24" i="4"/>
  <c r="H25" i="4"/>
  <c r="G36" i="4"/>
  <c r="H37" i="4"/>
  <c r="H39" i="4"/>
  <c r="K16" i="4"/>
  <c r="G20" i="4"/>
  <c r="H21" i="4"/>
  <c r="G35" i="4"/>
  <c r="H36" i="4"/>
  <c r="H18" i="4"/>
  <c r="G32" i="4"/>
  <c r="H33" i="4"/>
  <c r="N17" i="4"/>
  <c r="P17" i="4" s="1"/>
  <c r="N18" i="4"/>
  <c r="N22" i="4"/>
  <c r="P22" i="4" s="1"/>
  <c r="N26" i="4"/>
  <c r="P26" i="4" s="1"/>
  <c r="N30" i="4"/>
  <c r="P30" i="4" s="1"/>
  <c r="N21" i="4"/>
  <c r="N25" i="4"/>
  <c r="P25" i="4" s="1"/>
  <c r="N29" i="4"/>
  <c r="N33" i="4"/>
  <c r="P33" i="4" s="1"/>
  <c r="N37" i="4"/>
  <c r="P37" i="4" s="1"/>
  <c r="N20" i="4"/>
  <c r="P20" i="4" s="1"/>
  <c r="N24" i="4"/>
  <c r="P24" i="4" s="1"/>
  <c r="N28" i="4"/>
  <c r="P28" i="4" s="1"/>
  <c r="N32" i="4"/>
  <c r="P32" i="4" s="1"/>
  <c r="N36" i="4"/>
  <c r="P36" i="4" s="1"/>
  <c r="N19" i="4"/>
  <c r="P19" i="4" s="1"/>
  <c r="N31" i="4"/>
  <c r="P31" i="4" s="1"/>
  <c r="N35" i="4"/>
  <c r="P35" i="4" s="1"/>
  <c r="N38" i="4"/>
  <c r="P38" i="4" s="1"/>
  <c r="N23" i="4"/>
  <c r="P23" i="4" s="1"/>
  <c r="N27" i="4"/>
  <c r="P27" i="4" s="1"/>
  <c r="N34" i="4"/>
  <c r="P34" i="4" s="1"/>
  <c r="N39" i="4"/>
  <c r="P39" i="4" s="1"/>
  <c r="I17" i="4"/>
  <c r="E27" i="1" s="1"/>
  <c r="H27" i="1" s="1"/>
  <c r="I18" i="4"/>
  <c r="K18" i="4" s="1"/>
  <c r="I21" i="4"/>
  <c r="K21" i="4" s="1"/>
  <c r="I25" i="4"/>
  <c r="K25" i="4" s="1"/>
  <c r="I29" i="4"/>
  <c r="K29" i="4" s="1"/>
  <c r="I20" i="4"/>
  <c r="K20" i="4" s="1"/>
  <c r="I24" i="4"/>
  <c r="K24" i="4" s="1"/>
  <c r="I28" i="4"/>
  <c r="I32" i="4"/>
  <c r="K32" i="4" s="1"/>
  <c r="I36" i="4"/>
  <c r="K36" i="4" s="1"/>
  <c r="I19" i="4"/>
  <c r="K19" i="4" s="1"/>
  <c r="I23" i="4"/>
  <c r="K23" i="4" s="1"/>
  <c r="I27" i="4"/>
  <c r="K27" i="4" s="1"/>
  <c r="I31" i="4"/>
  <c r="K31" i="4" s="1"/>
  <c r="I35" i="4"/>
  <c r="K35" i="4" s="1"/>
  <c r="I30" i="4"/>
  <c r="K30" i="4" s="1"/>
  <c r="I33" i="4"/>
  <c r="K33" i="4" s="1"/>
  <c r="I26" i="4"/>
  <c r="K26" i="4" s="1"/>
  <c r="I38" i="4"/>
  <c r="K38" i="4" s="1"/>
  <c r="I22" i="4"/>
  <c r="K22" i="4" s="1"/>
  <c r="I37" i="4"/>
  <c r="K37" i="4" s="1"/>
  <c r="I39" i="4"/>
  <c r="K39" i="4" s="1"/>
  <c r="I34" i="4"/>
  <c r="K34" i="4" s="1"/>
  <c r="D17" i="4"/>
  <c r="F17" i="4" s="1"/>
  <c r="D18" i="4"/>
  <c r="F18" i="4" s="1"/>
  <c r="D20" i="4"/>
  <c r="F20" i="4" s="1"/>
  <c r="D24" i="4"/>
  <c r="F24" i="4" s="1"/>
  <c r="D28" i="4"/>
  <c r="F28" i="4" s="1"/>
  <c r="D32" i="4"/>
  <c r="F32" i="4" s="1"/>
  <c r="D19" i="4"/>
  <c r="D23" i="4"/>
  <c r="F23" i="4" s="1"/>
  <c r="D27" i="4"/>
  <c r="F27" i="4" s="1"/>
  <c r="D31" i="4"/>
  <c r="D35" i="4"/>
  <c r="F35" i="4" s="1"/>
  <c r="D22" i="4"/>
  <c r="F22" i="4" s="1"/>
  <c r="D26" i="4"/>
  <c r="F26" i="4" s="1"/>
  <c r="D30" i="4"/>
  <c r="F30" i="4" s="1"/>
  <c r="D34" i="4"/>
  <c r="F34" i="4" s="1"/>
  <c r="D38" i="4"/>
  <c r="F38" i="4" s="1"/>
  <c r="D25" i="4"/>
  <c r="F25" i="4" s="1"/>
  <c r="D36" i="4"/>
  <c r="F36" i="4" s="1"/>
  <c r="D21" i="4"/>
  <c r="D33" i="4"/>
  <c r="F33" i="4" s="1"/>
  <c r="D39" i="4"/>
  <c r="D29" i="4"/>
  <c r="F29" i="4" s="1"/>
  <c r="D37" i="4"/>
  <c r="F37" i="4" s="1"/>
  <c r="I20" i="1" l="1"/>
  <c r="I13" i="1"/>
  <c r="F31" i="4"/>
  <c r="E32" i="1"/>
  <c r="H32" i="1" s="1"/>
  <c r="F39" i="4"/>
  <c r="E26" i="1"/>
  <c r="H26" i="1" s="1"/>
  <c r="P29" i="4"/>
  <c r="E31" i="1"/>
  <c r="H31" i="1" s="1"/>
  <c r="K28" i="4"/>
  <c r="E30" i="1"/>
  <c r="H30" i="1" s="1"/>
  <c r="F21" i="4"/>
  <c r="E29" i="1"/>
  <c r="H29" i="1" s="1"/>
  <c r="P18" i="4"/>
  <c r="E28" i="1"/>
  <c r="H28" i="1" s="1"/>
  <c r="K17" i="4"/>
  <c r="E23" i="1"/>
  <c r="H23" i="1" s="1"/>
  <c r="F19" i="4"/>
  <c r="E24" i="1"/>
  <c r="H24" i="1" s="1"/>
  <c r="P21" i="4"/>
  <c r="E25" i="1"/>
  <c r="H25" i="1" s="1"/>
  <c r="J39" i="4"/>
  <c r="J34" i="4"/>
  <c r="J26" i="4"/>
  <c r="J20" i="4"/>
  <c r="E38" i="4"/>
  <c r="E35" i="4"/>
  <c r="E19" i="4"/>
  <c r="E30" i="4"/>
  <c r="E22" i="4"/>
  <c r="O25" i="4"/>
  <c r="O36" i="4"/>
  <c r="J33" i="4"/>
  <c r="J28" i="4"/>
  <c r="E33" i="4"/>
  <c r="E25" i="4"/>
  <c r="O39" i="4"/>
  <c r="O29" i="4"/>
  <c r="J21" i="4"/>
  <c r="J37" i="4"/>
  <c r="J17" i="4"/>
  <c r="G27" i="1" s="1"/>
  <c r="I27" i="1" s="1"/>
  <c r="J35" i="4"/>
  <c r="J27" i="4"/>
  <c r="J19" i="4"/>
  <c r="E39" i="4"/>
  <c r="E27" i="4"/>
  <c r="E23" i="4"/>
  <c r="E32" i="4"/>
  <c r="E24" i="4"/>
  <c r="O38" i="4"/>
  <c r="O17" i="4"/>
  <c r="O18" i="4"/>
  <c r="G28" i="1" s="1"/>
  <c r="I28" i="1" s="1"/>
  <c r="O30" i="4"/>
  <c r="O22" i="4"/>
  <c r="O35" i="4"/>
  <c r="O27" i="4"/>
  <c r="O19" i="4"/>
  <c r="O24" i="4"/>
  <c r="J18" i="4"/>
  <c r="J32" i="4"/>
  <c r="J38" i="4"/>
  <c r="J30" i="4"/>
  <c r="J22" i="4"/>
  <c r="J24" i="4"/>
  <c r="E31" i="4"/>
  <c r="E17" i="4"/>
  <c r="E37" i="4"/>
  <c r="E29" i="4"/>
  <c r="E21" i="4"/>
  <c r="E26" i="4"/>
  <c r="O32" i="4"/>
  <c r="O37" i="4"/>
  <c r="O33" i="4"/>
  <c r="J36" i="4"/>
  <c r="J25" i="4"/>
  <c r="J29" i="4"/>
  <c r="J31" i="4"/>
  <c r="J23" i="4"/>
  <c r="E18" i="4"/>
  <c r="E34" i="4"/>
  <c r="E36" i="4"/>
  <c r="E28" i="4"/>
  <c r="E20" i="4"/>
  <c r="O21" i="4"/>
  <c r="G25" i="1" s="1"/>
  <c r="I25" i="1" s="1"/>
  <c r="O34" i="4"/>
  <c r="O26" i="4"/>
  <c r="O31" i="4"/>
  <c r="O23" i="4"/>
  <c r="O28" i="4"/>
  <c r="O20" i="4"/>
  <c r="G31" i="1" l="1"/>
  <c r="I31" i="1" s="1"/>
  <c r="G30" i="1"/>
  <c r="I30" i="1" s="1"/>
  <c r="G29" i="1"/>
  <c r="I29" i="1" s="1"/>
  <c r="G32" i="1"/>
  <c r="I32" i="1" s="1"/>
  <c r="G26" i="1"/>
  <c r="I26" i="1" s="1"/>
  <c r="G23" i="1"/>
  <c r="I23" i="1" s="1"/>
  <c r="G24" i="1"/>
  <c r="I24" i="1" s="1"/>
  <c r="L25" i="1"/>
  <c r="I33" i="1" l="1"/>
  <c r="I55" i="1" s="1"/>
  <c r="H33" i="1"/>
  <c r="H20" i="1"/>
  <c r="G20" i="1"/>
  <c r="J20" i="1"/>
  <c r="J13" i="1"/>
  <c r="H13" i="1"/>
</calcChain>
</file>

<file path=xl/sharedStrings.xml><?xml version="1.0" encoding="utf-8"?>
<sst xmlns="http://schemas.openxmlformats.org/spreadsheetml/2006/main" count="278" uniqueCount="165">
  <si>
    <t>Dessa kolumner ska vara dolda för användaren!</t>
  </si>
  <si>
    <t>Värderingsbilaga: Enstaka träd</t>
  </si>
  <si>
    <t>FASTIGHET / SAMFÄLLIGHET samt PROJEKTINFORMATION</t>
  </si>
  <si>
    <t>Fastighetsbeteckning:</t>
  </si>
  <si>
    <t>NIS/IB:</t>
  </si>
  <si>
    <t>Kommun:</t>
  </si>
  <si>
    <t>Värdetidpunkt:</t>
  </si>
  <si>
    <t>Fastighetsnr:</t>
  </si>
  <si>
    <t xml:space="preserve">Tillväxtområde </t>
  </si>
  <si>
    <t>Ersättning per kvm</t>
  </si>
  <si>
    <t>Längd</t>
  </si>
  <si>
    <t xml:space="preserve">Area </t>
  </si>
  <si>
    <t xml:space="preserve">Ersättning </t>
  </si>
  <si>
    <t>Område 1</t>
  </si>
  <si>
    <t>Område 2</t>
  </si>
  <si>
    <t>Område 3</t>
  </si>
  <si>
    <t>Område 4a</t>
  </si>
  <si>
    <t>Område 4b</t>
  </si>
  <si>
    <t>Område 5</t>
  </si>
  <si>
    <t xml:space="preserve">Summering: </t>
  </si>
  <si>
    <t>Felmarkering Längd</t>
  </si>
  <si>
    <t xml:space="preserve">ERSÄTTNING FÖR ENSTAKA TRÄD </t>
  </si>
  <si>
    <t>Trädslag</t>
  </si>
  <si>
    <t>Volym per träd</t>
  </si>
  <si>
    <t>Kr per träd</t>
  </si>
  <si>
    <t>Total Volym</t>
  </si>
  <si>
    <t>Felmarkering Volym</t>
  </si>
  <si>
    <t>FÖRKLARING</t>
  </si>
  <si>
    <t>Tillfälliga skador regleras separat. Ersatta träd förblir fastighetsägarens egendom, dock har ledningsägaren rätt att fälla träden om det uppstår behov vid anläggande eller underhåll av ledning (med tillbehör).</t>
  </si>
  <si>
    <t>Björk SS</t>
  </si>
  <si>
    <t>Björk NS</t>
  </si>
  <si>
    <t>Gran SS</t>
  </si>
  <si>
    <t>Gran NS</t>
  </si>
  <si>
    <t>Tall SS</t>
  </si>
  <si>
    <t>Tall NS</t>
  </si>
  <si>
    <t>e</t>
  </si>
  <si>
    <t>d</t>
  </si>
  <si>
    <t>c</t>
  </si>
  <si>
    <t>b</t>
  </si>
  <si>
    <t>a</t>
  </si>
  <si>
    <t>SS</t>
  </si>
  <si>
    <t>E</t>
  </si>
  <si>
    <t>T28</t>
  </si>
  <si>
    <t>G26</t>
  </si>
  <si>
    <t>Östergötland</t>
  </si>
  <si>
    <t>T</t>
  </si>
  <si>
    <t>Örebro</t>
  </si>
  <si>
    <t>O</t>
  </si>
  <si>
    <t>Västra Götaland</t>
  </si>
  <si>
    <t>U</t>
  </si>
  <si>
    <t>Västmanland</t>
  </si>
  <si>
    <t>NS</t>
  </si>
  <si>
    <t>Y</t>
  </si>
  <si>
    <t>T20</t>
  </si>
  <si>
    <t>G20</t>
  </si>
  <si>
    <t>Västernorrland</t>
  </si>
  <si>
    <t>AC</t>
  </si>
  <si>
    <t>T18</t>
  </si>
  <si>
    <t>G18</t>
  </si>
  <si>
    <t>Västerbotten</t>
  </si>
  <si>
    <t>S</t>
  </si>
  <si>
    <t>T24</t>
  </si>
  <si>
    <t>G24</t>
  </si>
  <si>
    <t>Värmland</t>
  </si>
  <si>
    <t>C</t>
  </si>
  <si>
    <t>T26</t>
  </si>
  <si>
    <t>Uppsala</t>
  </si>
  <si>
    <t>D</t>
  </si>
  <si>
    <t>Södermanland</t>
  </si>
  <si>
    <t>AB</t>
  </si>
  <si>
    <t>Stockholm</t>
  </si>
  <si>
    <t>M</t>
  </si>
  <si>
    <t>G32</t>
  </si>
  <si>
    <t>Skåne</t>
  </si>
  <si>
    <t>Löv</t>
  </si>
  <si>
    <t>BD</t>
  </si>
  <si>
    <t>T16</t>
  </si>
  <si>
    <t>G16</t>
  </si>
  <si>
    <t>Norrbotten</t>
  </si>
  <si>
    <t>Gran</t>
  </si>
  <si>
    <t>G</t>
  </si>
  <si>
    <t>G28</t>
  </si>
  <si>
    <t>Kronoberg</t>
  </si>
  <si>
    <t>Tall</t>
  </si>
  <si>
    <t>H</t>
  </si>
  <si>
    <t>Kalmar</t>
  </si>
  <si>
    <t>F</t>
  </si>
  <si>
    <t>Jönköping</t>
  </si>
  <si>
    <t>Om berörda träd utgörs av ek, bok så kan det p30 som anges för ädellöv</t>
  </si>
  <si>
    <t>Z</t>
  </si>
  <si>
    <t>Jämtland</t>
  </si>
  <si>
    <t>N</t>
  </si>
  <si>
    <t>G30</t>
  </si>
  <si>
    <t>Halland</t>
  </si>
  <si>
    <t>X</t>
  </si>
  <si>
    <t>G22</t>
  </si>
  <si>
    <t>Gävleborg</t>
  </si>
  <si>
    <t>I</t>
  </si>
  <si>
    <t>Gotland</t>
  </si>
  <si>
    <t>W</t>
  </si>
  <si>
    <t>T22</t>
  </si>
  <si>
    <t>Dalarna</t>
  </si>
  <si>
    <t>K</t>
  </si>
  <si>
    <t>Blekinge</t>
  </si>
  <si>
    <t>H25</t>
  </si>
  <si>
    <t>Tall/Övrigt</t>
  </si>
  <si>
    <t>bonitet</t>
  </si>
  <si>
    <t>Län</t>
  </si>
  <si>
    <t>Område 4</t>
  </si>
  <si>
    <t>Medelvolym</t>
  </si>
  <si>
    <t>Förtidig avverkning</t>
  </si>
  <si>
    <t>&gt;1 meter</t>
  </si>
  <si>
    <t>&lt;1 meter</t>
  </si>
  <si>
    <t>Kalmark</t>
  </si>
  <si>
    <t>Prisrelation 0,8</t>
  </si>
  <si>
    <t>Markvärde/träd</t>
  </si>
  <si>
    <t>Kr/träd</t>
  </si>
  <si>
    <t xml:space="preserve">m³sk </t>
  </si>
  <si>
    <t>Förtidig</t>
  </si>
  <si>
    <t>TAX</t>
  </si>
  <si>
    <t>V/träd</t>
  </si>
  <si>
    <t>Rotnetto</t>
  </si>
  <si>
    <t>Diam i cm</t>
  </si>
  <si>
    <t>Löv kr/m3sk</t>
  </si>
  <si>
    <t>Gran kr/m3sk</t>
  </si>
  <si>
    <t>Tall kr/m3sk</t>
  </si>
  <si>
    <t>&gt; 1 meter</t>
  </si>
  <si>
    <t>&lt; 1 meter</t>
  </si>
  <si>
    <t>Område 4B</t>
  </si>
  <si>
    <t>7-8</t>
  </si>
  <si>
    <t>Område 4A</t>
  </si>
  <si>
    <t>Á-pris kr/m2</t>
  </si>
  <si>
    <t>Planthöjd</t>
  </si>
  <si>
    <t xml:space="preserve">Beräkning av arealersättning </t>
  </si>
  <si>
    <t>Värdering av enstaka träd – värdering i inägomark eller längs vägar</t>
  </si>
  <si>
    <t>Tillväxtområde</t>
  </si>
  <si>
    <t>Tillhörande län</t>
  </si>
  <si>
    <t>4A</t>
  </si>
  <si>
    <t>4B</t>
  </si>
  <si>
    <t>Norrbotten, Västerbotten</t>
  </si>
  <si>
    <t>Jämtland, Västernorrland</t>
  </si>
  <si>
    <t>Dalarna, Gävleborg</t>
  </si>
  <si>
    <t>Värmland, Örebro, Västmanland, Uppsala, Stockholm, Södermanland, Gotland</t>
  </si>
  <si>
    <t>Västra Götaland, Östergötland, Jönköping, Kalmar, Kronoberg</t>
  </si>
  <si>
    <t>Halland, Skåne, Blekinge</t>
  </si>
  <si>
    <t>Län (tillväxtområde):</t>
  </si>
  <si>
    <t xml:space="preserve">ERSÄTTNINGSBERÄKNING FÖR MARKKABEL I VÄGANLÄGGNING I SKOGSMARK </t>
  </si>
  <si>
    <t>Bredd</t>
  </si>
  <si>
    <t xml:space="preserve">ERSÄTTNINGSBERÄKNING FÖR ÖVRIGT INTRÅNG I SKOGSMARK </t>
  </si>
  <si>
    <t>Beskrivning</t>
  </si>
  <si>
    <t>Beskrivning (typ, stag, etc.)</t>
  </si>
  <si>
    <r>
      <t>ERSÄTTNING</t>
    </r>
    <r>
      <rPr>
        <b/>
        <i/>
        <sz val="10"/>
        <rFont val="Calibri"/>
        <family val="2"/>
      </rPr>
      <t>:</t>
    </r>
  </si>
  <si>
    <t>Förtidig avverkning förutsätter prisrelation 0,8</t>
  </si>
  <si>
    <t>brösthöjd</t>
  </si>
  <si>
    <t>Rubrik?</t>
  </si>
  <si>
    <t>Ung. Bonitet</t>
  </si>
  <si>
    <t>P30-priser</t>
  </si>
  <si>
    <t xml:space="preserve">Dessa värden uppdateras årligen till föregående års värden </t>
  </si>
  <si>
    <t>P30-Priser för aktuellt område</t>
  </si>
  <si>
    <t>Område:</t>
  </si>
  <si>
    <t>Prisfaktor:</t>
  </si>
  <si>
    <t>H25 värden (trädhöjd vid diameter på 25 cm i brösthöjd).</t>
  </si>
  <si>
    <t>Träddiameter</t>
  </si>
  <si>
    <t>Trädantal</t>
  </si>
  <si>
    <r>
      <rPr>
        <b/>
        <sz val="9"/>
        <rFont val="Calibri"/>
        <family val="2"/>
      </rPr>
      <t>Version 2022</t>
    </r>
    <r>
      <rPr>
        <i/>
        <sz val="9"/>
        <rFont val="Calibri"/>
        <family val="2"/>
      </rPr>
      <t xml:space="preserve"> (2022.01.13)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</si>
</sst>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3">
    <numFmt numFmtId="164" formatCode="_-* #,##0\ &quot;kr&quot;_-;\-* #,##0\ &quot;kr&quot;_-;_-* &quot;-&quot;\ &quot;kr&quot;_-;_-@_-"/>
    <numFmt numFmtId="165" formatCode="_-* #,##0.00\ &quot;kr&quot;_-;\-* #,##0.00\ &quot;kr&quot;_-;_-* &quot;-&quot;??\ &quot;kr&quot;_-;_-@_-"/>
    <numFmt numFmtId="166" formatCode="_-* #,##0\ _k_r_-;\-* #,##0\ _k_r_-;_-* &quot;-&quot;\ _k_r_-;_-@_-"/>
    <numFmt numFmtId="167" formatCode="&quot;SANT&quot;;&quot;SANT&quot;;&quot;FALSKT&quot;"/>
    <numFmt numFmtId="168" formatCode="#.####"/>
    <numFmt numFmtId="169" formatCode="_-* #,##0.00&quot; kr&quot;_-;\-* #,##0.00&quot; kr&quot;_-;_-* \-??&quot; kr&quot;_-;_-@_-"/>
    <numFmt numFmtId="170" formatCode="_-* #,##0&quot; kr&quot;_-;\-* #,##0&quot; kr&quot;_-;_-* \-??&quot; kr&quot;_-;_-@_-"/>
    <numFmt numFmtId="171" formatCode="0&quot; m&quot;"/>
    <numFmt numFmtId="172" formatCode="0&quot; m²&quot;;\-0;;@"/>
    <numFmt numFmtId="173" formatCode="0&quot; kr&quot;;\-0;;@"/>
    <numFmt numFmtId="174" formatCode="0&quot; m&quot;;\-0;;@"/>
    <numFmt numFmtId="175" formatCode="0&quot; cm&quot;;\-0;;@"/>
    <numFmt numFmtId="176" formatCode="0&quot; st&quot;;\-0;;@"/>
    <numFmt numFmtId="177" formatCode="0.000&quot; m³&quot;;\-0.000;;@"/>
    <numFmt numFmtId="178" formatCode="0.0&quot; kr&quot;;\-0.0;;@"/>
    <numFmt numFmtId="179" formatCode="0.0&quot; m³sk&quot;;\-0.0;;@"/>
    <numFmt numFmtId="180" formatCode="0&quot; st&quot;"/>
    <numFmt numFmtId="181" formatCode="0.000&quot; m3&quot;"/>
    <numFmt numFmtId="182" formatCode="0.000"/>
    <numFmt numFmtId="183" formatCode="#,##0.0"/>
    <numFmt numFmtId="184" formatCode="0.0"/>
    <numFmt numFmtId="185" formatCode="_ * #,##0.00_)&quot;kr&quot;_ ;_ * \(#,##0.00\)&quot;kr&quot;_ ;_ * &quot;-&quot;??_)&quot;kr&quot;_ ;_ @_ "/>
    <numFmt numFmtId="186" formatCode="_-* #,##0.0\ &quot;kr&quot;_-;\-* #,##0.0\ &quot;kr&quot;_-;_-* &quot;-&quot;??\ &quot;kr&quot;_-;_-@_-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name val="Calibri"/>
      <family val="2"/>
      <charset val="1"/>
    </font>
    <font>
      <sz val="9"/>
      <name val="Arial"/>
      <family val="2"/>
    </font>
    <font>
      <b/>
      <sz val="12"/>
      <name val="Calibri"/>
      <family val="2"/>
      <charset val="1"/>
    </font>
    <font>
      <b/>
      <sz val="10"/>
      <color theme="0"/>
      <name val="Calibri"/>
      <family val="2"/>
      <charset val="1"/>
    </font>
    <font>
      <b/>
      <sz val="12"/>
      <name val="Calibri"/>
      <family val="2"/>
    </font>
    <font>
      <b/>
      <sz val="11"/>
      <name val="Calibri"/>
      <family val="2"/>
      <charset val="1"/>
    </font>
    <font>
      <i/>
      <sz val="9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11"/>
      <color indexed="8"/>
      <name val="Calibri"/>
      <family val="2"/>
      <charset val="1"/>
    </font>
    <font>
      <i/>
      <sz val="9"/>
      <name val="Calibri"/>
      <family val="2"/>
      <charset val="1"/>
    </font>
    <font>
      <i/>
      <vertAlign val="superscript"/>
      <sz val="9"/>
      <name val="Calibri"/>
      <family val="2"/>
      <charset val="1"/>
    </font>
    <font>
      <b/>
      <sz val="9"/>
      <name val="Calibri"/>
      <family val="2"/>
      <scheme val="minor"/>
    </font>
    <font>
      <b/>
      <u/>
      <sz val="9"/>
      <name val="Calibri"/>
      <family val="2"/>
      <charset val="1"/>
    </font>
    <font>
      <sz val="9"/>
      <color indexed="8"/>
      <name val="Calibri"/>
      <family val="2"/>
      <charset val="1"/>
    </font>
    <font>
      <b/>
      <sz val="10"/>
      <name val="Arial"/>
      <family val="2"/>
    </font>
    <font>
      <b/>
      <u/>
      <sz val="10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sz val="11"/>
      <name val="Calibri"/>
      <family val="2"/>
      <charset val="1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Helv"/>
    </font>
    <font>
      <b/>
      <sz val="11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Calibri"/>
      <family val="2"/>
    </font>
    <font>
      <b/>
      <i/>
      <sz val="10"/>
      <name val="Calibri"/>
      <family val="2"/>
    </font>
    <font>
      <i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4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indexed="64"/>
      </top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499984740745262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theme="0" tint="-0.499984740745262"/>
      </left>
      <right/>
      <top/>
      <bottom style="dashed">
        <color theme="0" tint="-0.499984740745262"/>
      </bottom>
      <diagonal/>
    </border>
    <border>
      <left/>
      <right/>
      <top/>
      <bottom style="dashed">
        <color theme="0" tint="-0.499984740745262"/>
      </bottom>
      <diagonal/>
    </border>
    <border>
      <left/>
      <right style="thin">
        <color theme="0" tint="-0.499984740745262"/>
      </right>
      <top/>
      <bottom style="dashed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dashed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dashed">
        <color theme="0" tint="-0.499984740745262"/>
      </bottom>
      <diagonal/>
    </border>
    <border>
      <left/>
      <right style="thin">
        <color indexed="64"/>
      </right>
      <top/>
      <bottom style="dashed">
        <color theme="0" tint="-0.499984740745262"/>
      </bottom>
      <diagonal/>
    </border>
  </borders>
  <cellStyleXfs count="17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0" fontId="26" fillId="0" borderId="0"/>
    <xf numFmtId="0" fontId="28" fillId="0" borderId="0"/>
    <xf numFmtId="185" fontId="26" fillId="0" borderId="0" applyFont="0" applyFill="0" applyBorder="0" applyAlignment="0" applyProtection="0"/>
    <xf numFmtId="165" fontId="26" fillId="0" borderId="0" applyFont="0" applyFill="0" applyBorder="0" applyAlignment="0" applyProtection="0"/>
    <xf numFmtId="0" fontId="14" fillId="0" borderId="0"/>
    <xf numFmtId="0" fontId="26" fillId="0" borderId="0"/>
    <xf numFmtId="0" fontId="26" fillId="0" borderId="0"/>
    <xf numFmtId="0" fontId="1" fillId="0" borderId="0"/>
    <xf numFmtId="9" fontId="1" fillId="0" borderId="0" applyFont="0" applyFill="0" applyBorder="0" applyAlignment="0" applyProtection="0"/>
    <xf numFmtId="166" fontId="26" fillId="0" borderId="0" applyFont="0" applyFill="0" applyBorder="0" applyAlignment="0" applyProtection="0"/>
    <xf numFmtId="164" fontId="26" fillId="0" borderId="0" applyFont="0" applyFill="0" applyBorder="0" applyAlignment="0" applyProtection="0"/>
    <xf numFmtId="169" fontId="14" fillId="0" borderId="0"/>
    <xf numFmtId="165" fontId="26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402">
    <xf numFmtId="0" fontId="0" fillId="0" borderId="0" xfId="0"/>
    <xf numFmtId="0" fontId="4" fillId="0" borderId="0" xfId="2" applyFont="1" applyFill="1" applyBorder="1" applyAlignment="1" applyProtection="1">
      <alignment horizontal="center" vertical="center"/>
    </xf>
    <xf numFmtId="0" fontId="5" fillId="0" borderId="0" xfId="2" applyFont="1" applyFill="1" applyBorder="1" applyAlignment="1" applyProtection="1">
      <alignment vertical="center"/>
    </xf>
    <xf numFmtId="0" fontId="6" fillId="0" borderId="0" xfId="0" applyFont="1" applyProtection="1"/>
    <xf numFmtId="0" fontId="4" fillId="0" borderId="0" xfId="2" applyFont="1" applyFill="1" applyBorder="1" applyAlignment="1" applyProtection="1">
      <alignment horizontal="right"/>
    </xf>
    <xf numFmtId="0" fontId="4" fillId="0" borderId="0" xfId="2" applyFont="1" applyFill="1" applyBorder="1" applyAlignment="1" applyProtection="1">
      <alignment vertical="center"/>
    </xf>
    <xf numFmtId="0" fontId="5" fillId="0" borderId="0" xfId="2" applyFont="1" applyFill="1" applyBorder="1" applyAlignment="1" applyProtection="1">
      <alignment horizontal="right" vertical="center"/>
      <protection hidden="1"/>
    </xf>
    <xf numFmtId="0" fontId="5" fillId="0" borderId="0" xfId="2" applyFont="1" applyFill="1" applyBorder="1" applyAlignment="1" applyProtection="1">
      <alignment horizontal="center" vertical="center"/>
      <protection hidden="1"/>
    </xf>
    <xf numFmtId="0" fontId="5" fillId="0" borderId="0" xfId="2" applyFont="1" applyFill="1" applyBorder="1" applyAlignment="1" applyProtection="1">
      <alignment vertical="center"/>
      <protection hidden="1"/>
    </xf>
    <xf numFmtId="167" fontId="5" fillId="0" borderId="0" xfId="2" applyNumberFormat="1" applyFont="1" applyFill="1" applyBorder="1" applyAlignment="1" applyProtection="1">
      <alignment horizontal="center" vertical="center"/>
      <protection hidden="1"/>
    </xf>
    <xf numFmtId="0" fontId="4" fillId="0" borderId="0" xfId="2" applyFont="1" applyFill="1" applyAlignment="1" applyProtection="1">
      <alignment horizontal="center" vertical="center"/>
    </xf>
    <xf numFmtId="168" fontId="12" fillId="0" borderId="1" xfId="2" applyNumberFormat="1" applyFont="1" applyFill="1" applyBorder="1" applyAlignment="1" applyProtection="1">
      <alignment horizontal="right" vertical="center"/>
    </xf>
    <xf numFmtId="170" fontId="5" fillId="0" borderId="0" xfId="1" applyNumberFormat="1" applyFont="1" applyFill="1" applyBorder="1" applyAlignment="1" applyProtection="1">
      <alignment horizontal="left" vertical="center"/>
    </xf>
    <xf numFmtId="0" fontId="12" fillId="0" borderId="6" xfId="2" applyFont="1" applyFill="1" applyBorder="1" applyAlignment="1" applyProtection="1">
      <alignment horizontal="right" vertical="center"/>
    </xf>
    <xf numFmtId="2" fontId="5" fillId="0" borderId="0" xfId="2" applyNumberFormat="1" applyFont="1" applyFill="1" applyBorder="1" applyAlignment="1" applyProtection="1">
      <alignment horizontal="right" vertical="center"/>
    </xf>
    <xf numFmtId="0" fontId="5" fillId="0" borderId="0" xfId="2" applyFont="1" applyFill="1" applyBorder="1" applyAlignment="1" applyProtection="1">
      <alignment horizontal="right" vertical="center"/>
    </xf>
    <xf numFmtId="0" fontId="5" fillId="5" borderId="17" xfId="2" applyFont="1" applyFill="1" applyBorder="1" applyAlignment="1" applyProtection="1">
      <alignment horizontal="center" vertical="center"/>
      <protection hidden="1"/>
    </xf>
    <xf numFmtId="0" fontId="15" fillId="0" borderId="0" xfId="2" applyFont="1" applyFill="1" applyBorder="1" applyAlignment="1" applyProtection="1">
      <alignment horizontal="center" vertical="center" wrapText="1"/>
    </xf>
    <xf numFmtId="0" fontId="13" fillId="0" borderId="17" xfId="2" applyFont="1" applyFill="1" applyBorder="1" applyAlignment="1" applyProtection="1">
      <alignment horizontal="center" vertical="center"/>
      <protection hidden="1"/>
    </xf>
    <xf numFmtId="171" fontId="13" fillId="4" borderId="18" xfId="2" applyNumberFormat="1" applyFont="1" applyFill="1" applyBorder="1" applyAlignment="1" applyProtection="1">
      <alignment horizontal="center" vertical="center" wrapText="1"/>
      <protection locked="0"/>
    </xf>
    <xf numFmtId="172" fontId="13" fillId="0" borderId="18" xfId="2" applyNumberFormat="1" applyFont="1" applyFill="1" applyBorder="1" applyAlignment="1" applyProtection="1">
      <alignment horizontal="center" vertical="center" wrapText="1"/>
    </xf>
    <xf numFmtId="171" fontId="13" fillId="4" borderId="22" xfId="2" applyNumberFormat="1" applyFont="1" applyFill="1" applyBorder="1" applyAlignment="1" applyProtection="1">
      <alignment horizontal="center" vertical="center" wrapText="1"/>
      <protection locked="0"/>
    </xf>
    <xf numFmtId="172" fontId="13" fillId="0" borderId="22" xfId="2" applyNumberFormat="1" applyFont="1" applyFill="1" applyBorder="1" applyAlignment="1" applyProtection="1">
      <alignment horizontal="center" vertical="center" wrapText="1"/>
    </xf>
    <xf numFmtId="0" fontId="16" fillId="0" borderId="0" xfId="2" applyFont="1" applyFill="1" applyBorder="1" applyAlignment="1" applyProtection="1">
      <alignment horizontal="center" vertical="center" wrapText="1"/>
    </xf>
    <xf numFmtId="174" fontId="12" fillId="0" borderId="0" xfId="2" applyNumberFormat="1" applyFont="1" applyFill="1" applyBorder="1" applyAlignment="1" applyProtection="1">
      <alignment horizontal="center" vertical="center"/>
      <protection hidden="1"/>
    </xf>
    <xf numFmtId="172" fontId="12" fillId="0" borderId="0" xfId="2" applyNumberFormat="1" applyFont="1" applyFill="1" applyBorder="1" applyAlignment="1" applyProtection="1">
      <alignment horizontal="center" vertical="center"/>
      <protection hidden="1"/>
    </xf>
    <xf numFmtId="0" fontId="13" fillId="0" borderId="0" xfId="2" applyFont="1" applyFill="1" applyBorder="1" applyAlignment="1" applyProtection="1">
      <alignment horizontal="center" vertical="center"/>
      <protection hidden="1"/>
    </xf>
    <xf numFmtId="0" fontId="17" fillId="6" borderId="14" xfId="0" applyFont="1" applyFill="1" applyBorder="1" applyAlignment="1" applyProtection="1">
      <alignment horizontal="left" vertical="center"/>
    </xf>
    <xf numFmtId="0" fontId="17" fillId="6" borderId="15" xfId="0" applyFont="1" applyFill="1" applyBorder="1" applyAlignment="1" applyProtection="1">
      <alignment horizontal="left" vertical="center"/>
    </xf>
    <xf numFmtId="0" fontId="17" fillId="6" borderId="15" xfId="0" applyFont="1" applyFill="1" applyBorder="1" applyAlignment="1" applyProtection="1">
      <alignment horizontal="right" vertical="center"/>
    </xf>
    <xf numFmtId="0" fontId="17" fillId="6" borderId="16" xfId="0" applyFont="1" applyFill="1" applyBorder="1" applyAlignment="1" applyProtection="1">
      <alignment horizontal="right" vertical="center"/>
    </xf>
    <xf numFmtId="172" fontId="13" fillId="0" borderId="17" xfId="2" applyNumberFormat="1" applyFont="1" applyFill="1" applyBorder="1" applyAlignment="1" applyProtection="1">
      <alignment horizontal="center" vertical="center"/>
      <protection hidden="1"/>
    </xf>
    <xf numFmtId="0" fontId="18" fillId="0" borderId="0" xfId="2" applyFont="1" applyFill="1" applyBorder="1" applyAlignment="1" applyProtection="1">
      <alignment horizontal="center" vertical="center"/>
      <protection hidden="1"/>
    </xf>
    <xf numFmtId="170" fontId="15" fillId="0" borderId="0" xfId="2" applyNumberFormat="1" applyFont="1" applyFill="1" applyBorder="1" applyAlignment="1" applyProtection="1">
      <alignment vertical="center"/>
    </xf>
    <xf numFmtId="3" fontId="4" fillId="7" borderId="0" xfId="2" applyNumberFormat="1" applyFont="1" applyFill="1" applyBorder="1" applyAlignment="1" applyProtection="1">
      <alignment horizontal="right" vertical="top" wrapText="1"/>
    </xf>
    <xf numFmtId="179" fontId="4" fillId="7" borderId="0" xfId="2" applyNumberFormat="1" applyFont="1" applyFill="1" applyBorder="1" applyAlignment="1" applyProtection="1">
      <alignment horizontal="center" vertical="top" wrapText="1"/>
    </xf>
    <xf numFmtId="177" fontId="5" fillId="0" borderId="17" xfId="2" applyNumberFormat="1" applyFont="1" applyFill="1" applyBorder="1" applyAlignment="1" applyProtection="1">
      <alignment horizontal="center" vertical="center"/>
      <protection hidden="1"/>
    </xf>
    <xf numFmtId="0" fontId="20" fillId="0" borderId="15" xfId="0" applyFont="1" applyBorder="1" applyAlignment="1" applyProtection="1">
      <alignment horizontal="right" vertical="center"/>
    </xf>
    <xf numFmtId="180" fontId="4" fillId="0" borderId="15" xfId="2" applyNumberFormat="1" applyFont="1" applyFill="1" applyBorder="1" applyAlignment="1" applyProtection="1">
      <alignment horizontal="center" vertical="center"/>
    </xf>
    <xf numFmtId="3" fontId="4" fillId="7" borderId="15" xfId="2" applyNumberFormat="1" applyFont="1" applyFill="1" applyBorder="1" applyAlignment="1" applyProtection="1">
      <alignment horizontal="right" vertical="top" wrapText="1"/>
    </xf>
    <xf numFmtId="181" fontId="4" fillId="7" borderId="15" xfId="2" applyNumberFormat="1" applyFont="1" applyFill="1" applyBorder="1" applyAlignment="1" applyProtection="1">
      <alignment horizontal="center" vertical="top" wrapText="1"/>
    </xf>
    <xf numFmtId="164" fontId="12" fillId="7" borderId="15" xfId="2" applyNumberFormat="1" applyFont="1" applyFill="1" applyBorder="1" applyAlignment="1" applyProtection="1">
      <alignment horizontal="center" vertical="top" wrapText="1"/>
    </xf>
    <xf numFmtId="0" fontId="12" fillId="6" borderId="14" xfId="2" applyFont="1" applyFill="1" applyBorder="1" applyAlignment="1" applyProtection="1">
      <alignment vertical="center"/>
    </xf>
    <xf numFmtId="0" fontId="5" fillId="6" borderId="15" xfId="2" applyFont="1" applyFill="1" applyBorder="1" applyAlignment="1" applyProtection="1">
      <alignment vertical="center"/>
    </xf>
    <xf numFmtId="0" fontId="5" fillId="6" borderId="15" xfId="2" applyFont="1" applyFill="1" applyBorder="1" applyAlignment="1" applyProtection="1">
      <alignment horizontal="left" vertical="top" wrapText="1"/>
    </xf>
    <xf numFmtId="0" fontId="5" fillId="6" borderId="16" xfId="2" applyFont="1" applyFill="1" applyBorder="1" applyAlignment="1" applyProtection="1">
      <alignment horizontal="left" vertical="top" wrapText="1"/>
    </xf>
    <xf numFmtId="0" fontId="5" fillId="7" borderId="1" xfId="2" applyFont="1" applyFill="1" applyBorder="1" applyAlignment="1" applyProtection="1">
      <alignment vertical="center" wrapText="1"/>
    </xf>
    <xf numFmtId="0" fontId="5" fillId="7" borderId="2" xfId="2" applyFont="1" applyFill="1" applyBorder="1" applyAlignment="1" applyProtection="1">
      <alignment vertical="center" wrapText="1"/>
    </xf>
    <xf numFmtId="0" fontId="4" fillId="0" borderId="9" xfId="2" applyFont="1" applyFill="1" applyBorder="1" applyAlignment="1" applyProtection="1">
      <alignment horizontal="center" vertical="center"/>
    </xf>
    <xf numFmtId="0" fontId="5" fillId="7" borderId="0" xfId="2" applyFont="1" applyFill="1" applyBorder="1" applyAlignment="1" applyProtection="1">
      <alignment vertical="top" wrapText="1"/>
    </xf>
    <xf numFmtId="0" fontId="5" fillId="7" borderId="0" xfId="2" applyFont="1" applyFill="1" applyBorder="1" applyAlignment="1" applyProtection="1">
      <alignment vertical="center" wrapText="1"/>
    </xf>
    <xf numFmtId="0" fontId="5" fillId="0" borderId="0" xfId="2" applyFont="1" applyFill="1" applyAlignment="1" applyProtection="1">
      <alignment vertical="center"/>
    </xf>
    <xf numFmtId="0" fontId="5" fillId="7" borderId="9" xfId="2" applyFont="1" applyFill="1" applyBorder="1" applyAlignment="1" applyProtection="1">
      <alignment vertical="top" wrapText="1"/>
    </xf>
    <xf numFmtId="0" fontId="5" fillId="0" borderId="0" xfId="2" applyFont="1" applyFill="1" applyBorder="1" applyAlignment="1" applyProtection="1">
      <alignment horizontal="left" vertical="center"/>
      <protection hidden="1"/>
    </xf>
    <xf numFmtId="0" fontId="5" fillId="7" borderId="6" xfId="2" applyFont="1" applyFill="1" applyBorder="1" applyAlignment="1" applyProtection="1">
      <alignment vertical="center" wrapText="1"/>
    </xf>
    <xf numFmtId="0" fontId="5" fillId="0" borderId="6" xfId="2" applyFont="1" applyFill="1" applyBorder="1" applyAlignment="1" applyProtection="1">
      <alignment vertical="center"/>
    </xf>
    <xf numFmtId="0" fontId="10" fillId="0" borderId="0" xfId="2" applyFont="1" applyFill="1" applyAlignment="1" applyProtection="1">
      <alignment horizontal="center" vertical="center"/>
    </xf>
    <xf numFmtId="0" fontId="24" fillId="0" borderId="0" xfId="2" applyFont="1" applyFill="1" applyBorder="1" applyAlignment="1" applyProtection="1">
      <alignment vertical="center"/>
    </xf>
    <xf numFmtId="0" fontId="25" fillId="0" borderId="0" xfId="0" applyFont="1" applyProtection="1"/>
    <xf numFmtId="0" fontId="24" fillId="0" borderId="0" xfId="2" applyFont="1" applyFill="1" applyBorder="1" applyAlignment="1" applyProtection="1">
      <alignment horizontal="center" vertical="center"/>
      <protection hidden="1"/>
    </xf>
    <xf numFmtId="0" fontId="12" fillId="0" borderId="0" xfId="2" applyFont="1" applyFill="1" applyBorder="1" applyAlignment="1" applyProtection="1">
      <alignment horizontal="right" vertical="center"/>
    </xf>
    <xf numFmtId="0" fontId="0" fillId="0" borderId="0" xfId="0" applyProtection="1"/>
    <xf numFmtId="0" fontId="0" fillId="8" borderId="17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0" borderId="17" xfId="0" applyFill="1" applyBorder="1" applyAlignment="1">
      <alignment vertical="top" wrapText="1"/>
    </xf>
    <xf numFmtId="0" fontId="32" fillId="6" borderId="17" xfId="0" applyFont="1" applyFill="1" applyBorder="1" applyAlignment="1">
      <alignment horizontal="center" vertical="center"/>
    </xf>
    <xf numFmtId="0" fontId="15" fillId="0" borderId="19" xfId="2" applyFont="1" applyFill="1" applyBorder="1" applyAlignment="1" applyProtection="1">
      <alignment horizontal="center" vertical="center" wrapText="1"/>
    </xf>
    <xf numFmtId="0" fontId="21" fillId="7" borderId="0" xfId="2" applyFont="1" applyFill="1" applyBorder="1" applyAlignment="1" applyProtection="1">
      <alignment horizontal="left" vertical="center" wrapText="1"/>
    </xf>
    <xf numFmtId="0" fontId="15" fillId="0" borderId="18" xfId="2" applyFont="1" applyFill="1" applyBorder="1" applyAlignment="1" applyProtection="1">
      <alignment horizontal="center" vertical="center" wrapText="1"/>
    </xf>
    <xf numFmtId="0" fontId="15" fillId="0" borderId="19" xfId="2" applyFont="1" applyFill="1" applyBorder="1" applyAlignment="1" applyProtection="1">
      <alignment horizontal="center" vertical="center"/>
    </xf>
    <xf numFmtId="178" fontId="19" fillId="0" borderId="0" xfId="1" applyNumberFormat="1" applyFont="1" applyFill="1" applyAlignment="1" applyProtection="1">
      <alignment horizontal="center" vertical="center"/>
    </xf>
    <xf numFmtId="177" fontId="5" fillId="0" borderId="18" xfId="2" applyNumberFormat="1" applyFont="1" applyFill="1" applyBorder="1" applyAlignment="1" applyProtection="1">
      <alignment horizontal="center" vertical="center" wrapText="1"/>
    </xf>
    <xf numFmtId="177" fontId="5" fillId="0" borderId="22" xfId="2" applyNumberFormat="1" applyFont="1" applyFill="1" applyBorder="1" applyAlignment="1" applyProtection="1">
      <alignment horizontal="center" vertical="center" wrapText="1"/>
    </xf>
    <xf numFmtId="0" fontId="21" fillId="7" borderId="9" xfId="2" applyFont="1" applyFill="1" applyBorder="1" applyAlignment="1" applyProtection="1">
      <alignment horizontal="left" vertical="center" wrapText="1"/>
    </xf>
    <xf numFmtId="0" fontId="15" fillId="0" borderId="1" xfId="2" applyFont="1" applyFill="1" applyBorder="1" applyAlignment="1" applyProtection="1">
      <alignment vertical="center"/>
    </xf>
    <xf numFmtId="0" fontId="15" fillId="0" borderId="2" xfId="2" applyFont="1" applyFill="1" applyBorder="1" applyAlignment="1" applyProtection="1">
      <alignment vertical="center"/>
    </xf>
    <xf numFmtId="0" fontId="15" fillId="0" borderId="5" xfId="2" applyFont="1" applyFill="1" applyBorder="1" applyAlignment="1" applyProtection="1">
      <alignment vertical="center"/>
    </xf>
    <xf numFmtId="0" fontId="15" fillId="0" borderId="34" xfId="2" applyFont="1" applyFill="1" applyBorder="1" applyAlignment="1" applyProtection="1">
      <alignment horizontal="center" vertical="center" wrapText="1"/>
    </xf>
    <xf numFmtId="0" fontId="31" fillId="0" borderId="0" xfId="3" applyFont="1" applyAlignment="1" applyProtection="1">
      <alignment vertical="center"/>
    </xf>
    <xf numFmtId="0" fontId="30" fillId="0" borderId="0" xfId="3" applyFont="1" applyAlignment="1" applyProtection="1">
      <alignment vertical="center"/>
    </xf>
    <xf numFmtId="0" fontId="27" fillId="0" borderId="0" xfId="3" applyFont="1" applyAlignment="1" applyProtection="1">
      <alignment vertical="center"/>
    </xf>
    <xf numFmtId="182" fontId="27" fillId="0" borderId="0" xfId="3" applyNumberFormat="1" applyFont="1" applyAlignment="1" applyProtection="1">
      <alignment vertical="center"/>
    </xf>
    <xf numFmtId="1" fontId="27" fillId="0" borderId="0" xfId="3" applyNumberFormat="1" applyFont="1" applyAlignment="1" applyProtection="1">
      <alignment vertical="center"/>
    </xf>
    <xf numFmtId="0" fontId="29" fillId="6" borderId="27" xfId="3" applyFont="1" applyFill="1" applyBorder="1" applyAlignment="1" applyProtection="1">
      <alignment horizontal="center" vertical="center"/>
    </xf>
    <xf numFmtId="0" fontId="27" fillId="6" borderId="26" xfId="3" applyFont="1" applyFill="1" applyBorder="1" applyAlignment="1" applyProtection="1">
      <alignment vertical="center"/>
    </xf>
    <xf numFmtId="182" fontId="27" fillId="0" borderId="0" xfId="3" applyNumberFormat="1" applyFont="1" applyFill="1" applyBorder="1" applyAlignment="1" applyProtection="1">
      <alignment horizontal="center" vertical="center"/>
    </xf>
    <xf numFmtId="1" fontId="27" fillId="0" borderId="0" xfId="3" applyNumberFormat="1" applyFont="1" applyFill="1" applyBorder="1" applyAlignment="1" applyProtection="1">
      <alignment vertical="center"/>
    </xf>
    <xf numFmtId="0" fontId="27" fillId="0" borderId="0" xfId="3" applyFont="1" applyFill="1" applyAlignment="1" applyProtection="1">
      <alignment vertical="center"/>
    </xf>
    <xf numFmtId="1" fontId="27" fillId="0" borderId="0" xfId="3" applyNumberFormat="1" applyFont="1" applyFill="1" applyAlignment="1" applyProtection="1">
      <alignment vertical="center"/>
    </xf>
    <xf numFmtId="0" fontId="29" fillId="6" borderId="35" xfId="3" applyFont="1" applyFill="1" applyBorder="1" applyAlignment="1" applyProtection="1">
      <alignment vertical="center"/>
    </xf>
    <xf numFmtId="0" fontId="27" fillId="0" borderId="0" xfId="3" applyFont="1" applyBorder="1" applyAlignment="1" applyProtection="1">
      <alignment vertical="center"/>
    </xf>
    <xf numFmtId="1" fontId="27" fillId="0" borderId="0" xfId="3" applyNumberFormat="1" applyFont="1" applyFill="1" applyBorder="1" applyAlignment="1" applyProtection="1">
      <alignment horizontal="center" vertical="center"/>
    </xf>
    <xf numFmtId="182" fontId="27" fillId="0" borderId="0" xfId="3" applyNumberFormat="1" applyFont="1" applyFill="1" applyAlignment="1" applyProtection="1">
      <alignment vertical="center"/>
    </xf>
    <xf numFmtId="2" fontId="27" fillId="0" borderId="0" xfId="3" applyNumberFormat="1" applyFont="1" applyBorder="1" applyAlignment="1" applyProtection="1">
      <alignment horizontal="center" vertical="center"/>
    </xf>
    <xf numFmtId="0" fontId="29" fillId="6" borderId="26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</xf>
    <xf numFmtId="185" fontId="27" fillId="0" borderId="0" xfId="5" applyFont="1" applyBorder="1" applyAlignment="1" applyProtection="1">
      <alignment vertical="center"/>
    </xf>
    <xf numFmtId="0" fontId="27" fillId="0" borderId="0" xfId="3" applyFont="1" applyBorder="1" applyAlignment="1" applyProtection="1">
      <alignment horizontal="right" vertical="center" wrapText="1"/>
    </xf>
    <xf numFmtId="1" fontId="27" fillId="0" borderId="0" xfId="3" applyNumberFormat="1" applyFont="1" applyBorder="1" applyAlignment="1" applyProtection="1">
      <alignment vertical="center"/>
    </xf>
    <xf numFmtId="0" fontId="27" fillId="0" borderId="0" xfId="3" applyFont="1" applyBorder="1" applyAlignment="1" applyProtection="1">
      <alignment horizontal="right" vertical="center"/>
    </xf>
    <xf numFmtId="0" fontId="27" fillId="0" borderId="0" xfId="3" applyFont="1" applyFill="1" applyBorder="1" applyAlignment="1" applyProtection="1">
      <alignment horizontal="right" vertical="center"/>
    </xf>
    <xf numFmtId="3" fontId="27" fillId="0" borderId="0" xfId="3" applyNumberFormat="1" applyFont="1" applyAlignment="1" applyProtection="1">
      <alignment vertical="center"/>
    </xf>
    <xf numFmtId="0" fontId="29" fillId="6" borderId="30" xfId="3" applyFont="1" applyFill="1" applyBorder="1" applyAlignment="1" applyProtection="1">
      <alignment horizontal="center" vertical="center"/>
    </xf>
    <xf numFmtId="0" fontId="29" fillId="6" borderId="31" xfId="3" applyFont="1" applyFill="1" applyBorder="1" applyAlignment="1" applyProtection="1">
      <alignment horizontal="center" vertical="center"/>
    </xf>
    <xf numFmtId="0" fontId="29" fillId="6" borderId="65" xfId="3" applyFont="1" applyFill="1" applyBorder="1" applyAlignment="1" applyProtection="1">
      <alignment horizontal="center" vertical="center"/>
    </xf>
    <xf numFmtId="0" fontId="29" fillId="6" borderId="66" xfId="3" applyFont="1" applyFill="1" applyBorder="1" applyAlignment="1" applyProtection="1">
      <alignment horizontal="center" vertical="center"/>
    </xf>
    <xf numFmtId="0" fontId="27" fillId="0" borderId="27" xfId="3" applyFont="1" applyFill="1" applyBorder="1" applyAlignment="1" applyProtection="1">
      <alignment horizontal="center" vertical="center"/>
    </xf>
    <xf numFmtId="0" fontId="27" fillId="0" borderId="26" xfId="3" applyFont="1" applyFill="1" applyBorder="1" applyAlignment="1" applyProtection="1">
      <alignment horizontal="center" vertical="center"/>
    </xf>
    <xf numFmtId="0" fontId="29" fillId="6" borderId="25" xfId="3" applyFont="1" applyFill="1" applyBorder="1" applyAlignment="1" applyProtection="1">
      <alignment vertical="center"/>
    </xf>
    <xf numFmtId="0" fontId="27" fillId="6" borderId="24" xfId="3" applyFont="1" applyFill="1" applyBorder="1" applyAlignment="1" applyProtection="1">
      <alignment vertical="center"/>
    </xf>
    <xf numFmtId="1" fontId="29" fillId="6" borderId="30" xfId="3" applyNumberFormat="1" applyFont="1" applyFill="1" applyBorder="1" applyAlignment="1" applyProtection="1">
      <alignment horizontal="center" vertical="center"/>
    </xf>
    <xf numFmtId="182" fontId="29" fillId="6" borderId="31" xfId="3" applyNumberFormat="1" applyFont="1" applyFill="1" applyBorder="1" applyAlignment="1" applyProtection="1">
      <alignment horizontal="center" vertical="center"/>
    </xf>
    <xf numFmtId="0" fontId="27" fillId="4" borderId="39" xfId="3" applyFont="1" applyFill="1" applyBorder="1" applyAlignment="1" applyProtection="1">
      <alignment vertical="center"/>
    </xf>
    <xf numFmtId="2" fontId="27" fillId="4" borderId="41" xfId="3" applyNumberFormat="1" applyFont="1" applyFill="1" applyBorder="1" applyAlignment="1" applyProtection="1">
      <alignment horizontal="center" vertical="center"/>
    </xf>
    <xf numFmtId="0" fontId="27" fillId="4" borderId="42" xfId="3" applyFont="1" applyFill="1" applyBorder="1" applyAlignment="1" applyProtection="1">
      <alignment vertical="center"/>
    </xf>
    <xf numFmtId="2" fontId="27" fillId="0" borderId="41" xfId="3" applyNumberFormat="1" applyFont="1" applyFill="1" applyBorder="1" applyAlignment="1" applyProtection="1">
      <alignment horizontal="center" vertical="center"/>
    </xf>
    <xf numFmtId="2" fontId="27" fillId="0" borderId="44" xfId="3" applyNumberFormat="1" applyFont="1" applyFill="1" applyBorder="1" applyAlignment="1" applyProtection="1">
      <alignment horizontal="center" vertical="center"/>
    </xf>
    <xf numFmtId="0" fontId="27" fillId="0" borderId="36" xfId="3" applyFont="1" applyFill="1" applyBorder="1" applyAlignment="1" applyProtection="1">
      <alignment horizontal="center" vertical="center"/>
    </xf>
    <xf numFmtId="1" fontId="27" fillId="0" borderId="38" xfId="3" applyNumberFormat="1" applyFont="1" applyFill="1" applyBorder="1" applyAlignment="1" applyProtection="1">
      <alignment horizontal="center" vertical="center"/>
    </xf>
    <xf numFmtId="1" fontId="27" fillId="0" borderId="49" xfId="3" applyNumberFormat="1" applyFont="1" applyFill="1" applyBorder="1" applyAlignment="1" applyProtection="1">
      <alignment horizontal="center" vertical="center"/>
    </xf>
    <xf numFmtId="1" fontId="27" fillId="0" borderId="37" xfId="3" applyNumberFormat="1" applyFont="1" applyFill="1" applyBorder="1" applyAlignment="1" applyProtection="1">
      <alignment horizontal="center" vertical="center"/>
    </xf>
    <xf numFmtId="0" fontId="27" fillId="0" borderId="39" xfId="3" applyFont="1" applyFill="1" applyBorder="1" applyAlignment="1" applyProtection="1">
      <alignment horizontal="center" vertical="center"/>
    </xf>
    <xf numFmtId="0" fontId="27" fillId="0" borderId="41" xfId="3" applyFont="1" applyFill="1" applyBorder="1" applyAlignment="1" applyProtection="1">
      <alignment horizontal="center" vertical="center"/>
    </xf>
    <xf numFmtId="1" fontId="27" fillId="0" borderId="50" xfId="3" applyNumberFormat="1" applyFont="1" applyFill="1" applyBorder="1" applyAlignment="1" applyProtection="1">
      <alignment horizontal="center" vertical="center"/>
    </xf>
    <xf numFmtId="1" fontId="27" fillId="0" borderId="41" xfId="3" applyNumberFormat="1" applyFont="1" applyFill="1" applyBorder="1" applyAlignment="1" applyProtection="1">
      <alignment horizontal="center" vertical="center"/>
    </xf>
    <xf numFmtId="0" fontId="27" fillId="0" borderId="44" xfId="3" applyFont="1" applyFill="1" applyBorder="1" applyAlignment="1" applyProtection="1">
      <alignment horizontal="center" vertical="center"/>
    </xf>
    <xf numFmtId="1" fontId="27" fillId="0" borderId="51" xfId="3" applyNumberFormat="1" applyFont="1" applyFill="1" applyBorder="1" applyAlignment="1" applyProtection="1">
      <alignment horizontal="center" vertical="center"/>
    </xf>
    <xf numFmtId="1" fontId="27" fillId="0" borderId="44" xfId="3" applyNumberFormat="1" applyFont="1" applyFill="1" applyBorder="1" applyAlignment="1" applyProtection="1">
      <alignment horizontal="center" vertical="center"/>
    </xf>
    <xf numFmtId="0" fontId="27" fillId="4" borderId="36" xfId="3" applyFont="1" applyFill="1" applyBorder="1" applyAlignment="1" applyProtection="1">
      <alignment horizontal="center" vertical="center"/>
    </xf>
    <xf numFmtId="1" fontId="27" fillId="4" borderId="38" xfId="3" applyNumberFormat="1" applyFont="1" applyFill="1" applyBorder="1" applyAlignment="1" applyProtection="1">
      <alignment horizontal="center" vertical="center"/>
    </xf>
    <xf numFmtId="0" fontId="27" fillId="4" borderId="39" xfId="3" applyFont="1" applyFill="1" applyBorder="1" applyAlignment="1" applyProtection="1">
      <alignment horizontal="center" vertical="center"/>
    </xf>
    <xf numFmtId="0" fontId="27" fillId="4" borderId="41" xfId="3" applyFont="1" applyFill="1" applyBorder="1" applyAlignment="1" applyProtection="1">
      <alignment horizontal="center" vertical="center"/>
    </xf>
    <xf numFmtId="0" fontId="27" fillId="4" borderId="42" xfId="3" applyFont="1" applyFill="1" applyBorder="1" applyAlignment="1" applyProtection="1">
      <alignment horizontal="center" vertical="center"/>
    </xf>
    <xf numFmtId="0" fontId="27" fillId="4" borderId="44" xfId="3" applyFont="1" applyFill="1" applyBorder="1" applyAlignment="1" applyProtection="1">
      <alignment horizontal="center" vertical="center"/>
    </xf>
    <xf numFmtId="1" fontId="27" fillId="4" borderId="37" xfId="3" applyNumberFormat="1" applyFont="1" applyFill="1" applyBorder="1" applyAlignment="1" applyProtection="1">
      <alignment horizontal="center" vertical="center"/>
    </xf>
    <xf numFmtId="1" fontId="27" fillId="4" borderId="40" xfId="3" applyNumberFormat="1" applyFont="1" applyFill="1" applyBorder="1" applyAlignment="1" applyProtection="1">
      <alignment horizontal="center" vertical="center"/>
    </xf>
    <xf numFmtId="1" fontId="27" fillId="4" borderId="43" xfId="3" applyNumberFormat="1" applyFont="1" applyFill="1" applyBorder="1" applyAlignment="1" applyProtection="1">
      <alignment horizontal="center" vertical="center"/>
    </xf>
    <xf numFmtId="0" fontId="27" fillId="4" borderId="37" xfId="3" applyFont="1" applyFill="1" applyBorder="1" applyAlignment="1" applyProtection="1">
      <alignment horizontal="center" vertical="center"/>
    </xf>
    <xf numFmtId="2" fontId="27" fillId="4" borderId="38" xfId="3" applyNumberFormat="1" applyFont="1" applyFill="1" applyBorder="1" applyAlignment="1" applyProtection="1">
      <alignment horizontal="center" vertical="center"/>
    </xf>
    <xf numFmtId="0" fontId="27" fillId="4" borderId="49" xfId="3" applyFont="1" applyFill="1" applyBorder="1" applyAlignment="1" applyProtection="1">
      <alignment horizontal="center" vertical="center"/>
    </xf>
    <xf numFmtId="184" fontId="27" fillId="4" borderId="39" xfId="3" applyNumberFormat="1" applyFont="1" applyFill="1" applyBorder="1" applyAlignment="1" applyProtection="1">
      <alignment horizontal="center" vertical="center"/>
    </xf>
    <xf numFmtId="0" fontId="27" fillId="4" borderId="40" xfId="3" applyFont="1" applyFill="1" applyBorder="1" applyAlignment="1" applyProtection="1">
      <alignment horizontal="center" vertical="center"/>
    </xf>
    <xf numFmtId="0" fontId="27" fillId="4" borderId="41" xfId="3" applyFont="1" applyFill="1" applyBorder="1" applyAlignment="1" applyProtection="1">
      <alignment horizontal="center" vertical="center" wrapText="1"/>
    </xf>
    <xf numFmtId="0" fontId="27" fillId="4" borderId="50" xfId="3" applyFont="1" applyFill="1" applyBorder="1" applyAlignment="1" applyProtection="1">
      <alignment horizontal="center" vertical="center"/>
    </xf>
    <xf numFmtId="0" fontId="27" fillId="4" borderId="40" xfId="3" applyFont="1" applyFill="1" applyBorder="1" applyAlignment="1" applyProtection="1">
      <alignment horizontal="center" vertical="center" wrapText="1"/>
    </xf>
    <xf numFmtId="0" fontId="27" fillId="4" borderId="43" xfId="3" applyFont="1" applyFill="1" applyBorder="1" applyAlignment="1" applyProtection="1">
      <alignment horizontal="center" vertical="center" wrapText="1"/>
    </xf>
    <xf numFmtId="0" fontId="27" fillId="4" borderId="43" xfId="3" applyFont="1" applyFill="1" applyBorder="1" applyAlignment="1" applyProtection="1">
      <alignment horizontal="center" vertical="center"/>
    </xf>
    <xf numFmtId="0" fontId="29" fillId="0" borderId="25" xfId="3" applyFont="1" applyFill="1" applyBorder="1" applyAlignment="1" applyProtection="1">
      <alignment horizontal="center" vertical="center"/>
    </xf>
    <xf numFmtId="0" fontId="29" fillId="0" borderId="46" xfId="3" applyFont="1" applyFill="1" applyBorder="1" applyAlignment="1" applyProtection="1">
      <alignment horizontal="center" vertical="center"/>
    </xf>
    <xf numFmtId="0" fontId="27" fillId="0" borderId="37" xfId="3" applyFont="1" applyFill="1" applyBorder="1" applyAlignment="1" applyProtection="1">
      <alignment horizontal="center" vertical="center"/>
    </xf>
    <xf numFmtId="0" fontId="27" fillId="0" borderId="49" xfId="3" applyFont="1" applyFill="1" applyBorder="1" applyAlignment="1" applyProtection="1">
      <alignment horizontal="center" vertical="center"/>
    </xf>
    <xf numFmtId="0" fontId="27" fillId="0" borderId="38" xfId="3" applyFont="1" applyFill="1" applyBorder="1" applyAlignment="1" applyProtection="1">
      <alignment horizontal="center" vertical="center"/>
    </xf>
    <xf numFmtId="0" fontId="29" fillId="0" borderId="47" xfId="3" applyFont="1" applyFill="1" applyBorder="1" applyAlignment="1" applyProtection="1">
      <alignment horizontal="center" vertical="center"/>
    </xf>
    <xf numFmtId="0" fontId="27" fillId="0" borderId="40" xfId="3" applyFont="1" applyFill="1" applyBorder="1" applyAlignment="1" applyProtection="1">
      <alignment horizontal="center" vertical="center"/>
    </xf>
    <xf numFmtId="0" fontId="27" fillId="0" borderId="41" xfId="3" applyFont="1" applyFill="1" applyBorder="1" applyAlignment="1" applyProtection="1">
      <alignment horizontal="center" vertical="center" wrapText="1"/>
    </xf>
    <xf numFmtId="0" fontId="27" fillId="0" borderId="50" xfId="3" applyFont="1" applyFill="1" applyBorder="1" applyAlignment="1" applyProtection="1">
      <alignment horizontal="center" vertical="center"/>
    </xf>
    <xf numFmtId="0" fontId="27" fillId="0" borderId="40" xfId="3" applyFont="1" applyFill="1" applyBorder="1" applyAlignment="1" applyProtection="1">
      <alignment horizontal="center" vertical="center" wrapText="1"/>
    </xf>
    <xf numFmtId="1" fontId="27" fillId="0" borderId="41" xfId="4" applyNumberFormat="1" applyFont="1" applyFill="1" applyBorder="1" applyAlignment="1" applyProtection="1">
      <alignment horizontal="center" vertical="center"/>
    </xf>
    <xf numFmtId="0" fontId="29" fillId="0" borderId="48" xfId="3" applyFont="1" applyFill="1" applyBorder="1" applyAlignment="1" applyProtection="1">
      <alignment horizontal="center" vertical="center"/>
    </xf>
    <xf numFmtId="0" fontId="27" fillId="0" borderId="43" xfId="3" applyFont="1" applyFill="1" applyBorder="1" applyAlignment="1" applyProtection="1">
      <alignment horizontal="center" vertical="center" wrapText="1"/>
    </xf>
    <xf numFmtId="0" fontId="27" fillId="0" borderId="43" xfId="3" applyFont="1" applyFill="1" applyBorder="1" applyAlignment="1" applyProtection="1">
      <alignment horizontal="center" vertical="center"/>
    </xf>
    <xf numFmtId="182" fontId="27" fillId="0" borderId="40" xfId="3" applyNumberFormat="1" applyFont="1" applyFill="1" applyBorder="1" applyAlignment="1" applyProtection="1">
      <alignment horizontal="center" vertical="center"/>
    </xf>
    <xf numFmtId="182" fontId="27" fillId="0" borderId="50" xfId="3" applyNumberFormat="1" applyFont="1" applyFill="1" applyBorder="1" applyAlignment="1" applyProtection="1">
      <alignment horizontal="center" vertical="center"/>
    </xf>
    <xf numFmtId="183" fontId="27" fillId="0" borderId="39" xfId="3" applyNumberFormat="1" applyFont="1" applyFill="1" applyBorder="1" applyAlignment="1" applyProtection="1">
      <alignment horizontal="center" vertical="center"/>
    </xf>
    <xf numFmtId="3" fontId="27" fillId="0" borderId="39" xfId="3" applyNumberFormat="1" applyFont="1" applyFill="1" applyBorder="1" applyAlignment="1" applyProtection="1">
      <alignment horizontal="center" vertical="center"/>
    </xf>
    <xf numFmtId="3" fontId="27" fillId="0" borderId="42" xfId="3" applyNumberFormat="1" applyFont="1" applyFill="1" applyBorder="1" applyAlignment="1" applyProtection="1">
      <alignment horizontal="center" vertical="center"/>
    </xf>
    <xf numFmtId="0" fontId="27" fillId="0" borderId="51" xfId="3" applyFont="1" applyFill="1" applyBorder="1" applyAlignment="1" applyProtection="1">
      <alignment horizontal="center" vertical="center"/>
    </xf>
    <xf numFmtId="182" fontId="27" fillId="0" borderId="39" xfId="3" applyNumberFormat="1" applyFont="1" applyFill="1" applyBorder="1" applyAlignment="1" applyProtection="1">
      <alignment horizontal="center" vertical="center"/>
    </xf>
    <xf numFmtId="183" fontId="27" fillId="4" borderId="38" xfId="3" applyNumberFormat="1" applyFont="1" applyFill="1" applyBorder="1" applyAlignment="1" applyProtection="1">
      <alignment horizontal="center" vertical="center"/>
    </xf>
    <xf numFmtId="182" fontId="27" fillId="4" borderId="39" xfId="3" applyNumberFormat="1" applyFont="1" applyFill="1" applyBorder="1" applyAlignment="1" applyProtection="1">
      <alignment horizontal="center" vertical="center"/>
    </xf>
    <xf numFmtId="183" fontId="27" fillId="4" borderId="41" xfId="3" applyNumberFormat="1" applyFont="1" applyFill="1" applyBorder="1" applyAlignment="1" applyProtection="1">
      <alignment horizontal="center" vertical="center"/>
    </xf>
    <xf numFmtId="3" fontId="27" fillId="4" borderId="39" xfId="3" applyNumberFormat="1" applyFont="1" applyFill="1" applyBorder="1" applyAlignment="1" applyProtection="1">
      <alignment horizontal="center" vertical="center"/>
    </xf>
    <xf numFmtId="3" fontId="27" fillId="4" borderId="42" xfId="3" applyNumberFormat="1" applyFont="1" applyFill="1" applyBorder="1" applyAlignment="1" applyProtection="1">
      <alignment horizontal="center" vertical="center"/>
    </xf>
    <xf numFmtId="183" fontId="27" fillId="4" borderId="44" xfId="3" applyNumberFormat="1" applyFont="1" applyFill="1" applyBorder="1" applyAlignment="1" applyProtection="1">
      <alignment horizontal="center" vertical="center"/>
    </xf>
    <xf numFmtId="0" fontId="27" fillId="4" borderId="67" xfId="3" applyFont="1" applyFill="1" applyBorder="1" applyAlignment="1" applyProtection="1">
      <alignment horizontal="center" vertical="center"/>
    </xf>
    <xf numFmtId="0" fontId="27" fillId="4" borderId="68" xfId="3" applyFont="1" applyFill="1" applyBorder="1" applyAlignment="1" applyProtection="1">
      <alignment horizontal="center" vertical="center"/>
    </xf>
    <xf numFmtId="0" fontId="27" fillId="4" borderId="69" xfId="3" applyFont="1" applyFill="1" applyBorder="1" applyAlignment="1" applyProtection="1">
      <alignment horizontal="center" vertical="center"/>
    </xf>
    <xf numFmtId="0" fontId="29" fillId="6" borderId="28" xfId="3" applyFont="1" applyFill="1" applyBorder="1" applyAlignment="1" applyProtection="1">
      <alignment horizontal="left" vertical="center"/>
    </xf>
    <xf numFmtId="0" fontId="29" fillId="0" borderId="56" xfId="3" applyFont="1" applyFill="1" applyBorder="1" applyAlignment="1" applyProtection="1">
      <alignment horizontal="left" vertical="center"/>
    </xf>
    <xf numFmtId="0" fontId="29" fillId="0" borderId="57" xfId="3" applyFont="1" applyFill="1" applyBorder="1" applyAlignment="1" applyProtection="1">
      <alignment horizontal="left" vertical="center"/>
    </xf>
    <xf numFmtId="0" fontId="29" fillId="0" borderId="58" xfId="3" applyFont="1" applyFill="1" applyBorder="1" applyAlignment="1" applyProtection="1">
      <alignment horizontal="left" vertical="center"/>
    </xf>
    <xf numFmtId="0" fontId="29" fillId="6" borderId="70" xfId="3" applyFont="1" applyFill="1" applyBorder="1" applyAlignment="1" applyProtection="1">
      <alignment vertical="center"/>
    </xf>
    <xf numFmtId="0" fontId="29" fillId="6" borderId="71" xfId="3" applyFont="1" applyFill="1" applyBorder="1" applyAlignment="1" applyProtection="1">
      <alignment horizontal="center" vertical="center"/>
    </xf>
    <xf numFmtId="0" fontId="29" fillId="6" borderId="72" xfId="3" applyFont="1" applyFill="1" applyBorder="1" applyAlignment="1" applyProtection="1">
      <alignment horizontal="center" vertical="center"/>
    </xf>
    <xf numFmtId="182" fontId="27" fillId="0" borderId="74" xfId="3" applyNumberFormat="1" applyFont="1" applyFill="1" applyBorder="1" applyAlignment="1" applyProtection="1">
      <alignment vertical="center"/>
    </xf>
    <xf numFmtId="1" fontId="27" fillId="0" borderId="74" xfId="3" applyNumberFormat="1" applyFont="1" applyFill="1" applyBorder="1" applyAlignment="1" applyProtection="1">
      <alignment vertical="center"/>
    </xf>
    <xf numFmtId="0" fontId="27" fillId="0" borderId="74" xfId="3" applyFont="1" applyFill="1" applyBorder="1" applyAlignment="1" applyProtection="1">
      <alignment vertical="center"/>
    </xf>
    <xf numFmtId="182" fontId="27" fillId="0" borderId="74" xfId="3" applyNumberFormat="1" applyFont="1" applyFill="1" applyBorder="1" applyAlignment="1" applyProtection="1">
      <alignment horizontal="center" vertical="center"/>
    </xf>
    <xf numFmtId="0" fontId="27" fillId="0" borderId="45" xfId="3" applyFont="1" applyFill="1" applyBorder="1" applyAlignment="1" applyProtection="1">
      <alignment vertical="center"/>
    </xf>
    <xf numFmtId="182" fontId="27" fillId="0" borderId="59" xfId="3" applyNumberFormat="1" applyFont="1" applyFill="1" applyBorder="1" applyAlignment="1" applyProtection="1">
      <alignment horizontal="center" vertical="center"/>
    </xf>
    <xf numFmtId="0" fontId="27" fillId="0" borderId="39" xfId="3" applyFont="1" applyFill="1" applyBorder="1" applyAlignment="1" applyProtection="1">
      <alignment vertical="center"/>
    </xf>
    <xf numFmtId="0" fontId="27" fillId="0" borderId="42" xfId="3" applyFont="1" applyFill="1" applyBorder="1" applyAlignment="1" applyProtection="1">
      <alignment vertical="center"/>
    </xf>
    <xf numFmtId="182" fontId="27" fillId="0" borderId="43" xfId="3" applyNumberFormat="1" applyFont="1" applyFill="1" applyBorder="1" applyAlignment="1" applyProtection="1">
      <alignment horizontal="center" vertical="center"/>
    </xf>
    <xf numFmtId="182" fontId="27" fillId="4" borderId="59" xfId="3" applyNumberFormat="1" applyFont="1" applyFill="1" applyBorder="1" applyAlignment="1" applyProtection="1">
      <alignment horizontal="center" vertical="center"/>
    </xf>
    <xf numFmtId="182" fontId="27" fillId="4" borderId="40" xfId="3" applyNumberFormat="1" applyFont="1" applyFill="1" applyBorder="1" applyAlignment="1" applyProtection="1">
      <alignment horizontal="center" vertical="center"/>
    </xf>
    <xf numFmtId="182" fontId="27" fillId="4" borderId="43" xfId="3" applyNumberFormat="1" applyFont="1" applyFill="1" applyBorder="1" applyAlignment="1" applyProtection="1">
      <alignment horizontal="center" vertical="center"/>
    </xf>
    <xf numFmtId="182" fontId="27" fillId="4" borderId="60" xfId="3" applyNumberFormat="1" applyFont="1" applyFill="1" applyBorder="1" applyAlignment="1" applyProtection="1">
      <alignment horizontal="center" vertical="center"/>
    </xf>
    <xf numFmtId="182" fontId="27" fillId="4" borderId="41" xfId="3" applyNumberFormat="1" applyFont="1" applyFill="1" applyBorder="1" applyAlignment="1" applyProtection="1">
      <alignment horizontal="center" vertical="center"/>
    </xf>
    <xf numFmtId="182" fontId="27" fillId="4" borderId="44" xfId="3" applyNumberFormat="1" applyFont="1" applyFill="1" applyBorder="1" applyAlignment="1" applyProtection="1">
      <alignment horizontal="center" vertical="center"/>
    </xf>
    <xf numFmtId="0" fontId="29" fillId="4" borderId="45" xfId="3" applyFont="1" applyFill="1" applyBorder="1" applyAlignment="1" applyProtection="1">
      <alignment vertical="center"/>
    </xf>
    <xf numFmtId="0" fontId="27" fillId="4" borderId="59" xfId="3" applyFont="1" applyFill="1" applyBorder="1" applyAlignment="1" applyProtection="1">
      <alignment horizontal="center" vertical="center"/>
    </xf>
    <xf numFmtId="0" fontId="27" fillId="4" borderId="60" xfId="3" applyFont="1" applyFill="1" applyBorder="1" applyAlignment="1" applyProtection="1">
      <alignment horizontal="center" vertical="center"/>
    </xf>
    <xf numFmtId="0" fontId="29" fillId="4" borderId="61" xfId="3" applyFont="1" applyFill="1" applyBorder="1" applyAlignment="1" applyProtection="1">
      <alignment vertical="center"/>
    </xf>
    <xf numFmtId="0" fontId="27" fillId="4" borderId="62" xfId="3" applyFont="1" applyFill="1" applyBorder="1" applyAlignment="1" applyProtection="1">
      <alignment horizontal="center" vertical="center"/>
    </xf>
    <xf numFmtId="0" fontId="27" fillId="4" borderId="63" xfId="3" applyFont="1" applyFill="1" applyBorder="1" applyAlignment="1" applyProtection="1">
      <alignment horizontal="center" vertical="center"/>
    </xf>
    <xf numFmtId="0" fontId="29" fillId="0" borderId="36" xfId="3" applyFont="1" applyFill="1" applyBorder="1" applyAlignment="1" applyProtection="1">
      <alignment vertical="center"/>
    </xf>
    <xf numFmtId="0" fontId="29" fillId="0" borderId="42" xfId="3" applyFont="1" applyFill="1" applyBorder="1" applyAlignment="1" applyProtection="1">
      <alignment vertical="center"/>
    </xf>
    <xf numFmtId="0" fontId="29" fillId="6" borderId="64" xfId="3" applyFont="1" applyFill="1" applyBorder="1" applyAlignment="1" applyProtection="1">
      <alignment vertical="center"/>
    </xf>
    <xf numFmtId="0" fontId="29" fillId="0" borderId="56" xfId="3" applyFont="1" applyFill="1" applyBorder="1" applyAlignment="1" applyProtection="1">
      <alignment vertical="center"/>
    </xf>
    <xf numFmtId="0" fontId="29" fillId="0" borderId="57" xfId="3" applyFont="1" applyFill="1" applyBorder="1" applyAlignment="1" applyProtection="1">
      <alignment vertical="center"/>
    </xf>
    <xf numFmtId="0" fontId="29" fillId="0" borderId="58" xfId="3" applyFont="1" applyFill="1" applyBorder="1" applyAlignment="1" applyProtection="1">
      <alignment vertical="center"/>
    </xf>
    <xf numFmtId="0" fontId="37" fillId="0" borderId="73" xfId="3" applyFont="1" applyFill="1" applyBorder="1" applyAlignment="1" applyProtection="1">
      <alignment vertical="center"/>
    </xf>
    <xf numFmtId="0" fontId="27" fillId="0" borderId="0" xfId="3" applyFont="1" applyFill="1" applyBorder="1" applyAlignment="1" applyProtection="1">
      <alignment vertical="center"/>
    </xf>
    <xf numFmtId="0" fontId="27" fillId="0" borderId="0" xfId="3" applyFont="1" applyFill="1" applyBorder="1"/>
    <xf numFmtId="0" fontId="27" fillId="4" borderId="29" xfId="3" applyFont="1" applyFill="1" applyBorder="1" applyAlignment="1" applyProtection="1">
      <alignment horizontal="center" vertical="center"/>
    </xf>
    <xf numFmtId="0" fontId="27" fillId="0" borderId="30" xfId="3" applyFont="1" applyFill="1" applyBorder="1" applyAlignment="1" applyProtection="1">
      <alignment horizontal="center" vertical="center" wrapText="1"/>
    </xf>
    <xf numFmtId="0" fontId="27" fillId="4" borderId="30" xfId="3" applyFont="1" applyFill="1" applyBorder="1" applyAlignment="1" applyProtection="1">
      <alignment horizontal="center" vertical="center" wrapText="1"/>
    </xf>
    <xf numFmtId="0" fontId="27" fillId="4" borderId="31" xfId="3" applyFont="1" applyFill="1" applyBorder="1" applyAlignment="1" applyProtection="1">
      <alignment horizontal="center" vertical="center" wrapText="1"/>
    </xf>
    <xf numFmtId="0" fontId="27" fillId="0" borderId="29" xfId="3" applyFont="1" applyFill="1" applyBorder="1" applyAlignment="1" applyProtection="1">
      <alignment horizontal="center" vertical="center"/>
    </xf>
    <xf numFmtId="0" fontId="27" fillId="0" borderId="31" xfId="3" applyFont="1" applyFill="1" applyBorder="1" applyAlignment="1" applyProtection="1">
      <alignment horizontal="center" vertical="center" wrapText="1"/>
    </xf>
    <xf numFmtId="3" fontId="29" fillId="6" borderId="29" xfId="3" applyNumberFormat="1" applyFont="1" applyFill="1" applyBorder="1" applyAlignment="1" applyProtection="1">
      <alignment horizontal="center" vertical="center"/>
    </xf>
    <xf numFmtId="1" fontId="29" fillId="6" borderId="29" xfId="3" applyNumberFormat="1" applyFont="1" applyFill="1" applyBorder="1" applyAlignment="1" applyProtection="1">
      <alignment horizontal="center" vertical="center"/>
    </xf>
    <xf numFmtId="1" fontId="29" fillId="6" borderId="31" xfId="3" applyNumberFormat="1" applyFont="1" applyFill="1" applyBorder="1" applyAlignment="1" applyProtection="1">
      <alignment horizontal="center" vertical="center"/>
    </xf>
    <xf numFmtId="0" fontId="29" fillId="6" borderId="29" xfId="3" applyFont="1" applyFill="1" applyBorder="1" applyAlignment="1" applyProtection="1">
      <alignment horizontal="center" vertical="center"/>
    </xf>
    <xf numFmtId="0" fontId="29" fillId="6" borderId="75" xfId="3" applyFont="1" applyFill="1" applyBorder="1" applyAlignment="1" applyProtection="1">
      <alignment horizontal="center" vertical="center"/>
    </xf>
    <xf numFmtId="182" fontId="29" fillId="6" borderId="30" xfId="3" applyNumberFormat="1" applyFont="1" applyFill="1" applyBorder="1" applyAlignment="1" applyProtection="1">
      <alignment horizontal="center" vertical="center"/>
    </xf>
    <xf numFmtId="0" fontId="27" fillId="4" borderId="51" xfId="3" applyFont="1" applyFill="1" applyBorder="1" applyAlignment="1" applyProtection="1">
      <alignment horizontal="center" vertical="center"/>
    </xf>
    <xf numFmtId="0" fontId="29" fillId="6" borderId="28" xfId="3" applyFont="1" applyFill="1" applyBorder="1" applyAlignment="1" applyProtection="1">
      <alignment vertical="center"/>
    </xf>
    <xf numFmtId="0" fontId="29" fillId="0" borderId="57" xfId="3" applyFont="1" applyFill="1" applyBorder="1" applyAlignment="1" applyProtection="1">
      <alignment horizontal="left" vertical="center" wrapText="1"/>
    </xf>
    <xf numFmtId="165" fontId="27" fillId="0" borderId="40" xfId="6" applyFont="1" applyFill="1" applyBorder="1" applyAlignment="1" applyProtection="1">
      <alignment horizontal="center" vertical="center"/>
    </xf>
    <xf numFmtId="165" fontId="27" fillId="0" borderId="41" xfId="6" applyFont="1" applyFill="1" applyBorder="1" applyAlignment="1" applyProtection="1">
      <alignment horizontal="center" vertical="center"/>
    </xf>
    <xf numFmtId="165" fontId="27" fillId="0" borderId="43" xfId="6" applyFont="1" applyFill="1" applyBorder="1" applyAlignment="1" applyProtection="1">
      <alignment horizontal="center" vertical="center"/>
    </xf>
    <xf numFmtId="186" fontId="27" fillId="0" borderId="43" xfId="6" applyNumberFormat="1" applyFont="1" applyFill="1" applyBorder="1" applyAlignment="1" applyProtection="1">
      <alignment horizontal="center" vertical="center"/>
    </xf>
    <xf numFmtId="165" fontId="27" fillId="0" borderId="44" xfId="6" applyFont="1" applyFill="1" applyBorder="1" applyAlignment="1" applyProtection="1">
      <alignment horizontal="center" vertical="center"/>
    </xf>
    <xf numFmtId="0" fontId="29" fillId="0" borderId="52" xfId="3" applyFont="1" applyFill="1" applyBorder="1" applyAlignment="1" applyProtection="1">
      <alignment vertical="center"/>
    </xf>
    <xf numFmtId="0" fontId="36" fillId="0" borderId="48" xfId="3" applyFont="1" applyFill="1" applyBorder="1" applyAlignment="1" applyProtection="1">
      <alignment horizontal="center" vertical="center"/>
    </xf>
    <xf numFmtId="1" fontId="27" fillId="4" borderId="41" xfId="3" applyNumberFormat="1" applyFont="1" applyFill="1" applyBorder="1" applyAlignment="1" applyProtection="1">
      <alignment horizontal="center" vertical="center"/>
    </xf>
    <xf numFmtId="1" fontId="27" fillId="4" borderId="39" xfId="3" applyNumberFormat="1" applyFont="1" applyFill="1" applyBorder="1" applyAlignment="1" applyProtection="1">
      <alignment horizontal="center" vertical="center"/>
    </xf>
    <xf numFmtId="1" fontId="27" fillId="4" borderId="42" xfId="3" applyNumberFormat="1" applyFont="1" applyFill="1" applyBorder="1" applyAlignment="1" applyProtection="1">
      <alignment horizontal="center" vertical="center"/>
    </xf>
    <xf numFmtId="1" fontId="27" fillId="4" borderId="44" xfId="3" applyNumberFormat="1" applyFont="1" applyFill="1" applyBorder="1" applyAlignment="1" applyProtection="1">
      <alignment horizontal="center" vertical="center"/>
    </xf>
    <xf numFmtId="182" fontId="27" fillId="0" borderId="42" xfId="3" applyNumberFormat="1" applyFont="1" applyFill="1" applyBorder="1" applyAlignment="1" applyProtection="1">
      <alignment horizontal="center" vertical="center"/>
    </xf>
    <xf numFmtId="0" fontId="27" fillId="4" borderId="45" xfId="3" applyFont="1" applyFill="1" applyBorder="1" applyAlignment="1" applyProtection="1">
      <alignment horizontal="center" vertical="center"/>
    </xf>
    <xf numFmtId="1" fontId="27" fillId="4" borderId="60" xfId="3" applyNumberFormat="1" applyFont="1" applyFill="1" applyBorder="1" applyAlignment="1" applyProtection="1">
      <alignment horizontal="center" vertical="center"/>
    </xf>
    <xf numFmtId="182" fontId="27" fillId="0" borderId="45" xfId="3" applyNumberFormat="1" applyFont="1" applyFill="1" applyBorder="1" applyAlignment="1" applyProtection="1">
      <alignment horizontal="center" vertical="center"/>
    </xf>
    <xf numFmtId="165" fontId="27" fillId="0" borderId="59" xfId="6" applyFont="1" applyFill="1" applyBorder="1" applyAlignment="1" applyProtection="1">
      <alignment horizontal="center" vertical="center"/>
    </xf>
    <xf numFmtId="165" fontId="27" fillId="0" borderId="60" xfId="6" applyFont="1" applyFill="1" applyBorder="1" applyAlignment="1" applyProtection="1">
      <alignment horizontal="center" vertical="center"/>
    </xf>
    <xf numFmtId="0" fontId="29" fillId="0" borderId="48" xfId="3" applyFont="1" applyFill="1" applyBorder="1" applyAlignment="1" applyProtection="1">
      <alignment vertical="center"/>
    </xf>
    <xf numFmtId="0" fontId="29" fillId="4" borderId="42" xfId="3" applyFont="1" applyFill="1" applyBorder="1" applyAlignment="1" applyProtection="1">
      <alignment horizontal="center" vertical="center"/>
    </xf>
    <xf numFmtId="0" fontId="29" fillId="4" borderId="44" xfId="3" applyFont="1" applyFill="1" applyBorder="1" applyAlignment="1" applyProtection="1">
      <alignment horizontal="center" vertical="center"/>
    </xf>
    <xf numFmtId="182" fontId="29" fillId="0" borderId="42" xfId="3" applyNumberFormat="1" applyFont="1" applyFill="1" applyBorder="1" applyAlignment="1" applyProtection="1">
      <alignment horizontal="center" vertical="center"/>
    </xf>
    <xf numFmtId="1" fontId="29" fillId="0" borderId="43" xfId="3" applyNumberFormat="1" applyFont="1" applyFill="1" applyBorder="1" applyAlignment="1" applyProtection="1">
      <alignment horizontal="center" vertical="center"/>
    </xf>
    <xf numFmtId="1" fontId="29" fillId="0" borderId="44" xfId="3" applyNumberFormat="1" applyFont="1" applyFill="1" applyBorder="1" applyAlignment="1" applyProtection="1">
      <alignment horizontal="center" vertical="center"/>
    </xf>
    <xf numFmtId="0" fontId="27" fillId="0" borderId="56" xfId="3" applyFont="1" applyFill="1" applyBorder="1" applyAlignment="1" applyProtection="1">
      <alignment horizontal="center" vertical="center"/>
    </xf>
    <xf numFmtId="0" fontId="27" fillId="0" borderId="57" xfId="3" applyFont="1" applyFill="1" applyBorder="1" applyAlignment="1" applyProtection="1">
      <alignment horizontal="center" vertical="center"/>
    </xf>
    <xf numFmtId="0" fontId="27" fillId="0" borderId="57" xfId="3" applyFont="1" applyFill="1" applyBorder="1" applyAlignment="1" applyProtection="1">
      <alignment horizontal="center" vertical="center" wrapText="1"/>
    </xf>
    <xf numFmtId="49" fontId="27" fillId="0" borderId="57" xfId="3" applyNumberFormat="1" applyFont="1" applyFill="1" applyBorder="1" applyAlignment="1" applyProtection="1">
      <alignment horizontal="center" vertical="center"/>
    </xf>
    <xf numFmtId="0" fontId="27" fillId="0" borderId="57" xfId="3" applyNumberFormat="1" applyFont="1" applyFill="1" applyBorder="1" applyAlignment="1" applyProtection="1">
      <alignment horizontal="center" vertical="center"/>
    </xf>
    <xf numFmtId="0" fontId="27" fillId="0" borderId="58" xfId="3" applyFont="1" applyFill="1" applyBorder="1" applyAlignment="1" applyProtection="1">
      <alignment horizontal="center" vertical="center"/>
    </xf>
    <xf numFmtId="182" fontId="29" fillId="6" borderId="64" xfId="3" applyNumberFormat="1" applyFont="1" applyFill="1" applyBorder="1" applyAlignment="1" applyProtection="1">
      <alignment horizontal="center" vertical="center"/>
    </xf>
    <xf numFmtId="1" fontId="29" fillId="6" borderId="65" xfId="3" applyNumberFormat="1" applyFont="1" applyFill="1" applyBorder="1" applyAlignment="1" applyProtection="1">
      <alignment horizontal="center" vertical="center"/>
    </xf>
    <xf numFmtId="182" fontId="29" fillId="6" borderId="66" xfId="3" applyNumberFormat="1" applyFont="1" applyFill="1" applyBorder="1" applyAlignment="1" applyProtection="1">
      <alignment horizontal="center" vertical="center"/>
    </xf>
    <xf numFmtId="0" fontId="27" fillId="4" borderId="45" xfId="3" applyFont="1" applyFill="1" applyBorder="1" applyAlignment="1" applyProtection="1">
      <alignment vertical="center"/>
    </xf>
    <xf numFmtId="2" fontId="27" fillId="0" borderId="60" xfId="3" applyNumberFormat="1" applyFont="1" applyFill="1" applyBorder="1" applyAlignment="1" applyProtection="1">
      <alignment horizontal="center" vertical="center"/>
    </xf>
    <xf numFmtId="0" fontId="29" fillId="4" borderId="76" xfId="3" applyFont="1" applyFill="1" applyBorder="1" applyAlignment="1" applyProtection="1">
      <alignment vertical="center"/>
    </xf>
    <xf numFmtId="0" fontId="29" fillId="0" borderId="77" xfId="3" applyFont="1" applyFill="1" applyBorder="1" applyAlignment="1" applyProtection="1">
      <alignment horizontal="center" vertical="center"/>
    </xf>
    <xf numFmtId="0" fontId="35" fillId="0" borderId="0" xfId="3" applyFont="1" applyAlignment="1" applyProtection="1">
      <alignment horizontal="left" vertical="center"/>
    </xf>
    <xf numFmtId="1" fontId="37" fillId="0" borderId="0" xfId="3" applyNumberFormat="1" applyFont="1" applyAlignment="1" applyProtection="1">
      <alignment vertical="center"/>
    </xf>
    <xf numFmtId="1" fontId="27" fillId="0" borderId="74" xfId="3" applyNumberFormat="1" applyFont="1" applyFill="1" applyBorder="1" applyAlignment="1" applyProtection="1">
      <alignment horizontal="center" vertical="center"/>
    </xf>
    <xf numFmtId="1" fontId="27" fillId="4" borderId="36" xfId="3" applyNumberFormat="1" applyFont="1" applyFill="1" applyBorder="1" applyAlignment="1" applyProtection="1">
      <alignment horizontal="center" vertical="center"/>
    </xf>
    <xf numFmtId="1" fontId="29" fillId="4" borderId="44" xfId="3" applyNumberFormat="1" applyFont="1" applyFill="1" applyBorder="1" applyAlignment="1" applyProtection="1">
      <alignment horizontal="center" vertical="center"/>
    </xf>
    <xf numFmtId="182" fontId="29" fillId="0" borderId="43" xfId="3" applyNumberFormat="1" applyFont="1" applyFill="1" applyBorder="1" applyAlignment="1" applyProtection="1">
      <alignment horizontal="center" vertical="center"/>
    </xf>
    <xf numFmtId="0" fontId="27" fillId="4" borderId="49" xfId="3" applyFont="1" applyFill="1" applyBorder="1" applyAlignment="1" applyProtection="1">
      <alignment horizontal="center" vertical="center"/>
      <protection locked="0"/>
    </xf>
    <xf numFmtId="0" fontId="27" fillId="0" borderId="37" xfId="3" applyFont="1" applyFill="1" applyBorder="1" applyAlignment="1" applyProtection="1">
      <alignment horizontal="center" vertical="center"/>
      <protection locked="0"/>
    </xf>
    <xf numFmtId="0" fontId="27" fillId="4" borderId="53" xfId="3" applyFont="1" applyFill="1" applyBorder="1" applyAlignment="1" applyProtection="1">
      <alignment horizontal="center" vertical="center"/>
      <protection locked="0"/>
    </xf>
    <xf numFmtId="0" fontId="27" fillId="4" borderId="50" xfId="3" applyFont="1" applyFill="1" applyBorder="1" applyAlignment="1" applyProtection="1">
      <alignment horizontal="center" vertical="center"/>
      <protection locked="0"/>
    </xf>
    <xf numFmtId="0" fontId="27" fillId="0" borderId="40" xfId="3" applyFont="1" applyFill="1" applyBorder="1" applyAlignment="1" applyProtection="1">
      <alignment horizontal="center" vertical="center"/>
      <protection locked="0"/>
    </xf>
    <xf numFmtId="0" fontId="27" fillId="4" borderId="54" xfId="3" applyFont="1" applyFill="1" applyBorder="1" applyAlignment="1" applyProtection="1">
      <alignment horizontal="center" vertical="center"/>
      <protection locked="0"/>
    </xf>
    <xf numFmtId="0" fontId="27" fillId="4" borderId="51" xfId="3" applyFont="1" applyFill="1" applyBorder="1" applyAlignment="1" applyProtection="1">
      <alignment horizontal="center" vertical="center"/>
      <protection locked="0"/>
    </xf>
    <xf numFmtId="0" fontId="27" fillId="0" borderId="43" xfId="3" applyFont="1" applyFill="1" applyBorder="1" applyAlignment="1" applyProtection="1">
      <alignment horizontal="center" vertical="center"/>
      <protection locked="0"/>
    </xf>
    <xf numFmtId="0" fontId="27" fillId="4" borderId="55" xfId="3" applyFont="1" applyFill="1" applyBorder="1" applyAlignment="1" applyProtection="1">
      <alignment horizontal="center" vertical="center"/>
      <protection locked="0"/>
    </xf>
    <xf numFmtId="0" fontId="29" fillId="0" borderId="0" xfId="3" applyFont="1" applyAlignment="1" applyProtection="1">
      <alignment vertical="center"/>
    </xf>
    <xf numFmtId="0" fontId="13" fillId="4" borderId="21" xfId="2" applyFont="1" applyFill="1" applyBorder="1" applyAlignment="1" applyProtection="1">
      <alignment horizontal="left" vertical="center" indent="1"/>
      <protection locked="0"/>
    </xf>
    <xf numFmtId="2" fontId="4" fillId="7" borderId="14" xfId="2" applyNumberFormat="1" applyFont="1" applyFill="1" applyBorder="1" applyAlignment="1" applyProtection="1">
      <alignment horizontal="right" vertical="center"/>
    </xf>
    <xf numFmtId="0" fontId="15" fillId="0" borderId="83" xfId="2" applyFont="1" applyFill="1" applyBorder="1" applyAlignment="1" applyProtection="1">
      <alignment horizontal="left" vertical="center"/>
    </xf>
    <xf numFmtId="176" fontId="5" fillId="4" borderId="18" xfId="2" applyNumberFormat="1" applyFont="1" applyFill="1" applyBorder="1" applyAlignment="1" applyProtection="1">
      <alignment horizontal="right" vertical="center" indent="1"/>
      <protection locked="0"/>
    </xf>
    <xf numFmtId="176" fontId="5" fillId="4" borderId="22" xfId="2" applyNumberFormat="1" applyFont="1" applyFill="1" applyBorder="1" applyAlignment="1" applyProtection="1">
      <alignment horizontal="right" vertical="center" indent="1"/>
      <protection locked="0"/>
    </xf>
    <xf numFmtId="176" fontId="4" fillId="0" borderId="0" xfId="2" applyNumberFormat="1" applyFont="1" applyFill="1" applyBorder="1" applyAlignment="1" applyProtection="1">
      <alignment horizontal="right" vertical="center" indent="1"/>
    </xf>
    <xf numFmtId="0" fontId="15" fillId="0" borderId="18" xfId="2" applyFont="1" applyFill="1" applyBorder="1" applyAlignment="1" applyProtection="1">
      <alignment horizontal="right" vertical="center" wrapText="1"/>
    </xf>
    <xf numFmtId="175" fontId="5" fillId="4" borderId="18" xfId="2" applyNumberFormat="1" applyFont="1" applyFill="1" applyBorder="1" applyAlignment="1" applyProtection="1">
      <alignment horizontal="right" vertical="center" indent="1"/>
      <protection locked="0"/>
    </xf>
    <xf numFmtId="175" fontId="5" fillId="4" borderId="22" xfId="2" applyNumberFormat="1" applyFont="1" applyFill="1" applyBorder="1" applyAlignment="1" applyProtection="1">
      <alignment horizontal="right" vertical="center" indent="1"/>
      <protection locked="0"/>
    </xf>
    <xf numFmtId="171" fontId="13" fillId="4" borderId="85" xfId="2" applyNumberFormat="1" applyFont="1" applyFill="1" applyBorder="1" applyAlignment="1" applyProtection="1">
      <alignment horizontal="center" vertical="center" wrapText="1"/>
      <protection locked="0"/>
    </xf>
    <xf numFmtId="172" fontId="13" fillId="0" borderId="85" xfId="2" applyNumberFormat="1" applyFont="1" applyFill="1" applyBorder="1" applyAlignment="1" applyProtection="1">
      <alignment horizontal="center" vertical="center" wrapText="1"/>
    </xf>
    <xf numFmtId="0" fontId="13" fillId="4" borderId="84" xfId="2" applyFont="1" applyFill="1" applyBorder="1" applyAlignment="1" applyProtection="1">
      <alignment horizontal="left" vertical="center" indent="1"/>
      <protection locked="0"/>
    </xf>
    <xf numFmtId="175" fontId="5" fillId="4" borderId="85" xfId="2" applyNumberFormat="1" applyFont="1" applyFill="1" applyBorder="1" applyAlignment="1" applyProtection="1">
      <alignment horizontal="right" vertical="center" indent="1"/>
      <protection locked="0"/>
    </xf>
    <xf numFmtId="176" fontId="5" fillId="4" borderId="85" xfId="2" applyNumberFormat="1" applyFont="1" applyFill="1" applyBorder="1" applyAlignment="1" applyProtection="1">
      <alignment horizontal="right" vertical="center" indent="1"/>
      <protection locked="0"/>
    </xf>
    <xf numFmtId="178" fontId="19" fillId="0" borderId="85" xfId="1" applyNumberFormat="1" applyFont="1" applyFill="1" applyBorder="1" applyAlignment="1" applyProtection="1">
      <alignment horizontal="center" vertical="center"/>
    </xf>
    <xf numFmtId="177" fontId="5" fillId="0" borderId="85" xfId="2" applyNumberFormat="1" applyFont="1" applyFill="1" applyBorder="1" applyAlignment="1" applyProtection="1">
      <alignment horizontal="center" vertical="center" wrapText="1"/>
    </xf>
    <xf numFmtId="0" fontId="13" fillId="13" borderId="10" xfId="2" applyFont="1" applyFill="1" applyBorder="1" applyAlignment="1" applyProtection="1">
      <alignment horizontal="left" vertical="center" indent="1"/>
      <protection locked="0"/>
    </xf>
    <xf numFmtId="0" fontId="13" fillId="13" borderId="11" xfId="2" applyFont="1" applyFill="1" applyBorder="1" applyAlignment="1" applyProtection="1">
      <alignment horizontal="left" vertical="center" indent="1"/>
      <protection locked="0"/>
    </xf>
    <xf numFmtId="0" fontId="13" fillId="13" borderId="12" xfId="2" applyFont="1" applyFill="1" applyBorder="1" applyAlignment="1" applyProtection="1">
      <alignment horizontal="left" vertical="center" indent="1"/>
      <protection locked="0"/>
    </xf>
    <xf numFmtId="0" fontId="13" fillId="4" borderId="10" xfId="2" applyFont="1" applyFill="1" applyBorder="1" applyAlignment="1" applyProtection="1">
      <alignment horizontal="left" vertical="center" indent="1"/>
      <protection locked="0"/>
    </xf>
    <xf numFmtId="0" fontId="13" fillId="4" borderId="11" xfId="2" applyFont="1" applyFill="1" applyBorder="1" applyAlignment="1" applyProtection="1">
      <alignment horizontal="left" vertical="center" indent="1"/>
      <protection locked="0"/>
    </xf>
    <xf numFmtId="0" fontId="13" fillId="4" borderId="13" xfId="2" applyFont="1" applyFill="1" applyBorder="1" applyAlignment="1" applyProtection="1">
      <alignment horizontal="left" vertical="center" indent="1"/>
      <protection locked="0"/>
    </xf>
    <xf numFmtId="0" fontId="4" fillId="3" borderId="14" xfId="2" applyFont="1" applyFill="1" applyBorder="1" applyAlignment="1" applyProtection="1">
      <alignment horizontal="left" vertical="center"/>
    </xf>
    <xf numFmtId="0" fontId="4" fillId="3" borderId="15" xfId="2" applyFont="1" applyFill="1" applyBorder="1" applyAlignment="1" applyProtection="1">
      <alignment horizontal="left" vertical="center"/>
    </xf>
    <xf numFmtId="0" fontId="4" fillId="3" borderId="16" xfId="2" applyFont="1" applyFill="1" applyBorder="1" applyAlignment="1" applyProtection="1">
      <alignment horizontal="left" vertical="center"/>
    </xf>
    <xf numFmtId="0" fontId="13" fillId="4" borderId="4" xfId="2" applyFont="1" applyFill="1" applyBorder="1" applyAlignment="1" applyProtection="1">
      <alignment horizontal="left" vertical="center" indent="1"/>
      <protection locked="0"/>
    </xf>
    <xf numFmtId="0" fontId="13" fillId="4" borderId="2" xfId="2" applyFont="1" applyFill="1" applyBorder="1" applyAlignment="1" applyProtection="1">
      <alignment horizontal="left" vertical="center" indent="1"/>
      <protection locked="0"/>
    </xf>
    <xf numFmtId="0" fontId="13" fillId="4" borderId="5" xfId="2" applyFont="1" applyFill="1" applyBorder="1" applyAlignment="1" applyProtection="1">
      <alignment horizontal="left" vertical="center" indent="1"/>
      <protection locked="0"/>
    </xf>
    <xf numFmtId="0" fontId="12" fillId="0" borderId="2" xfId="2" applyFont="1" applyFill="1" applyBorder="1" applyAlignment="1" applyProtection="1">
      <alignment horizontal="right" vertical="center"/>
    </xf>
    <xf numFmtId="0" fontId="13" fillId="4" borderId="3" xfId="2" applyFont="1" applyFill="1" applyBorder="1" applyAlignment="1" applyProtection="1">
      <alignment horizontal="left" vertical="center" indent="1"/>
      <protection locked="0"/>
    </xf>
    <xf numFmtId="0" fontId="13" fillId="4" borderId="80" xfId="2" applyFont="1" applyFill="1" applyBorder="1" applyAlignment="1" applyProtection="1">
      <alignment horizontal="left" vertical="center" indent="1"/>
      <protection locked="0"/>
    </xf>
    <xf numFmtId="0" fontId="13" fillId="4" borderId="81" xfId="2" applyFont="1" applyFill="1" applyBorder="1" applyAlignment="1" applyProtection="1">
      <alignment horizontal="left" vertical="center" indent="1"/>
      <protection locked="0"/>
    </xf>
    <xf numFmtId="0" fontId="13" fillId="4" borderId="82" xfId="2" applyFont="1" applyFill="1" applyBorder="1" applyAlignment="1" applyProtection="1">
      <alignment horizontal="left" vertical="center" indent="1"/>
      <protection locked="0"/>
    </xf>
    <xf numFmtId="0" fontId="12" fillId="0" borderId="0" xfId="2" applyFont="1" applyFill="1" applyBorder="1" applyAlignment="1" applyProtection="1">
      <alignment horizontal="right" vertical="center"/>
    </xf>
    <xf numFmtId="14" fontId="13" fillId="4" borderId="7" xfId="2" applyNumberFormat="1" applyFont="1" applyFill="1" applyBorder="1" applyAlignment="1" applyProtection="1">
      <alignment horizontal="left" vertical="center" indent="1"/>
      <protection locked="0"/>
    </xf>
    <xf numFmtId="0" fontId="13" fillId="4" borderId="0" xfId="2" applyFont="1" applyFill="1" applyBorder="1" applyAlignment="1" applyProtection="1">
      <alignment horizontal="left" vertical="center" indent="1"/>
      <protection locked="0"/>
    </xf>
    <xf numFmtId="0" fontId="13" fillId="4" borderId="9" xfId="2" applyFont="1" applyFill="1" applyBorder="1" applyAlignment="1" applyProtection="1">
      <alignment horizontal="left" vertical="center" indent="1"/>
      <protection locked="0"/>
    </xf>
    <xf numFmtId="0" fontId="7" fillId="0" borderId="0" xfId="2" applyFont="1" applyFill="1" applyBorder="1" applyAlignment="1" applyProtection="1">
      <alignment horizontal="right"/>
    </xf>
    <xf numFmtId="0" fontId="8" fillId="2" borderId="0" xfId="2" applyFont="1" applyFill="1" applyBorder="1" applyAlignment="1" applyProtection="1">
      <alignment horizontal="center" vertical="center"/>
      <protection hidden="1"/>
    </xf>
    <xf numFmtId="0" fontId="9" fillId="0" borderId="0" xfId="2" applyFont="1" applyFill="1" applyBorder="1" applyAlignment="1" applyProtection="1">
      <alignment horizontal="left"/>
    </xf>
    <xf numFmtId="0" fontId="10" fillId="0" borderId="0" xfId="2" applyFont="1" applyFill="1" applyBorder="1" applyAlignment="1" applyProtection="1">
      <alignment horizontal="left"/>
    </xf>
    <xf numFmtId="0" fontId="4" fillId="3" borderId="1" xfId="2" applyFont="1" applyFill="1" applyBorder="1" applyAlignment="1" applyProtection="1">
      <alignment horizontal="left" vertical="center"/>
    </xf>
    <xf numFmtId="0" fontId="4" fillId="3" borderId="2" xfId="2" applyFont="1" applyFill="1" applyBorder="1" applyAlignment="1" applyProtection="1">
      <alignment horizontal="left" vertical="center"/>
    </xf>
    <xf numFmtId="0" fontId="11" fillId="3" borderId="2" xfId="2" applyFont="1" applyFill="1" applyBorder="1" applyAlignment="1" applyProtection="1">
      <alignment horizontal="right" vertical="center"/>
    </xf>
    <xf numFmtId="0" fontId="11" fillId="3" borderId="3" xfId="2" applyFont="1" applyFill="1" applyBorder="1" applyAlignment="1" applyProtection="1">
      <alignment horizontal="right" vertical="center"/>
    </xf>
    <xf numFmtId="173" fontId="13" fillId="0" borderId="4" xfId="2" applyNumberFormat="1" applyFont="1" applyFill="1" applyBorder="1" applyAlignment="1" applyProtection="1">
      <alignment horizontal="right" vertical="center" wrapText="1"/>
    </xf>
    <xf numFmtId="173" fontId="13" fillId="0" borderId="3" xfId="2" applyNumberFormat="1" applyFont="1" applyFill="1" applyBorder="1" applyAlignment="1" applyProtection="1">
      <alignment horizontal="right" vertical="center" wrapText="1"/>
    </xf>
    <xf numFmtId="0" fontId="13" fillId="4" borderId="20" xfId="2" applyFont="1" applyFill="1" applyBorder="1" applyAlignment="1" applyProtection="1">
      <alignment horizontal="left" vertical="center" indent="1"/>
      <protection locked="0"/>
    </xf>
    <xf numFmtId="170" fontId="15" fillId="0" borderId="33" xfId="2" applyNumberFormat="1" applyFont="1" applyFill="1" applyBorder="1" applyAlignment="1" applyProtection="1">
      <alignment horizontal="center" vertical="center" wrapText="1"/>
    </xf>
    <xf numFmtId="170" fontId="15" fillId="0" borderId="16" xfId="2" applyNumberFormat="1" applyFont="1" applyFill="1" applyBorder="1" applyAlignment="1" applyProtection="1">
      <alignment horizontal="center" vertical="center" wrapText="1"/>
    </xf>
    <xf numFmtId="0" fontId="12" fillId="0" borderId="23" xfId="2" applyFont="1" applyFill="1" applyBorder="1" applyAlignment="1" applyProtection="1">
      <alignment horizontal="right" vertical="center"/>
    </xf>
    <xf numFmtId="0" fontId="12" fillId="0" borderId="11" xfId="2" applyFont="1" applyFill="1" applyBorder="1" applyAlignment="1" applyProtection="1">
      <alignment horizontal="right" vertical="center"/>
    </xf>
    <xf numFmtId="170" fontId="12" fillId="0" borderId="11" xfId="2" applyNumberFormat="1" applyFont="1" applyFill="1" applyBorder="1" applyAlignment="1" applyProtection="1">
      <alignment horizontal="center" vertical="center" wrapText="1"/>
    </xf>
    <xf numFmtId="170" fontId="12" fillId="0" borderId="13" xfId="2" applyNumberFormat="1" applyFont="1" applyFill="1" applyBorder="1" applyAlignment="1" applyProtection="1">
      <alignment horizontal="center" vertical="center" wrapText="1"/>
    </xf>
    <xf numFmtId="170" fontId="15" fillId="0" borderId="10" xfId="2" applyNumberFormat="1" applyFont="1" applyFill="1" applyBorder="1" applyAlignment="1" applyProtection="1">
      <alignment horizontal="center" vertical="center" wrapText="1"/>
    </xf>
    <xf numFmtId="170" fontId="15" fillId="0" borderId="13" xfId="2" applyNumberFormat="1" applyFont="1" applyFill="1" applyBorder="1" applyAlignment="1" applyProtection="1">
      <alignment horizontal="center" vertical="center" wrapText="1"/>
    </xf>
    <xf numFmtId="0" fontId="15" fillId="0" borderId="14" xfId="2" applyFont="1" applyFill="1" applyBorder="1" applyAlignment="1" applyProtection="1">
      <alignment horizontal="left" vertical="center"/>
    </xf>
    <xf numFmtId="0" fontId="15" fillId="0" borderId="15" xfId="2" applyFont="1" applyFill="1" applyBorder="1" applyAlignment="1" applyProtection="1">
      <alignment horizontal="left" vertical="center"/>
    </xf>
    <xf numFmtId="0" fontId="15" fillId="0" borderId="32" xfId="2" applyFont="1" applyFill="1" applyBorder="1" applyAlignment="1" applyProtection="1">
      <alignment horizontal="left" vertical="center"/>
    </xf>
    <xf numFmtId="0" fontId="13" fillId="4" borderId="21" xfId="2" applyFont="1" applyFill="1" applyBorder="1" applyAlignment="1" applyProtection="1">
      <alignment horizontal="left" vertical="center" indent="1"/>
      <protection locked="0"/>
    </xf>
    <xf numFmtId="173" fontId="13" fillId="0" borderId="7" xfId="2" applyNumberFormat="1" applyFont="1" applyFill="1" applyBorder="1" applyAlignment="1" applyProtection="1">
      <alignment horizontal="right" vertical="center" wrapText="1"/>
    </xf>
    <xf numFmtId="173" fontId="13" fillId="0" borderId="9" xfId="2" applyNumberFormat="1" applyFont="1" applyFill="1" applyBorder="1" applyAlignment="1" applyProtection="1">
      <alignment horizontal="right" vertical="center" wrapText="1"/>
    </xf>
    <xf numFmtId="0" fontId="13" fillId="4" borderId="84" xfId="2" applyFont="1" applyFill="1" applyBorder="1" applyAlignment="1" applyProtection="1">
      <alignment horizontal="left" vertical="center" indent="1"/>
      <protection locked="0"/>
    </xf>
    <xf numFmtId="173" fontId="13" fillId="0" borderId="80" xfId="2" applyNumberFormat="1" applyFont="1" applyFill="1" applyBorder="1" applyAlignment="1" applyProtection="1">
      <alignment horizontal="right" vertical="center" wrapText="1"/>
    </xf>
    <xf numFmtId="173" fontId="13" fillId="0" borderId="86" xfId="2" applyNumberFormat="1" applyFont="1" applyFill="1" applyBorder="1" applyAlignment="1" applyProtection="1">
      <alignment horizontal="right" vertical="center" wrapText="1"/>
    </xf>
    <xf numFmtId="0" fontId="13" fillId="4" borderId="8" xfId="2" applyFont="1" applyFill="1" applyBorder="1" applyAlignment="1" applyProtection="1">
      <alignment horizontal="left" vertical="center" indent="1"/>
      <protection locked="0"/>
    </xf>
    <xf numFmtId="177" fontId="5" fillId="0" borderId="4" xfId="2" applyNumberFormat="1" applyFont="1" applyFill="1" applyBorder="1" applyAlignment="1" applyProtection="1">
      <alignment horizontal="center" vertical="center" wrapText="1"/>
    </xf>
    <xf numFmtId="177" fontId="5" fillId="0" borderId="5" xfId="2" applyNumberFormat="1" applyFont="1" applyFill="1" applyBorder="1" applyAlignment="1" applyProtection="1">
      <alignment horizontal="center" vertical="center" wrapText="1"/>
    </xf>
    <xf numFmtId="177" fontId="5" fillId="0" borderId="7" xfId="2" applyNumberFormat="1" applyFont="1" applyFill="1" applyBorder="1" applyAlignment="1" applyProtection="1">
      <alignment horizontal="center" vertical="center" wrapText="1"/>
    </xf>
    <xf numFmtId="177" fontId="5" fillId="0" borderId="8" xfId="2" applyNumberFormat="1" applyFont="1" applyFill="1" applyBorder="1" applyAlignment="1" applyProtection="1">
      <alignment horizontal="center" vertical="center" wrapText="1"/>
    </xf>
    <xf numFmtId="0" fontId="15" fillId="0" borderId="33" xfId="2" applyFont="1" applyFill="1" applyBorder="1" applyAlignment="1" applyProtection="1">
      <alignment horizontal="center" vertical="center"/>
    </xf>
    <xf numFmtId="0" fontId="15" fillId="0" borderId="32" xfId="2" applyFont="1" applyFill="1" applyBorder="1" applyAlignment="1" applyProtection="1">
      <alignment horizontal="center" vertical="center"/>
    </xf>
    <xf numFmtId="177" fontId="5" fillId="0" borderId="80" xfId="2" applyNumberFormat="1" applyFont="1" applyFill="1" applyBorder="1" applyAlignment="1" applyProtection="1">
      <alignment horizontal="center" vertical="center" wrapText="1"/>
    </xf>
    <xf numFmtId="177" fontId="5" fillId="0" borderId="82" xfId="2" applyNumberFormat="1" applyFont="1" applyFill="1" applyBorder="1" applyAlignment="1" applyProtection="1">
      <alignment horizontal="center" vertical="center" wrapText="1"/>
    </xf>
    <xf numFmtId="0" fontId="5" fillId="7" borderId="0" xfId="2" applyFont="1" applyFill="1" applyBorder="1" applyAlignment="1" applyProtection="1">
      <alignment horizontal="left" vertical="top" wrapText="1"/>
    </xf>
    <xf numFmtId="0" fontId="5" fillId="7" borderId="9" xfId="2" applyFont="1" applyFill="1" applyBorder="1" applyAlignment="1" applyProtection="1">
      <alignment horizontal="left" vertical="top" wrapText="1"/>
    </xf>
    <xf numFmtId="0" fontId="23" fillId="0" borderId="23" xfId="2" applyFont="1" applyFill="1" applyBorder="1" applyAlignment="1" applyProtection="1">
      <alignment horizontal="left" vertical="center" wrapText="1"/>
    </xf>
    <xf numFmtId="0" fontId="22" fillId="0" borderId="11" xfId="2" applyFont="1" applyFill="1" applyBorder="1" applyAlignment="1" applyProtection="1">
      <alignment horizontal="left" vertical="center" wrapText="1"/>
    </xf>
    <xf numFmtId="0" fontId="22" fillId="0" borderId="13" xfId="2" applyFont="1" applyFill="1" applyBorder="1" applyAlignment="1" applyProtection="1">
      <alignment horizontal="left" vertical="center" wrapText="1"/>
    </xf>
    <xf numFmtId="0" fontId="33" fillId="13" borderId="14" xfId="2" applyFont="1" applyFill="1" applyBorder="1" applyAlignment="1" applyProtection="1">
      <alignment horizontal="right" vertical="center"/>
    </xf>
    <xf numFmtId="0" fontId="33" fillId="13" borderId="15" xfId="2" applyFont="1" applyFill="1" applyBorder="1" applyAlignment="1" applyProtection="1">
      <alignment horizontal="right" vertical="center"/>
    </xf>
    <xf numFmtId="170" fontId="33" fillId="13" borderId="15" xfId="2" applyNumberFormat="1" applyFont="1" applyFill="1" applyBorder="1" applyAlignment="1" applyProtection="1">
      <alignment horizontal="center" vertical="center" wrapText="1"/>
    </xf>
    <xf numFmtId="170" fontId="33" fillId="13" borderId="16" xfId="2" applyNumberFormat="1" applyFont="1" applyFill="1" applyBorder="1" applyAlignment="1" applyProtection="1">
      <alignment horizontal="center" vertical="center" wrapText="1"/>
    </xf>
    <xf numFmtId="2" fontId="4" fillId="7" borderId="6" xfId="2" applyNumberFormat="1" applyFont="1" applyFill="1" applyBorder="1" applyAlignment="1" applyProtection="1">
      <alignment horizontal="right" vertical="center"/>
    </xf>
    <xf numFmtId="0" fontId="20" fillId="0" borderId="0" xfId="0" applyFont="1" applyBorder="1" applyAlignment="1" applyProtection="1">
      <alignment horizontal="right" vertical="center"/>
    </xf>
    <xf numFmtId="164" fontId="12" fillId="7" borderId="0" xfId="2" applyNumberFormat="1" applyFont="1" applyFill="1" applyBorder="1" applyAlignment="1" applyProtection="1">
      <alignment horizontal="center" vertical="top" wrapText="1"/>
    </xf>
    <xf numFmtId="164" fontId="12" fillId="7" borderId="9" xfId="2" applyNumberFormat="1" applyFont="1" applyFill="1" applyBorder="1" applyAlignment="1" applyProtection="1">
      <alignment horizontal="center" vertical="top" wrapText="1"/>
    </xf>
    <xf numFmtId="0" fontId="21" fillId="7" borderId="2" xfId="2" applyFont="1" applyFill="1" applyBorder="1" applyAlignment="1" applyProtection="1">
      <alignment vertical="center" wrapText="1"/>
    </xf>
    <xf numFmtId="0" fontId="22" fillId="7" borderId="2" xfId="2" applyFont="1" applyFill="1" applyBorder="1" applyAlignment="1" applyProtection="1">
      <alignment vertical="center" wrapText="1"/>
    </xf>
    <xf numFmtId="0" fontId="22" fillId="7" borderId="3" xfId="2" applyFont="1" applyFill="1" applyBorder="1" applyAlignment="1" applyProtection="1">
      <alignment vertical="center" wrapText="1"/>
    </xf>
    <xf numFmtId="0" fontId="5" fillId="0" borderId="0" xfId="2" applyFont="1" applyFill="1" applyAlignment="1" applyProtection="1">
      <alignment vertical="top" wrapText="1"/>
    </xf>
    <xf numFmtId="0" fontId="5" fillId="0" borderId="9" xfId="2" applyFont="1" applyFill="1" applyBorder="1" applyAlignment="1" applyProtection="1">
      <alignment vertical="top" wrapText="1"/>
    </xf>
    <xf numFmtId="0" fontId="21" fillId="0" borderId="0" xfId="2" applyFont="1" applyFill="1" applyAlignment="1" applyProtection="1">
      <alignment vertical="top" wrapText="1"/>
    </xf>
    <xf numFmtId="0" fontId="21" fillId="0" borderId="9" xfId="2" applyFont="1" applyFill="1" applyBorder="1" applyAlignment="1" applyProtection="1">
      <alignment vertical="top" wrapText="1"/>
    </xf>
    <xf numFmtId="0" fontId="21" fillId="7" borderId="0" xfId="2" applyFont="1" applyFill="1" applyBorder="1" applyAlignment="1" applyProtection="1">
      <alignment horizontal="left" vertical="center" wrapText="1"/>
    </xf>
    <xf numFmtId="0" fontId="21" fillId="7" borderId="9" xfId="2" applyFont="1" applyFill="1" applyBorder="1" applyAlignment="1" applyProtection="1">
      <alignment horizontal="left" vertical="center" wrapText="1"/>
    </xf>
    <xf numFmtId="0" fontId="29" fillId="6" borderId="35" xfId="3" applyFont="1" applyFill="1" applyBorder="1" applyAlignment="1" applyProtection="1">
      <alignment horizontal="center" vertical="center"/>
    </xf>
    <xf numFmtId="0" fontId="29" fillId="6" borderId="27" xfId="3" applyFont="1" applyFill="1" applyBorder="1" applyAlignment="1" applyProtection="1">
      <alignment horizontal="center" vertical="center"/>
    </xf>
    <xf numFmtId="0" fontId="29" fillId="6" borderId="26" xfId="3" applyFont="1" applyFill="1" applyBorder="1" applyAlignment="1" applyProtection="1">
      <alignment horizontal="center" vertical="center"/>
    </xf>
    <xf numFmtId="1" fontId="29" fillId="6" borderId="35" xfId="3" applyNumberFormat="1" applyFont="1" applyFill="1" applyBorder="1" applyAlignment="1" applyProtection="1">
      <alignment horizontal="center" vertical="center"/>
    </xf>
    <xf numFmtId="1" fontId="29" fillId="6" borderId="27" xfId="3" applyNumberFormat="1" applyFont="1" applyFill="1" applyBorder="1" applyAlignment="1" applyProtection="1">
      <alignment horizontal="center" vertical="center"/>
    </xf>
    <xf numFmtId="1" fontId="29" fillId="6" borderId="26" xfId="3" applyNumberFormat="1" applyFont="1" applyFill="1" applyBorder="1" applyAlignment="1" applyProtection="1">
      <alignment horizontal="center" vertical="center"/>
    </xf>
    <xf numFmtId="0" fontId="29" fillId="0" borderId="52" xfId="3" applyFont="1" applyFill="1" applyBorder="1" applyAlignment="1" applyProtection="1">
      <alignment horizontal="right" vertical="center"/>
    </xf>
    <xf numFmtId="0" fontId="29" fillId="0" borderId="79" xfId="3" applyFont="1" applyFill="1" applyBorder="1" applyAlignment="1" applyProtection="1">
      <alignment horizontal="right" vertical="center"/>
    </xf>
    <xf numFmtId="1" fontId="29" fillId="0" borderId="48" xfId="3" applyNumberFormat="1" applyFont="1" applyBorder="1" applyAlignment="1" applyProtection="1">
      <alignment horizontal="right" vertical="center"/>
    </xf>
    <xf numFmtId="1" fontId="29" fillId="0" borderId="78" xfId="3" applyNumberFormat="1" applyFont="1" applyBorder="1" applyAlignment="1" applyProtection="1">
      <alignment horizontal="right" vertical="center"/>
    </xf>
    <xf numFmtId="182" fontId="29" fillId="0" borderId="36" xfId="3" applyNumberFormat="1" applyFont="1" applyFill="1" applyBorder="1" applyAlignment="1" applyProtection="1">
      <alignment horizontal="center" vertical="center"/>
    </xf>
    <xf numFmtId="182" fontId="29" fillId="0" borderId="37" xfId="3" applyNumberFormat="1" applyFont="1" applyFill="1" applyBorder="1" applyAlignment="1" applyProtection="1">
      <alignment horizontal="center" vertical="center"/>
    </xf>
    <xf numFmtId="182" fontId="29" fillId="0" borderId="38" xfId="3" applyNumberFormat="1" applyFont="1" applyFill="1" applyBorder="1" applyAlignment="1" applyProtection="1">
      <alignment horizontal="center" vertical="center"/>
    </xf>
    <xf numFmtId="184" fontId="29" fillId="6" borderId="35" xfId="3" applyNumberFormat="1" applyFont="1" applyFill="1" applyBorder="1" applyAlignment="1" applyProtection="1">
      <alignment horizontal="center" vertical="center"/>
    </xf>
    <xf numFmtId="184" fontId="29" fillId="6" borderId="26" xfId="3" applyNumberFormat="1" applyFont="1" applyFill="1" applyBorder="1" applyAlignment="1" applyProtection="1">
      <alignment horizontal="center" vertical="center"/>
    </xf>
    <xf numFmtId="2" fontId="29" fillId="6" borderId="35" xfId="3" applyNumberFormat="1" applyFont="1" applyFill="1" applyBorder="1" applyAlignment="1" applyProtection="1">
      <alignment horizontal="center" vertical="center"/>
    </xf>
    <xf numFmtId="2" fontId="29" fillId="6" borderId="27" xfId="3" applyNumberFormat="1" applyFont="1" applyFill="1" applyBorder="1" applyAlignment="1" applyProtection="1">
      <alignment horizontal="center" vertical="center"/>
    </xf>
    <xf numFmtId="2" fontId="29" fillId="6" borderId="26" xfId="3" applyNumberFormat="1" applyFont="1" applyFill="1" applyBorder="1" applyAlignment="1" applyProtection="1">
      <alignment horizontal="center" vertical="center"/>
    </xf>
    <xf numFmtId="0" fontId="29" fillId="4" borderId="36" xfId="3" applyFont="1" applyFill="1" applyBorder="1" applyAlignment="1" applyProtection="1">
      <alignment horizontal="center" vertical="center"/>
    </xf>
    <xf numFmtId="0" fontId="29" fillId="4" borderId="38" xfId="3" applyFont="1" applyFill="1" applyBorder="1" applyAlignment="1" applyProtection="1">
      <alignment horizontal="center" vertical="center"/>
    </xf>
  </cellXfs>
  <cellStyles count="17">
    <cellStyle name="Currency" xfId="1" builtinId="4"/>
    <cellStyle name="Excel Built-in Normal" xfId="7"/>
    <cellStyle name="Normal" xfId="0" builtinId="0"/>
    <cellStyle name="Normal 2" xfId="2"/>
    <cellStyle name="Normal 2 2" xfId="8"/>
    <cellStyle name="Normal 3" xfId="3"/>
    <cellStyle name="Normal 3 2" xfId="9"/>
    <cellStyle name="Normal 4" xfId="10"/>
    <cellStyle name="Normal_Blad3" xfId="4"/>
    <cellStyle name="Procent 2" xfId="11"/>
    <cellStyle name="Tusental (0)_Arrendeberäkning" xfId="12"/>
    <cellStyle name="Valuta (0)_Arrendeberäkning" xfId="13"/>
    <cellStyle name="Valuta 2" xfId="14"/>
    <cellStyle name="Valuta 2 2" xfId="15"/>
    <cellStyle name="Valuta 3" xfId="16"/>
    <cellStyle name="Valuta 4" xfId="5"/>
    <cellStyle name="Valuta_Stakningsträd" xfId="6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medium">
          <color auto="1"/>
        </top>
        <bottom style="medium">
          <color auto="1"/>
        </bottom>
        <vertical/>
        <horizontal style="medium">
          <color auto="1"/>
        </horizontal>
      </border>
      <protection locked="1" hidden="0"/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/>
        <bottom/>
        <vertical/>
        <horizontal style="medium">
          <color auto="1"/>
        </horizontal>
      </border>
      <protection locked="1" hidden="0"/>
    </dxf>
  </dxfs>
  <tableStyles count="0" defaultTableStyle="TableStyleMedium2" defaultPivotStyle="PivotStyleLight16"/>
  <colors>
    <mruColors>
      <color rgb="FFDFD65B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85881</xdr:colOff>
      <xdr:row>38</xdr:row>
      <xdr:rowOff>106852</xdr:rowOff>
    </xdr:from>
    <xdr:to>
      <xdr:col>5</xdr:col>
      <xdr:colOff>212090</xdr:colOff>
      <xdr:row>50</xdr:row>
      <xdr:rowOff>116377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Grp="1"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  <a14:imgEffect>
                    <a14:saturation sat="180000"/>
                  </a14:imgEffect>
                  <a14:imgEffect>
                    <a14:brightnessContrast contrast="-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11284" t="5952" r="6014" b="15236"/>
        <a:stretch/>
      </xdr:blipFill>
      <xdr:spPr bwMode="auto">
        <a:xfrm>
          <a:off x="504981" y="6488602"/>
          <a:ext cx="3771744" cy="2295525"/>
        </a:xfrm>
        <a:prstGeom prst="rect">
          <a:avLst/>
        </a:prstGeom>
        <a:noFill/>
        <a:ln w="9525">
          <a:noFill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</xdr:pic>
    <xdr:clientData/>
  </xdr:twoCellAnchor>
  <xdr:twoCellAnchor>
    <xdr:from>
      <xdr:col>3</xdr:col>
      <xdr:colOff>524984</xdr:colOff>
      <xdr:row>38</xdr:row>
      <xdr:rowOff>114300</xdr:rowOff>
    </xdr:from>
    <xdr:to>
      <xdr:col>3</xdr:col>
      <xdr:colOff>960755</xdr:colOff>
      <xdr:row>47</xdr:row>
      <xdr:rowOff>85725</xdr:rowOff>
    </xdr:to>
    <xdr:sp macro="" textlink="">
      <xdr:nvSpPr>
        <xdr:cNvPr id="15" name="Rektangel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SpPr/>
      </xdr:nvSpPr>
      <xdr:spPr>
        <a:xfrm>
          <a:off x="3123712" y="7428729"/>
          <a:ext cx="435771" cy="1680970"/>
        </a:xfrm>
        <a:prstGeom prst="rect">
          <a:avLst/>
        </a:prstGeom>
        <a:noFill/>
        <a:ln w="31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sv-SE" sz="1100"/>
        </a:p>
      </xdr:txBody>
    </xdr:sp>
    <xdr:clientData/>
  </xdr:twoCellAnchor>
  <xdr:oneCellAnchor>
    <xdr:from>
      <xdr:col>1</xdr:col>
      <xdr:colOff>257175</xdr:colOff>
      <xdr:row>37</xdr:row>
      <xdr:rowOff>9525</xdr:rowOff>
    </xdr:from>
    <xdr:ext cx="184731" cy="248851"/>
    <xdr:sp macro="" textlink="">
      <xdr:nvSpPr>
        <xdr:cNvPr id="3" name="textruta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676275" y="6200775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sv-SE" sz="1000" i="1"/>
        </a:p>
      </xdr:txBody>
    </xdr:sp>
    <xdr:clientData/>
  </xdr:oneCellAnchor>
  <xdr:twoCellAnchor editAs="oneCell">
    <xdr:from>
      <xdr:col>2</xdr:col>
      <xdr:colOff>1019837</xdr:colOff>
      <xdr:row>47</xdr:row>
      <xdr:rowOff>118311</xdr:rowOff>
    </xdr:from>
    <xdr:to>
      <xdr:col>3</xdr:col>
      <xdr:colOff>1012228</xdr:colOff>
      <xdr:row>48</xdr:row>
      <xdr:rowOff>168385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33927" y="9142285"/>
          <a:ext cx="1081474" cy="233038"/>
        </a:xfrm>
        <a:prstGeom prst="rect">
          <a:avLst/>
        </a:prstGeom>
      </xdr:spPr>
    </xdr:pic>
    <xdr:clientData/>
  </xdr:twoCellAnchor>
  <xdr:twoCellAnchor>
    <xdr:from>
      <xdr:col>3</xdr:col>
      <xdr:colOff>525117</xdr:colOff>
      <xdr:row>47</xdr:row>
      <xdr:rowOff>79834</xdr:rowOff>
    </xdr:from>
    <xdr:to>
      <xdr:col>3</xdr:col>
      <xdr:colOff>963509</xdr:colOff>
      <xdr:row>47</xdr:row>
      <xdr:rowOff>84124</xdr:rowOff>
    </xdr:to>
    <xdr:cxnSp macro="">
      <xdr:nvCxnSpPr>
        <xdr:cNvPr id="5" name="Rak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CxnSpPr/>
      </xdr:nvCxnSpPr>
      <xdr:spPr>
        <a:xfrm flipV="1">
          <a:off x="3123845" y="9103808"/>
          <a:ext cx="438392" cy="4290"/>
        </a:xfrm>
        <a:prstGeom prst="line">
          <a:avLst/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937798</xdr:colOff>
      <xdr:row>46</xdr:row>
      <xdr:rowOff>36496</xdr:rowOff>
    </xdr:from>
    <xdr:to>
      <xdr:col>3</xdr:col>
      <xdr:colOff>383107</xdr:colOff>
      <xdr:row>47</xdr:row>
      <xdr:rowOff>78954</xdr:rowOff>
    </xdr:to>
    <xdr:sp macro="" textlink="">
      <xdr:nvSpPr>
        <xdr:cNvPr id="6" name="textruta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356237" y="8870521"/>
          <a:ext cx="1625598" cy="2324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/>
            <a:t>I</a:t>
          </a:r>
          <a:r>
            <a:rPr lang="sv-SE" sz="900" baseline="0"/>
            <a:t>anspråktagen skogsgata</a:t>
          </a:r>
          <a:endParaRPr lang="sv-SE" sz="900"/>
        </a:p>
      </xdr:txBody>
    </xdr:sp>
    <xdr:clientData/>
  </xdr:twoCellAnchor>
  <xdr:twoCellAnchor>
    <xdr:from>
      <xdr:col>1</xdr:col>
      <xdr:colOff>1018955</xdr:colOff>
      <xdr:row>47</xdr:row>
      <xdr:rowOff>52107</xdr:rowOff>
    </xdr:from>
    <xdr:to>
      <xdr:col>3</xdr:col>
      <xdr:colOff>494803</xdr:colOff>
      <xdr:row>47</xdr:row>
      <xdr:rowOff>52107</xdr:rowOff>
    </xdr:to>
    <xdr:cxnSp macro="">
      <xdr:nvCxnSpPr>
        <xdr:cNvPr id="7" name="Rak pil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 bwMode="auto">
        <a:xfrm>
          <a:off x="1437394" y="9076081"/>
          <a:ext cx="1656137" cy="0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855825</xdr:colOff>
      <xdr:row>51</xdr:row>
      <xdr:rowOff>85339</xdr:rowOff>
    </xdr:from>
    <xdr:to>
      <xdr:col>3</xdr:col>
      <xdr:colOff>434957</xdr:colOff>
      <xdr:row>51</xdr:row>
      <xdr:rowOff>88975</xdr:rowOff>
    </xdr:to>
    <xdr:cxnSp macro="">
      <xdr:nvCxnSpPr>
        <xdr:cNvPr id="8" name="Rak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 bwMode="auto">
        <a:xfrm flipV="1">
          <a:off x="1274264" y="9869111"/>
          <a:ext cx="1759421" cy="3636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439135</xdr:colOff>
      <xdr:row>50</xdr:row>
      <xdr:rowOff>57150</xdr:rowOff>
    </xdr:from>
    <xdr:to>
      <xdr:col>3</xdr:col>
      <xdr:colOff>441107</xdr:colOff>
      <xdr:row>51</xdr:row>
      <xdr:rowOff>154470</xdr:rowOff>
    </xdr:to>
    <xdr:cxnSp macro="">
      <xdr:nvCxnSpPr>
        <xdr:cNvPr id="9" name="Rak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CxnSpPr/>
      </xdr:nvCxnSpPr>
      <xdr:spPr bwMode="auto">
        <a:xfrm>
          <a:off x="3037863" y="9650972"/>
          <a:ext cx="1972" cy="28727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</xdr:col>
      <xdr:colOff>823711</xdr:colOff>
      <xdr:row>51</xdr:row>
      <xdr:rowOff>55923</xdr:rowOff>
    </xdr:from>
    <xdr:to>
      <xdr:col>1</xdr:col>
      <xdr:colOff>871871</xdr:colOff>
      <xdr:row>51</xdr:row>
      <xdr:rowOff>120137</xdr:rowOff>
    </xdr:to>
    <xdr:cxnSp macro="">
      <xdr:nvCxnSpPr>
        <xdr:cNvPr id="10" name="Rak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CxnSpPr/>
      </xdr:nvCxnSpPr>
      <xdr:spPr bwMode="auto">
        <a:xfrm flipH="1">
          <a:off x="1244399" y="9866673"/>
          <a:ext cx="48160" cy="6421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</xdr:col>
      <xdr:colOff>421094</xdr:colOff>
      <xdr:row>51</xdr:row>
      <xdr:rowOff>45880</xdr:rowOff>
    </xdr:from>
    <xdr:to>
      <xdr:col>3</xdr:col>
      <xdr:colOff>469254</xdr:colOff>
      <xdr:row>51</xdr:row>
      <xdr:rowOff>110094</xdr:rowOff>
    </xdr:to>
    <xdr:cxnSp macro="">
      <xdr:nvCxnSpPr>
        <xdr:cNvPr id="11" name="Rak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CxnSpPr/>
      </xdr:nvCxnSpPr>
      <xdr:spPr bwMode="auto">
        <a:xfrm flipH="1">
          <a:off x="3019822" y="9829652"/>
          <a:ext cx="48160" cy="64214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113194</xdr:colOff>
      <xdr:row>51</xdr:row>
      <xdr:rowOff>54106</xdr:rowOff>
    </xdr:from>
    <xdr:to>
      <xdr:col>3</xdr:col>
      <xdr:colOff>263315</xdr:colOff>
      <xdr:row>52</xdr:row>
      <xdr:rowOff>100699</xdr:rowOff>
    </xdr:to>
    <xdr:sp macro="" textlink="">
      <xdr:nvSpPr>
        <xdr:cNvPr id="13" name="textruta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SpPr txBox="1"/>
      </xdr:nvSpPr>
      <xdr:spPr>
        <a:xfrm>
          <a:off x="1659606" y="9864856"/>
          <a:ext cx="1018577" cy="237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sv-SE" sz="900"/>
            <a:t>Vägområde</a:t>
          </a:r>
        </a:p>
      </xdr:txBody>
    </xdr:sp>
    <xdr:clientData/>
  </xdr:twoCellAnchor>
  <xdr:twoCellAnchor>
    <xdr:from>
      <xdr:col>6</xdr:col>
      <xdr:colOff>214313</xdr:colOff>
      <xdr:row>35</xdr:row>
      <xdr:rowOff>23821</xdr:rowOff>
    </xdr:from>
    <xdr:to>
      <xdr:col>9</xdr:col>
      <xdr:colOff>762000</xdr:colOff>
      <xdr:row>43</xdr:row>
      <xdr:rowOff>39688</xdr:rowOff>
    </xdr:to>
    <xdr:sp macro="" textlink="">
      <xdr:nvSpPr>
        <xdr:cNvPr id="16" name="textruta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4586288" y="5834071"/>
          <a:ext cx="2319337" cy="153986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sv-SE" sz="900" b="1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Löpmeterersättning skogsmark:</a:t>
          </a:r>
        </a:p>
        <a:p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Modellen utgår ifrån en 4 meter bred skogsgata för markledning där ledning placeras inom väganläggning. Eftersom halva skogsgatan redan är ianspråktagen av vägområde betraktas inte denna del som intrång i skogsmark. Ersättning utgår endast för halva skogsgatans bredd (2 m). Modellen får endast användas i skogsmark och upp till  500 m</a:t>
          </a:r>
          <a:r>
            <a:rPr lang="sv-SE" sz="9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 </a:t>
          </a:r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(250 m).</a:t>
          </a:r>
          <a:r>
            <a:rPr lang="sv-SE" sz="900"/>
            <a:t> </a:t>
          </a:r>
        </a:p>
      </xdr:txBody>
    </xdr:sp>
    <xdr:clientData/>
  </xdr:twoCellAnchor>
  <xdr:twoCellAnchor>
    <xdr:from>
      <xdr:col>6</xdr:col>
      <xdr:colOff>206377</xdr:colOff>
      <xdr:row>43</xdr:row>
      <xdr:rowOff>79481</xdr:rowOff>
    </xdr:from>
    <xdr:to>
      <xdr:col>9</xdr:col>
      <xdr:colOff>738189</xdr:colOff>
      <xdr:row>48</xdr:row>
      <xdr:rowOff>127106</xdr:rowOff>
    </xdr:to>
    <xdr:sp macro="" textlink="">
      <xdr:nvSpPr>
        <xdr:cNvPr id="17" name="textruta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SpPr txBox="1"/>
      </xdr:nvSpPr>
      <xdr:spPr>
        <a:xfrm>
          <a:off x="4578352" y="7413731"/>
          <a:ext cx="2303462" cy="1000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 b="1" u="sng"/>
            <a:t>Ersättning enstaka träd:</a:t>
          </a:r>
        </a:p>
        <a:p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Modellen används främst vid värdering av enstaka träd längs vägar i skogsmark, den kan även användas för enstaka träd i övrig mark - </a:t>
          </a:r>
          <a:r>
            <a:rPr lang="sv-SE" sz="900" b="0" i="0" u="sng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ej inom tomtmark</a:t>
          </a:r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Modellen får tillämpas  vid volymer upp till 15 </a:t>
          </a:r>
          <a:r>
            <a:rPr lang="sv-SE" sz="9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sv-SE" sz="900" b="0" i="0" u="none" strike="noStrike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sv-SE" sz="9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sk</a:t>
          </a:r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sv-SE" sz="900"/>
            <a:t> </a:t>
          </a:r>
        </a:p>
      </xdr:txBody>
    </xdr:sp>
    <xdr:clientData/>
  </xdr:twoCellAnchor>
  <xdr:twoCellAnchor>
    <xdr:from>
      <xdr:col>6</xdr:col>
      <xdr:colOff>223838</xdr:colOff>
      <xdr:row>48</xdr:row>
      <xdr:rowOff>176267</xdr:rowOff>
    </xdr:from>
    <xdr:to>
      <xdr:col>9</xdr:col>
      <xdr:colOff>755650</xdr:colOff>
      <xdr:row>52</xdr:row>
      <xdr:rowOff>87367</xdr:rowOff>
    </xdr:to>
    <xdr:sp macro="" textlink="">
      <xdr:nvSpPr>
        <xdr:cNvPr id="18" name="textruta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SpPr txBox="1"/>
      </xdr:nvSpPr>
      <xdr:spPr>
        <a:xfrm>
          <a:off x="4595813" y="8463017"/>
          <a:ext cx="2303462" cy="673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sv-SE" sz="900" b="1" u="sng"/>
            <a:t>Metod:</a:t>
          </a:r>
        </a:p>
        <a:p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Trädets diameter mäts i brösthöjd (1,3 m över marken) och indelningen görs</a:t>
          </a:r>
          <a:r>
            <a:rPr lang="sv-SE" sz="9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sv-SE" sz="9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 2 cm klasser. Träd som ersätts färgstämplas.</a:t>
          </a:r>
          <a:r>
            <a:rPr lang="sv-SE" sz="900"/>
            <a:t> </a:t>
          </a:r>
          <a:endParaRPr lang="sv-SE" sz="900" b="0" u="none"/>
        </a:p>
      </xdr:txBody>
    </xdr:sp>
    <xdr:clientData/>
  </xdr:twoCellAnchor>
  <xdr:twoCellAnchor>
    <xdr:from>
      <xdr:col>8</xdr:col>
      <xdr:colOff>15875</xdr:colOff>
      <xdr:row>0</xdr:row>
      <xdr:rowOff>82550</xdr:rowOff>
    </xdr:from>
    <xdr:to>
      <xdr:col>9</xdr:col>
      <xdr:colOff>680300</xdr:colOff>
      <xdr:row>1</xdr:row>
      <xdr:rowOff>156800</xdr:rowOff>
    </xdr:to>
    <xdr:sp macro="" textlink="">
      <xdr:nvSpPr>
        <xdr:cNvPr id="20" name="bmkLogo" descr="bmkLogo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SpPr txBox="1">
          <a:spLocks noChangeAspect="1" noChangeArrowheads="1"/>
        </xdr:cNvSpPr>
      </xdr:nvSpPr>
      <xdr:spPr bwMode="auto">
        <a:xfrm>
          <a:off x="5832475" y="82550"/>
          <a:ext cx="1007325" cy="360000"/>
        </a:xfrm>
        <a:prstGeom prst="rect">
          <a:avLst/>
        </a:prstGeom>
        <a:blipFill dpi="0" rotWithShape="0">
          <a:blip xmlns:r="http://schemas.openxmlformats.org/officeDocument/2006/relationships" r:embed="rId4"/>
          <a:srcRect/>
          <a:stretch>
            <a:fillRect/>
          </a:stretch>
        </a:blip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ot="0" vert="horz" wrap="square" lIns="0" tIns="0" rIns="0" bIns="0" anchor="t" anchorCtr="0" upright="1">
          <a:noAutofit/>
        </a:bodyPr>
        <a:lstStyle/>
        <a:p>
          <a:pPr>
            <a:spcAft>
              <a:spcPts val="0"/>
            </a:spcAft>
          </a:pPr>
          <a:r>
            <a:rPr lang="sv-SE" sz="1000">
              <a:effectLst/>
              <a:latin typeface="Calibri Light"/>
              <a:ea typeface="Times New Roman"/>
              <a:cs typeface="Times New Roman"/>
            </a:rPr>
            <a:t> </a:t>
          </a:r>
        </a:p>
      </xdr:txBody>
    </xdr:sp>
    <xdr:clientData/>
  </xdr:twoCellAnchor>
  <xdr:twoCellAnchor>
    <xdr:from>
      <xdr:col>1</xdr:col>
      <xdr:colOff>838200</xdr:colOff>
      <xdr:row>50</xdr:row>
      <xdr:rowOff>66675</xdr:rowOff>
    </xdr:from>
    <xdr:to>
      <xdr:col>1</xdr:col>
      <xdr:colOff>840172</xdr:colOff>
      <xdr:row>51</xdr:row>
      <xdr:rowOff>163995</xdr:rowOff>
    </xdr:to>
    <xdr:cxnSp macro="">
      <xdr:nvCxnSpPr>
        <xdr:cNvPr id="24" name="Rak 2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CxnSpPr/>
      </xdr:nvCxnSpPr>
      <xdr:spPr bwMode="auto">
        <a:xfrm>
          <a:off x="1257300" y="9686925"/>
          <a:ext cx="1972" cy="28782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1688</xdr:colOff>
      <xdr:row>1</xdr:row>
      <xdr:rowOff>9525</xdr:rowOff>
    </xdr:from>
    <xdr:to>
      <xdr:col>1</xdr:col>
      <xdr:colOff>4211929</xdr:colOff>
      <xdr:row>43</xdr:row>
      <xdr:rowOff>133350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388" y="200025"/>
          <a:ext cx="4210241" cy="8505825"/>
        </a:xfrm>
        <a:prstGeom prst="rect">
          <a:avLst/>
        </a:prstGeom>
        <a:ln w="6350">
          <a:solidFill>
            <a:schemeClr val="tx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id="1" name="Lista1" displayName="Lista1" ref="A15:A39" totalsRowShown="0" headerRowDxfId="5" dataDxfId="3" headerRowBorderDxfId="4" tableBorderDxfId="2" totalsRowBorderDxfId="1">
  <tableColumns count="1">
    <tableColumn id="1" name="brösthöj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55"/>
  <sheetViews>
    <sheetView showGridLines="0" tabSelected="1" zoomScaleNormal="100" workbookViewId="0">
      <selection activeCell="C4" sqref="C4:E4"/>
    </sheetView>
  </sheetViews>
  <sheetFormatPr defaultColWidth="9.28515625" defaultRowHeight="15" customHeight="1" x14ac:dyDescent="0.25"/>
  <cols>
    <col min="1" max="1" width="6.28515625" style="61" customWidth="1"/>
    <col min="2" max="2" width="16.42578125" style="61" customWidth="1"/>
    <col min="3" max="4" width="16.28515625" style="61" customWidth="1"/>
    <col min="5" max="5" width="5.5703125" style="61" customWidth="1"/>
    <col min="6" max="6" width="10.7109375" style="61" customWidth="1"/>
    <col min="7" max="8" width="11" style="61" customWidth="1"/>
    <col min="9" max="9" width="5.28515625" style="61" customWidth="1"/>
    <col min="10" max="10" width="11.7109375" style="61" customWidth="1"/>
    <col min="11" max="11" width="6.42578125" style="61" customWidth="1"/>
    <col min="12" max="13" width="21.42578125" style="61" hidden="1" customWidth="1"/>
    <col min="14" max="16384" width="9.28515625" style="61"/>
  </cols>
  <sheetData>
    <row r="1" spans="1:13" ht="22.5" customHeight="1" x14ac:dyDescent="0.25">
      <c r="A1" s="1"/>
      <c r="B1" s="2"/>
      <c r="C1" s="2"/>
      <c r="D1" s="2"/>
      <c r="E1" s="2"/>
      <c r="F1" s="3"/>
      <c r="G1" s="4"/>
      <c r="H1" s="323"/>
      <c r="I1" s="323"/>
      <c r="J1" s="323"/>
      <c r="K1" s="5"/>
      <c r="L1" s="324" t="s">
        <v>0</v>
      </c>
      <c r="M1" s="324"/>
    </row>
    <row r="2" spans="1:13" ht="15" customHeight="1" x14ac:dyDescent="0.25">
      <c r="A2" s="1"/>
      <c r="B2" s="325" t="s">
        <v>1</v>
      </c>
      <c r="C2" s="326"/>
      <c r="D2" s="326"/>
      <c r="E2" s="326"/>
      <c r="F2" s="326"/>
      <c r="G2" s="326"/>
      <c r="H2" s="326"/>
      <c r="I2" s="326"/>
      <c r="J2" s="326"/>
      <c r="K2" s="5"/>
      <c r="L2" s="6"/>
      <c r="M2" s="7"/>
    </row>
    <row r="3" spans="1:13" ht="15" customHeight="1" x14ac:dyDescent="0.25">
      <c r="A3" s="1"/>
      <c r="B3" s="327" t="s">
        <v>2</v>
      </c>
      <c r="C3" s="328"/>
      <c r="D3" s="328"/>
      <c r="E3" s="328"/>
      <c r="F3" s="328"/>
      <c r="G3" s="328"/>
      <c r="H3" s="329" t="s">
        <v>164</v>
      </c>
      <c r="I3" s="329"/>
      <c r="J3" s="330"/>
      <c r="K3" s="1"/>
      <c r="L3" s="8"/>
      <c r="M3" s="9"/>
    </row>
    <row r="4" spans="1:13" ht="15" customHeight="1" x14ac:dyDescent="0.3">
      <c r="A4" s="10"/>
      <c r="B4" s="11" t="s">
        <v>3</v>
      </c>
      <c r="C4" s="311"/>
      <c r="D4" s="312"/>
      <c r="E4" s="313"/>
      <c r="F4" s="314" t="s">
        <v>4</v>
      </c>
      <c r="G4" s="314"/>
      <c r="H4" s="311"/>
      <c r="I4" s="312"/>
      <c r="J4" s="315"/>
      <c r="K4" s="12"/>
      <c r="L4" s="8"/>
      <c r="M4" s="7"/>
    </row>
    <row r="5" spans="1:13" ht="15" customHeight="1" x14ac:dyDescent="0.25">
      <c r="A5" s="10"/>
      <c r="B5" s="13" t="s">
        <v>5</v>
      </c>
      <c r="C5" s="316"/>
      <c r="D5" s="317"/>
      <c r="E5" s="318"/>
      <c r="F5" s="319" t="s">
        <v>6</v>
      </c>
      <c r="G5" s="319"/>
      <c r="H5" s="320"/>
      <c r="I5" s="321"/>
      <c r="J5" s="322"/>
      <c r="K5" s="14"/>
      <c r="L5" s="8"/>
      <c r="M5" s="7"/>
    </row>
    <row r="6" spans="1:13" ht="15" customHeight="1" x14ac:dyDescent="0.25">
      <c r="A6" s="10"/>
      <c r="B6" s="13" t="s">
        <v>145</v>
      </c>
      <c r="C6" s="302"/>
      <c r="D6" s="303"/>
      <c r="E6" s="304"/>
      <c r="F6" s="60"/>
      <c r="G6" s="60" t="s">
        <v>7</v>
      </c>
      <c r="H6" s="305"/>
      <c r="I6" s="306"/>
      <c r="J6" s="307"/>
      <c r="K6" s="14"/>
      <c r="L6" s="6"/>
      <c r="M6" s="7"/>
    </row>
    <row r="7" spans="1:13" ht="15" customHeight="1" x14ac:dyDescent="0.25">
      <c r="A7" s="10"/>
      <c r="B7" s="308" t="s">
        <v>146</v>
      </c>
      <c r="C7" s="309"/>
      <c r="D7" s="309"/>
      <c r="E7" s="309"/>
      <c r="F7" s="309"/>
      <c r="G7" s="309"/>
      <c r="H7" s="309"/>
      <c r="I7" s="309"/>
      <c r="J7" s="310"/>
      <c r="K7" s="15"/>
      <c r="L7" s="16" t="s">
        <v>8</v>
      </c>
      <c r="M7" s="16" t="s">
        <v>9</v>
      </c>
    </row>
    <row r="8" spans="1:13" ht="15" customHeight="1" x14ac:dyDescent="0.25">
      <c r="A8" s="10"/>
      <c r="B8" s="78" t="s">
        <v>149</v>
      </c>
      <c r="C8" s="79"/>
      <c r="D8" s="79"/>
      <c r="E8" s="79"/>
      <c r="F8" s="80"/>
      <c r="G8" s="72" t="s">
        <v>10</v>
      </c>
      <c r="H8" s="72" t="s">
        <v>11</v>
      </c>
      <c r="I8" s="334" t="s">
        <v>12</v>
      </c>
      <c r="J8" s="335"/>
      <c r="K8" s="17"/>
      <c r="L8" s="18" t="s">
        <v>13</v>
      </c>
      <c r="M8" s="18">
        <v>0.55000000000000004</v>
      </c>
    </row>
    <row r="9" spans="1:13" ht="15" customHeight="1" x14ac:dyDescent="0.25">
      <c r="A9" s="10"/>
      <c r="B9" s="333"/>
      <c r="C9" s="312"/>
      <c r="D9" s="312"/>
      <c r="E9" s="312"/>
      <c r="F9" s="312"/>
      <c r="G9" s="19"/>
      <c r="H9" s="20">
        <f>G9*2</f>
        <v>0</v>
      </c>
      <c r="I9" s="331">
        <f>ROUND(H9*'Tabeller Värdering enstaka träd'!$O$9,0)</f>
        <v>0</v>
      </c>
      <c r="J9" s="332"/>
      <c r="K9" s="17"/>
      <c r="L9" s="18" t="s">
        <v>15</v>
      </c>
      <c r="M9" s="18">
        <v>1.1599999999999999</v>
      </c>
    </row>
    <row r="10" spans="1:13" ht="15" customHeight="1" x14ac:dyDescent="0.25">
      <c r="A10" s="10"/>
      <c r="B10" s="345"/>
      <c r="C10" s="321"/>
      <c r="D10" s="321"/>
      <c r="E10" s="321"/>
      <c r="F10" s="321"/>
      <c r="G10" s="21"/>
      <c r="H10" s="22">
        <f t="shared" ref="H10:H12" si="0">G10*2</f>
        <v>0</v>
      </c>
      <c r="I10" s="346">
        <f>ROUND(H10*'Tabeller Värdering enstaka träd'!$O$9,0)</f>
        <v>0</v>
      </c>
      <c r="J10" s="347"/>
      <c r="K10" s="17"/>
      <c r="L10" s="18" t="s">
        <v>16</v>
      </c>
      <c r="M10" s="18">
        <v>2</v>
      </c>
    </row>
    <row r="11" spans="1:13" ht="15" customHeight="1" x14ac:dyDescent="0.25">
      <c r="A11" s="10"/>
      <c r="B11" s="345"/>
      <c r="C11" s="321"/>
      <c r="D11" s="321"/>
      <c r="E11" s="321"/>
      <c r="F11" s="321"/>
      <c r="G11" s="21"/>
      <c r="H11" s="22">
        <f t="shared" si="0"/>
        <v>0</v>
      </c>
      <c r="I11" s="346">
        <f>ROUND(H11*'Tabeller Värdering enstaka träd'!$O$9,0)</f>
        <v>0</v>
      </c>
      <c r="J11" s="347"/>
      <c r="K11" s="17"/>
      <c r="L11" s="18" t="s">
        <v>17</v>
      </c>
      <c r="M11" s="18">
        <v>2.31</v>
      </c>
    </row>
    <row r="12" spans="1:13" ht="15" customHeight="1" x14ac:dyDescent="0.25">
      <c r="A12" s="10"/>
      <c r="B12" s="348"/>
      <c r="C12" s="317"/>
      <c r="D12" s="317"/>
      <c r="E12" s="317"/>
      <c r="F12" s="317"/>
      <c r="G12" s="295"/>
      <c r="H12" s="296">
        <f t="shared" si="0"/>
        <v>0</v>
      </c>
      <c r="I12" s="349">
        <f>ROUND(H12*'Tabeller Värdering enstaka träd'!$O$9,0)</f>
        <v>0</v>
      </c>
      <c r="J12" s="350"/>
      <c r="K12" s="23"/>
      <c r="L12" s="18" t="s">
        <v>18</v>
      </c>
      <c r="M12" s="18">
        <v>3.78</v>
      </c>
    </row>
    <row r="13" spans="1:13" ht="15" customHeight="1" x14ac:dyDescent="0.3">
      <c r="A13" s="10"/>
      <c r="B13" s="336" t="s">
        <v>19</v>
      </c>
      <c r="C13" s="337"/>
      <c r="D13" s="337"/>
      <c r="E13" s="337"/>
      <c r="F13" s="337"/>
      <c r="G13" s="24">
        <f>IF($L$17&gt;550,"FEL",SUM(G9:G12))</f>
        <v>0</v>
      </c>
      <c r="H13" s="25">
        <f>IF($L$17&gt;550,"FEL",SUM(H9:H12))</f>
        <v>0</v>
      </c>
      <c r="I13" s="338">
        <f>IF($L$17&gt;550,"EJ TILLÅTEN AREAL",SUM(I9:I12))</f>
        <v>0</v>
      </c>
      <c r="J13" s="339">
        <f>IF($L$17&gt;550,"FEL",SUM(J9:J12))</f>
        <v>0</v>
      </c>
      <c r="K13" s="17"/>
      <c r="M13" s="26"/>
    </row>
    <row r="14" spans="1:13" ht="15" customHeight="1" x14ac:dyDescent="0.25">
      <c r="A14" s="10"/>
      <c r="B14" s="308" t="s">
        <v>148</v>
      </c>
      <c r="C14" s="309"/>
      <c r="D14" s="309"/>
      <c r="E14" s="309"/>
      <c r="F14" s="309"/>
      <c r="G14" s="309"/>
      <c r="H14" s="309"/>
      <c r="I14" s="309"/>
      <c r="J14" s="310"/>
      <c r="K14" s="17"/>
      <c r="M14" s="26"/>
    </row>
    <row r="15" spans="1:13" ht="15" customHeight="1" x14ac:dyDescent="0.25">
      <c r="A15" s="10"/>
      <c r="B15" s="342" t="s">
        <v>150</v>
      </c>
      <c r="C15" s="343"/>
      <c r="D15" s="343"/>
      <c r="E15" s="344"/>
      <c r="F15" s="73" t="s">
        <v>10</v>
      </c>
      <c r="G15" s="70" t="s">
        <v>147</v>
      </c>
      <c r="H15" s="70" t="s">
        <v>11</v>
      </c>
      <c r="I15" s="340" t="s">
        <v>12</v>
      </c>
      <c r="J15" s="341"/>
      <c r="K15" s="17"/>
      <c r="L15" s="7"/>
      <c r="M15" s="32"/>
    </row>
    <row r="16" spans="1:13" ht="15" customHeight="1" x14ac:dyDescent="0.25">
      <c r="A16" s="10"/>
      <c r="B16" s="333"/>
      <c r="C16" s="312"/>
      <c r="D16" s="312"/>
      <c r="E16" s="313"/>
      <c r="F16" s="19"/>
      <c r="G16" s="19"/>
      <c r="H16" s="20">
        <f>F16*G16</f>
        <v>0</v>
      </c>
      <c r="I16" s="331">
        <f>ROUND(H16*'Tabeller Värdering enstaka träd'!$O$9,0)</f>
        <v>0</v>
      </c>
      <c r="J16" s="332"/>
      <c r="K16" s="17"/>
      <c r="L16" s="16" t="s">
        <v>20</v>
      </c>
      <c r="M16" s="32"/>
    </row>
    <row r="17" spans="1:13" ht="15" customHeight="1" x14ac:dyDescent="0.3">
      <c r="A17" s="10"/>
      <c r="B17" s="345"/>
      <c r="C17" s="321"/>
      <c r="D17" s="321"/>
      <c r="E17" s="351"/>
      <c r="F17" s="21"/>
      <c r="G17" s="21"/>
      <c r="H17" s="22">
        <f t="shared" ref="H17:H19" si="1">F17*G17</f>
        <v>0</v>
      </c>
      <c r="I17" s="346">
        <f>ROUND(H17*'Tabeller Värdering enstaka träd'!$O$9,0)</f>
        <v>0</v>
      </c>
      <c r="J17" s="347"/>
      <c r="K17" s="33"/>
      <c r="L17" s="31">
        <f>SUM(H9:H12)+SUM(H16:H19)</f>
        <v>0</v>
      </c>
      <c r="M17" s="7"/>
    </row>
    <row r="18" spans="1:13" ht="15" customHeight="1" x14ac:dyDescent="0.3">
      <c r="A18" s="10"/>
      <c r="B18" s="345"/>
      <c r="C18" s="321"/>
      <c r="D18" s="321"/>
      <c r="E18" s="351"/>
      <c r="F18" s="21"/>
      <c r="G18" s="21"/>
      <c r="H18" s="22">
        <f t="shared" si="1"/>
        <v>0</v>
      </c>
      <c r="I18" s="346">
        <f>ROUND(H18*'Tabeller Värdering enstaka träd'!$O$9,0)</f>
        <v>0</v>
      </c>
      <c r="J18" s="347"/>
      <c r="K18" s="2"/>
      <c r="L18" s="7"/>
      <c r="M18" s="7"/>
    </row>
    <row r="19" spans="1:13" ht="15" customHeight="1" x14ac:dyDescent="0.3">
      <c r="A19" s="10"/>
      <c r="B19" s="348"/>
      <c r="C19" s="317"/>
      <c r="D19" s="317"/>
      <c r="E19" s="318"/>
      <c r="F19" s="295"/>
      <c r="G19" s="295"/>
      <c r="H19" s="296">
        <f t="shared" si="1"/>
        <v>0</v>
      </c>
      <c r="I19" s="349">
        <f>ROUND(H19*'Tabeller Värdering enstaka träd'!$O$9,0)</f>
        <v>0</v>
      </c>
      <c r="J19" s="350"/>
      <c r="K19" s="2"/>
      <c r="L19" s="7"/>
      <c r="M19" s="7"/>
    </row>
    <row r="20" spans="1:13" ht="15" customHeight="1" x14ac:dyDescent="0.3">
      <c r="A20" s="10"/>
      <c r="B20" s="336" t="s">
        <v>19</v>
      </c>
      <c r="C20" s="337"/>
      <c r="D20" s="337"/>
      <c r="E20" s="337"/>
      <c r="F20" s="337"/>
      <c r="G20" s="24">
        <f>IF($L$17&gt;550,"FEL",SUM(G16:G19))</f>
        <v>0</v>
      </c>
      <c r="H20" s="25">
        <f>IF($L$17&gt;550,"FEL",SUM(H16:H19))</f>
        <v>0</v>
      </c>
      <c r="I20" s="338">
        <f>IF($L$17&gt;550,"EJ TILLÅTEN AREAL",SUM(I16:I19))</f>
        <v>0</v>
      </c>
      <c r="J20" s="339">
        <f>IF($L$17&gt;550,"FEL",SUM(J16:J19))</f>
        <v>0</v>
      </c>
      <c r="K20" s="2"/>
      <c r="L20" s="7"/>
      <c r="M20" s="7"/>
    </row>
    <row r="21" spans="1:13" ht="15" customHeight="1" x14ac:dyDescent="0.25">
      <c r="A21" s="10"/>
      <c r="B21" s="27" t="s">
        <v>21</v>
      </c>
      <c r="C21" s="28"/>
      <c r="D21" s="28"/>
      <c r="E21" s="28"/>
      <c r="F21" s="28"/>
      <c r="G21" s="28"/>
      <c r="H21" s="29"/>
      <c r="I21" s="28"/>
      <c r="J21" s="30"/>
      <c r="K21" s="2"/>
      <c r="L21" s="7"/>
      <c r="M21" s="7"/>
    </row>
    <row r="22" spans="1:13" ht="15" customHeight="1" x14ac:dyDescent="0.25">
      <c r="A22" s="10"/>
      <c r="B22" s="288" t="s">
        <v>22</v>
      </c>
      <c r="C22" s="292" t="s">
        <v>162</v>
      </c>
      <c r="D22" s="292" t="s">
        <v>163</v>
      </c>
      <c r="E22" s="356" t="s">
        <v>23</v>
      </c>
      <c r="F22" s="357"/>
      <c r="G22" s="81" t="s">
        <v>24</v>
      </c>
      <c r="H22" s="72" t="s">
        <v>25</v>
      </c>
      <c r="I22" s="334" t="s">
        <v>12</v>
      </c>
      <c r="J22" s="335"/>
      <c r="K22" s="2"/>
      <c r="L22" s="7"/>
      <c r="M22" s="7"/>
    </row>
    <row r="23" spans="1:13" ht="15" customHeight="1" x14ac:dyDescent="0.3">
      <c r="A23" s="10"/>
      <c r="B23" s="286"/>
      <c r="C23" s="293"/>
      <c r="D23" s="289"/>
      <c r="E23" s="352">
        <f>IF(D23=0,0,IF(B23="","",IF(B23="Tall",INDEX(Tall,MATCH(C23,ListØ,0),1),IF(B23="Gran",INDEX(Gran,MATCH(C23,ListØ,0),1),INDEX(Löv,MATCH(C23,ListØ,0),1)))))</f>
        <v>0</v>
      </c>
      <c r="F23" s="353"/>
      <c r="G23" s="74">
        <f t="shared" ref="G23:G32" si="2">IF(D23=0,0,IF(B23="","",IF(B23="Tall",INDEX(Tall,MATCH(C23,ListØ,0),2),IF(B23="Gran",INDEX(Gran,MATCH(C23,ListØ,0),2),INDEX(Löv,MATCH(C23,ListØ,0),2)))))</f>
        <v>0</v>
      </c>
      <c r="H23" s="75">
        <f t="shared" ref="H23:H32" si="3">D23*E23</f>
        <v>0</v>
      </c>
      <c r="I23" s="331">
        <f>ROUND(D23*G23,0)</f>
        <v>0</v>
      </c>
      <c r="J23" s="332"/>
      <c r="K23" s="2"/>
      <c r="L23" s="7"/>
      <c r="M23" s="7"/>
    </row>
    <row r="24" spans="1:13" ht="15" customHeight="1" x14ac:dyDescent="0.3">
      <c r="A24" s="10"/>
      <c r="B24" s="286"/>
      <c r="C24" s="294"/>
      <c r="D24" s="290"/>
      <c r="E24" s="354">
        <f>IF(D24=0,0,IF(B24="","",IF(B24="Tall",INDEX(Tall,MATCH(C24,ListØ,0),1),IF(B24="Gran",INDEX(Gran,MATCH(C24,ListØ,0),1),INDEX(Löv,MATCH(C24,ListØ,0),1)))))</f>
        <v>0</v>
      </c>
      <c r="F24" s="355"/>
      <c r="G24" s="74">
        <f t="shared" si="2"/>
        <v>0</v>
      </c>
      <c r="H24" s="76">
        <f t="shared" si="3"/>
        <v>0</v>
      </c>
      <c r="I24" s="346">
        <f t="shared" ref="I24:I32" si="4">ROUND(D24*G24,0)</f>
        <v>0</v>
      </c>
      <c r="J24" s="347"/>
      <c r="K24" s="2"/>
      <c r="L24" s="16" t="s">
        <v>26</v>
      </c>
      <c r="M24" s="7"/>
    </row>
    <row r="25" spans="1:13" ht="15" customHeight="1" x14ac:dyDescent="0.3">
      <c r="A25" s="10"/>
      <c r="B25" s="286"/>
      <c r="C25" s="294"/>
      <c r="D25" s="290"/>
      <c r="E25" s="354">
        <f t="shared" ref="E25:E32" si="5">IF(D25=0,0,IF(B25="","",IF(B25="Tall",INDEX(Tall,MATCH(C25,ListØ,0),1),IF(B25="Gran",INDEX(Gran,MATCH(C25,ListØ,0),1),INDEX(Löv,MATCH(C25,ListØ,0),1)))))</f>
        <v>0</v>
      </c>
      <c r="F25" s="355"/>
      <c r="G25" s="74">
        <f t="shared" si="2"/>
        <v>0</v>
      </c>
      <c r="H25" s="76">
        <f t="shared" si="3"/>
        <v>0</v>
      </c>
      <c r="I25" s="346">
        <f t="shared" si="4"/>
        <v>0</v>
      </c>
      <c r="J25" s="347"/>
      <c r="K25" s="2"/>
      <c r="L25" s="36">
        <f>SUM(H23:H32)</f>
        <v>0</v>
      </c>
      <c r="M25" s="7"/>
    </row>
    <row r="26" spans="1:13" ht="15" customHeight="1" x14ac:dyDescent="0.3">
      <c r="A26" s="10"/>
      <c r="B26" s="286"/>
      <c r="C26" s="294"/>
      <c r="D26" s="290"/>
      <c r="E26" s="354">
        <f t="shared" si="5"/>
        <v>0</v>
      </c>
      <c r="F26" s="355"/>
      <c r="G26" s="74">
        <f t="shared" si="2"/>
        <v>0</v>
      </c>
      <c r="H26" s="76">
        <f t="shared" si="3"/>
        <v>0</v>
      </c>
      <c r="I26" s="346">
        <f t="shared" si="4"/>
        <v>0</v>
      </c>
      <c r="J26" s="347"/>
      <c r="K26" s="2"/>
      <c r="L26" s="7"/>
      <c r="M26" s="7"/>
    </row>
    <row r="27" spans="1:13" ht="15" customHeight="1" x14ac:dyDescent="0.3">
      <c r="A27" s="10"/>
      <c r="B27" s="286"/>
      <c r="C27" s="294"/>
      <c r="D27" s="290"/>
      <c r="E27" s="354">
        <f t="shared" si="5"/>
        <v>0</v>
      </c>
      <c r="F27" s="355"/>
      <c r="G27" s="74">
        <f t="shared" si="2"/>
        <v>0</v>
      </c>
      <c r="H27" s="76">
        <f t="shared" si="3"/>
        <v>0</v>
      </c>
      <c r="I27" s="346">
        <f t="shared" si="4"/>
        <v>0</v>
      </c>
      <c r="J27" s="347"/>
      <c r="K27" s="2"/>
      <c r="L27" s="7"/>
      <c r="M27" s="7"/>
    </row>
    <row r="28" spans="1:13" ht="15" customHeight="1" x14ac:dyDescent="0.3">
      <c r="A28" s="10"/>
      <c r="B28" s="286"/>
      <c r="C28" s="294"/>
      <c r="D28" s="290"/>
      <c r="E28" s="354">
        <f t="shared" si="5"/>
        <v>0</v>
      </c>
      <c r="F28" s="355"/>
      <c r="G28" s="74">
        <f t="shared" si="2"/>
        <v>0</v>
      </c>
      <c r="H28" s="76">
        <f t="shared" si="3"/>
        <v>0</v>
      </c>
      <c r="I28" s="346">
        <f t="shared" si="4"/>
        <v>0</v>
      </c>
      <c r="J28" s="347"/>
      <c r="K28" s="2"/>
      <c r="L28" s="7"/>
      <c r="M28" s="7"/>
    </row>
    <row r="29" spans="1:13" ht="15" customHeight="1" x14ac:dyDescent="0.3">
      <c r="A29" s="48"/>
      <c r="B29" s="286"/>
      <c r="C29" s="294"/>
      <c r="D29" s="290"/>
      <c r="E29" s="354">
        <f t="shared" si="5"/>
        <v>0</v>
      </c>
      <c r="F29" s="355"/>
      <c r="G29" s="74">
        <f t="shared" si="2"/>
        <v>0</v>
      </c>
      <c r="H29" s="76">
        <f t="shared" si="3"/>
        <v>0</v>
      </c>
      <c r="I29" s="346">
        <f t="shared" si="4"/>
        <v>0</v>
      </c>
      <c r="J29" s="347"/>
      <c r="K29" s="2"/>
      <c r="L29" s="53"/>
      <c r="M29" s="7"/>
    </row>
    <row r="30" spans="1:13" ht="15" customHeight="1" x14ac:dyDescent="0.3">
      <c r="A30" s="10"/>
      <c r="B30" s="286"/>
      <c r="C30" s="294"/>
      <c r="D30" s="290"/>
      <c r="E30" s="354">
        <f t="shared" si="5"/>
        <v>0</v>
      </c>
      <c r="F30" s="355"/>
      <c r="G30" s="74">
        <f t="shared" si="2"/>
        <v>0</v>
      </c>
      <c r="H30" s="76">
        <f t="shared" si="3"/>
        <v>0</v>
      </c>
      <c r="I30" s="346">
        <f t="shared" si="4"/>
        <v>0</v>
      </c>
      <c r="J30" s="347"/>
      <c r="K30" s="2"/>
      <c r="L30" s="7"/>
      <c r="M30" s="7"/>
    </row>
    <row r="31" spans="1:13" ht="15" customHeight="1" x14ac:dyDescent="0.3">
      <c r="A31" s="10"/>
      <c r="B31" s="286"/>
      <c r="C31" s="294"/>
      <c r="D31" s="290"/>
      <c r="E31" s="354">
        <f t="shared" si="5"/>
        <v>0</v>
      </c>
      <c r="F31" s="355"/>
      <c r="G31" s="74">
        <f t="shared" si="2"/>
        <v>0</v>
      </c>
      <c r="H31" s="76">
        <f t="shared" si="3"/>
        <v>0</v>
      </c>
      <c r="I31" s="346">
        <f t="shared" si="4"/>
        <v>0</v>
      </c>
      <c r="J31" s="347"/>
      <c r="K31" s="2"/>
      <c r="L31" s="7"/>
      <c r="M31" s="7"/>
    </row>
    <row r="32" spans="1:13" ht="15" customHeight="1" x14ac:dyDescent="0.3">
      <c r="A32" s="10"/>
      <c r="B32" s="297"/>
      <c r="C32" s="298"/>
      <c r="D32" s="299"/>
      <c r="E32" s="358">
        <f t="shared" si="5"/>
        <v>0</v>
      </c>
      <c r="F32" s="359"/>
      <c r="G32" s="300">
        <f t="shared" si="2"/>
        <v>0</v>
      </c>
      <c r="H32" s="301">
        <f t="shared" si="3"/>
        <v>0</v>
      </c>
      <c r="I32" s="349">
        <f t="shared" si="4"/>
        <v>0</v>
      </c>
      <c r="J32" s="350"/>
      <c r="K32" s="2"/>
      <c r="L32" s="7"/>
      <c r="M32" s="7"/>
    </row>
    <row r="33" spans="1:13" ht="15" customHeight="1" x14ac:dyDescent="0.3">
      <c r="A33" s="10"/>
      <c r="B33" s="369" t="s">
        <v>19</v>
      </c>
      <c r="C33" s="370"/>
      <c r="D33" s="291">
        <f>SUM($D$23:$D$32)</f>
        <v>0</v>
      </c>
      <c r="E33" s="34" t="str">
        <f>IF(C33="","",IF(C33="Tall",INDEX(Tall,MATCH(#REF!,ListØ,0),1),IF(C33="Gran",INDEX(Gran,MATCH(#REF!,ListØ,0),1),INDEX(Löv,MATCH(#REF!,ListØ,0),1))))</f>
        <v/>
      </c>
      <c r="F33" s="34" t="str">
        <f>IF(C33="","",IF(C33="Tall",INDEX(Tall,MATCH(#REF!,ListØ,0),2),IF(C33="Gran",INDEX(Gran,MATCH(#REF!,ListØ,0),2),INDEX(Löv,MATCH(#REF!,ListØ,0),2))))</f>
        <v/>
      </c>
      <c r="G33" s="34"/>
      <c r="H33" s="35">
        <f>IF(L25&gt;20,"FEL",L25)</f>
        <v>0</v>
      </c>
      <c r="I33" s="371">
        <f>IF(L25&gt;20,"EJ TILLÅTEN VOLYM",SUM(I23:J32))</f>
        <v>0</v>
      </c>
      <c r="J33" s="372"/>
      <c r="K33" s="55"/>
      <c r="L33" s="7"/>
      <c r="M33" s="7"/>
    </row>
    <row r="34" spans="1:13" ht="15" customHeight="1" x14ac:dyDescent="0.3">
      <c r="A34" s="10"/>
      <c r="B34" s="287"/>
      <c r="C34" s="37"/>
      <c r="D34" s="38"/>
      <c r="E34" s="39"/>
      <c r="F34" s="39"/>
      <c r="G34" s="39"/>
      <c r="H34" s="40"/>
      <c r="I34" s="41"/>
      <c r="J34" s="41"/>
      <c r="K34" s="55"/>
      <c r="L34" s="7"/>
      <c r="M34" s="7"/>
    </row>
    <row r="35" spans="1:13" ht="15" customHeight="1" x14ac:dyDescent="0.25">
      <c r="A35" s="10"/>
      <c r="B35" s="42" t="s">
        <v>27</v>
      </c>
      <c r="C35" s="43"/>
      <c r="D35" s="43"/>
      <c r="E35" s="44"/>
      <c r="F35" s="44"/>
      <c r="G35" s="44"/>
      <c r="H35" s="44"/>
      <c r="I35" s="44"/>
      <c r="J35" s="45"/>
      <c r="K35" s="55"/>
      <c r="L35" s="7"/>
      <c r="M35" s="7"/>
    </row>
    <row r="36" spans="1:13" ht="15" customHeight="1" x14ac:dyDescent="0.3">
      <c r="A36" s="10"/>
      <c r="B36" s="46"/>
      <c r="C36" s="47"/>
      <c r="D36" s="47"/>
      <c r="E36" s="47"/>
      <c r="F36" s="47"/>
      <c r="G36" s="373"/>
      <c r="H36" s="374"/>
      <c r="I36" s="374"/>
      <c r="J36" s="375"/>
      <c r="K36" s="55"/>
      <c r="L36" s="7"/>
      <c r="M36" s="7"/>
    </row>
    <row r="37" spans="1:13" ht="15" customHeight="1" x14ac:dyDescent="0.3">
      <c r="A37" s="48"/>
      <c r="B37" s="49"/>
      <c r="C37" s="50"/>
      <c r="D37" s="50"/>
      <c r="E37" s="50"/>
      <c r="F37" s="50"/>
      <c r="G37" s="51"/>
      <c r="H37" s="49"/>
      <c r="I37" s="49"/>
      <c r="J37" s="52"/>
      <c r="K37" s="55"/>
      <c r="L37" s="7"/>
      <c r="M37" s="7"/>
    </row>
    <row r="38" spans="1:13" ht="15" customHeight="1" x14ac:dyDescent="0.3">
      <c r="A38" s="10"/>
      <c r="B38" s="54"/>
      <c r="C38" s="50"/>
      <c r="D38" s="50"/>
      <c r="E38" s="50"/>
      <c r="F38" s="50"/>
      <c r="G38" s="49"/>
      <c r="H38" s="49"/>
      <c r="I38" s="49"/>
      <c r="J38" s="52"/>
      <c r="K38" s="55"/>
      <c r="L38" s="7"/>
      <c r="M38" s="7"/>
    </row>
    <row r="39" spans="1:13" ht="15" customHeight="1" x14ac:dyDescent="0.3">
      <c r="A39" s="10"/>
      <c r="B39" s="54"/>
      <c r="C39" s="50"/>
      <c r="D39" s="50"/>
      <c r="E39" s="50"/>
      <c r="F39" s="50"/>
      <c r="G39" s="49"/>
      <c r="H39" s="49"/>
      <c r="I39" s="49"/>
      <c r="J39" s="52"/>
      <c r="K39" s="55"/>
      <c r="L39" s="7"/>
      <c r="M39" s="7"/>
    </row>
    <row r="40" spans="1:13" ht="15" customHeight="1" x14ac:dyDescent="0.3">
      <c r="A40" s="10"/>
      <c r="B40" s="54"/>
      <c r="C40" s="50"/>
      <c r="D40" s="50"/>
      <c r="E40" s="50"/>
      <c r="F40" s="50"/>
      <c r="G40" s="49"/>
      <c r="H40" s="49"/>
      <c r="I40" s="49"/>
      <c r="J40" s="52"/>
      <c r="K40" s="55"/>
      <c r="L40" s="7"/>
      <c r="M40" s="7"/>
    </row>
    <row r="41" spans="1:13" ht="15" customHeight="1" x14ac:dyDescent="0.3">
      <c r="A41" s="10"/>
      <c r="B41" s="54"/>
      <c r="C41" s="50"/>
      <c r="D41" s="50"/>
      <c r="E41" s="50"/>
      <c r="F41" s="50"/>
      <c r="G41" s="380"/>
      <c r="H41" s="380"/>
      <c r="I41" s="380"/>
      <c r="J41" s="381"/>
      <c r="K41" s="2"/>
      <c r="L41" s="7"/>
      <c r="M41" s="7"/>
    </row>
    <row r="42" spans="1:13" ht="15" customHeight="1" x14ac:dyDescent="0.3">
      <c r="A42" s="10"/>
      <c r="B42" s="54"/>
      <c r="C42" s="50"/>
      <c r="D42" s="50"/>
      <c r="E42" s="50"/>
      <c r="F42" s="50"/>
      <c r="G42" s="71"/>
      <c r="H42" s="71"/>
      <c r="I42" s="71"/>
      <c r="J42" s="77"/>
      <c r="K42" s="2"/>
      <c r="L42" s="7"/>
      <c r="M42" s="7"/>
    </row>
    <row r="43" spans="1:13" ht="15" customHeight="1" x14ac:dyDescent="0.3">
      <c r="A43" s="10"/>
      <c r="B43" s="54"/>
      <c r="C43" s="50"/>
      <c r="D43" s="50"/>
      <c r="E43" s="50"/>
      <c r="F43" s="50"/>
      <c r="G43" s="71"/>
      <c r="H43" s="71"/>
      <c r="I43" s="71"/>
      <c r="J43" s="77"/>
      <c r="K43" s="2"/>
      <c r="L43" s="7"/>
      <c r="M43" s="7"/>
    </row>
    <row r="44" spans="1:13" ht="15" customHeight="1" x14ac:dyDescent="0.25">
      <c r="A44" s="10"/>
      <c r="B44" s="54"/>
      <c r="C44" s="50"/>
      <c r="D44" s="50"/>
      <c r="E44" s="50"/>
      <c r="F44" s="50"/>
      <c r="G44" s="376"/>
      <c r="H44" s="376"/>
      <c r="I44" s="376"/>
      <c r="J44" s="377"/>
      <c r="K44" s="2"/>
      <c r="L44" s="7"/>
      <c r="M44" s="7"/>
    </row>
    <row r="45" spans="1:13" ht="15" customHeight="1" x14ac:dyDescent="0.25">
      <c r="A45" s="10"/>
      <c r="B45" s="54"/>
      <c r="C45" s="50"/>
      <c r="D45" s="50"/>
      <c r="E45" s="50"/>
      <c r="F45" s="50"/>
      <c r="G45" s="376"/>
      <c r="H45" s="376"/>
      <c r="I45" s="376"/>
      <c r="J45" s="377"/>
      <c r="K45" s="2"/>
      <c r="L45" s="7"/>
      <c r="M45" s="7"/>
    </row>
    <row r="46" spans="1:13" ht="15" customHeight="1" x14ac:dyDescent="0.25">
      <c r="A46" s="10"/>
      <c r="B46" s="54"/>
      <c r="C46" s="50"/>
      <c r="D46" s="50"/>
      <c r="E46" s="50"/>
      <c r="F46" s="50"/>
      <c r="G46" s="376"/>
      <c r="H46" s="376"/>
      <c r="I46" s="376"/>
      <c r="J46" s="377"/>
      <c r="K46" s="2"/>
      <c r="L46" s="7"/>
      <c r="M46" s="7"/>
    </row>
    <row r="47" spans="1:13" ht="15" customHeight="1" x14ac:dyDescent="0.25">
      <c r="A47" s="56"/>
      <c r="B47" s="54"/>
      <c r="C47" s="50"/>
      <c r="D47" s="50"/>
      <c r="E47" s="50"/>
      <c r="F47" s="50"/>
      <c r="G47" s="376"/>
      <c r="H47" s="376"/>
      <c r="I47" s="376"/>
      <c r="J47" s="377"/>
      <c r="K47" s="57"/>
      <c r="L47" s="58"/>
      <c r="M47" s="59"/>
    </row>
    <row r="48" spans="1:13" ht="15" customHeight="1" x14ac:dyDescent="0.3">
      <c r="B48" s="54"/>
      <c r="C48" s="50"/>
      <c r="D48" s="50"/>
      <c r="E48" s="50"/>
      <c r="F48" s="50"/>
      <c r="G48" s="378"/>
      <c r="H48" s="378"/>
      <c r="I48" s="378"/>
      <c r="J48" s="379"/>
    </row>
    <row r="49" spans="2:10" ht="15" customHeight="1" x14ac:dyDescent="0.25">
      <c r="B49" s="54"/>
      <c r="C49" s="50"/>
      <c r="D49" s="50"/>
      <c r="E49" s="50"/>
      <c r="F49" s="50"/>
      <c r="G49" s="360"/>
      <c r="H49" s="360"/>
      <c r="I49" s="360"/>
      <c r="J49" s="361"/>
    </row>
    <row r="50" spans="2:10" ht="15" customHeight="1" x14ac:dyDescent="0.25">
      <c r="B50" s="54"/>
      <c r="C50" s="50"/>
      <c r="D50" s="50"/>
      <c r="E50" s="50"/>
      <c r="F50" s="50"/>
      <c r="G50" s="360"/>
      <c r="H50" s="360"/>
      <c r="I50" s="360"/>
      <c r="J50" s="361"/>
    </row>
    <row r="51" spans="2:10" ht="15" customHeight="1" x14ac:dyDescent="0.25">
      <c r="B51" s="54"/>
      <c r="C51" s="50"/>
      <c r="D51" s="50"/>
      <c r="E51" s="50"/>
      <c r="F51" s="50"/>
      <c r="G51" s="360"/>
      <c r="H51" s="360"/>
      <c r="I51" s="360"/>
      <c r="J51" s="361"/>
    </row>
    <row r="52" spans="2:10" ht="15" customHeight="1" x14ac:dyDescent="0.25">
      <c r="B52" s="54"/>
      <c r="C52" s="50"/>
      <c r="D52" s="50"/>
      <c r="E52" s="50"/>
      <c r="F52" s="50"/>
      <c r="G52" s="360"/>
      <c r="H52" s="360"/>
      <c r="I52" s="360"/>
      <c r="J52" s="361"/>
    </row>
    <row r="53" spans="2:10" ht="15" customHeight="1" x14ac:dyDescent="0.25">
      <c r="B53" s="54"/>
      <c r="C53" s="50"/>
      <c r="D53" s="50"/>
      <c r="E53" s="50"/>
      <c r="F53" s="50"/>
      <c r="G53" s="360"/>
      <c r="H53" s="360"/>
      <c r="I53" s="360"/>
      <c r="J53" s="361"/>
    </row>
    <row r="54" spans="2:10" ht="30" customHeight="1" x14ac:dyDescent="0.25">
      <c r="B54" s="362" t="s">
        <v>28</v>
      </c>
      <c r="C54" s="363"/>
      <c r="D54" s="363"/>
      <c r="E54" s="363"/>
      <c r="F54" s="363"/>
      <c r="G54" s="363"/>
      <c r="H54" s="363"/>
      <c r="I54" s="363"/>
      <c r="J54" s="364"/>
    </row>
    <row r="55" spans="2:10" ht="15" customHeight="1" x14ac:dyDescent="0.25">
      <c r="B55" s="365" t="s">
        <v>151</v>
      </c>
      <c r="C55" s="366"/>
      <c r="D55" s="366"/>
      <c r="E55" s="366"/>
      <c r="F55" s="366"/>
      <c r="G55" s="366"/>
      <c r="H55" s="366"/>
      <c r="I55" s="367">
        <f>I13+I20+I33</f>
        <v>0</v>
      </c>
      <c r="J55" s="368"/>
    </row>
  </sheetData>
  <sheetProtection algorithmName="SHA-512" hashValue="5ZM/O7hkH4adTt5s9KWmxDHszHZxsNM7bi+o/yFQJ7PN7sY7UC3pbajJisMSd+6cKeSSZ34X6nkgU0m99b9Viw==" saltValue="UMa9bIaar2uGZLVD/MEtZA==" spinCount="100000" sheet="1" objects="1" scenarios="1" selectLockedCells="1"/>
  <mergeCells count="70">
    <mergeCell ref="G49:J53"/>
    <mergeCell ref="B54:J54"/>
    <mergeCell ref="B55:H55"/>
    <mergeCell ref="I55:J55"/>
    <mergeCell ref="B33:C33"/>
    <mergeCell ref="I33:J33"/>
    <mergeCell ref="G36:J36"/>
    <mergeCell ref="G44:J47"/>
    <mergeCell ref="G48:J48"/>
    <mergeCell ref="G41:J41"/>
    <mergeCell ref="E25:F25"/>
    <mergeCell ref="I25:J25"/>
    <mergeCell ref="E32:F32"/>
    <mergeCell ref="I32:J32"/>
    <mergeCell ref="E26:F26"/>
    <mergeCell ref="I26:J26"/>
    <mergeCell ref="E27:F27"/>
    <mergeCell ref="I27:J27"/>
    <mergeCell ref="E28:F28"/>
    <mergeCell ref="I28:J28"/>
    <mergeCell ref="E29:F29"/>
    <mergeCell ref="I29:J29"/>
    <mergeCell ref="E30:F30"/>
    <mergeCell ref="I30:J30"/>
    <mergeCell ref="E31:F31"/>
    <mergeCell ref="I31:J31"/>
    <mergeCell ref="E23:F23"/>
    <mergeCell ref="I23:J23"/>
    <mergeCell ref="E24:F24"/>
    <mergeCell ref="I24:J24"/>
    <mergeCell ref="I22:J22"/>
    <mergeCell ref="E22:F22"/>
    <mergeCell ref="I17:J17"/>
    <mergeCell ref="I18:J18"/>
    <mergeCell ref="I19:J19"/>
    <mergeCell ref="B20:F20"/>
    <mergeCell ref="I20:J20"/>
    <mergeCell ref="B17:E17"/>
    <mergeCell ref="B18:E18"/>
    <mergeCell ref="B19:E19"/>
    <mergeCell ref="I16:J16"/>
    <mergeCell ref="B16:E16"/>
    <mergeCell ref="I8:J8"/>
    <mergeCell ref="B9:F9"/>
    <mergeCell ref="I9:J9"/>
    <mergeCell ref="B13:F13"/>
    <mergeCell ref="I13:J13"/>
    <mergeCell ref="I15:J15"/>
    <mergeCell ref="B15:E15"/>
    <mergeCell ref="B10:F10"/>
    <mergeCell ref="I10:J10"/>
    <mergeCell ref="B11:F11"/>
    <mergeCell ref="I11:J11"/>
    <mergeCell ref="B12:F12"/>
    <mergeCell ref="I12:J12"/>
    <mergeCell ref="B14:J14"/>
    <mergeCell ref="H1:J1"/>
    <mergeCell ref="L1:M1"/>
    <mergeCell ref="B2:J2"/>
    <mergeCell ref="B3:G3"/>
    <mergeCell ref="H3:J3"/>
    <mergeCell ref="C6:E6"/>
    <mergeCell ref="H6:J6"/>
    <mergeCell ref="B7:J7"/>
    <mergeCell ref="C4:E4"/>
    <mergeCell ref="F4:G4"/>
    <mergeCell ref="H4:J4"/>
    <mergeCell ref="C5:E5"/>
    <mergeCell ref="F5:G5"/>
    <mergeCell ref="H5:J5"/>
  </mergeCells>
  <dataValidations count="2">
    <dataValidation type="list" allowBlank="1" showInputMessage="1" showErrorMessage="1" sqref="B23:B32">
      <formula1>"Tall,Gran,Löv"</formula1>
    </dataValidation>
    <dataValidation type="list" allowBlank="1" showInputMessage="1" showErrorMessage="1" sqref="C6:E6">
      <formula1>Län</formula1>
    </dataValidation>
  </dataValidations>
  <printOptions horizontalCentered="1"/>
  <pageMargins left="0.19685039370078741" right="0.19685039370078741" top="0.19685039370078741" bottom="0.19685039370078741" header="0.31496062992125984" footer="0.31496062992125984"/>
  <pageSetup paperSize="9" scale="8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'Tabeller Värdering enstaka träd'!$A$17:$A$39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C15:D21"/>
  <sheetViews>
    <sheetView showGridLines="0" topLeftCell="A8" zoomScaleNormal="100" workbookViewId="0"/>
  </sheetViews>
  <sheetFormatPr defaultRowHeight="15" customHeight="1" x14ac:dyDescent="0.25"/>
  <cols>
    <col min="1" max="1" width="4" customWidth="1"/>
    <col min="2" max="2" width="69.42578125" customWidth="1"/>
    <col min="3" max="3" width="16.28515625" customWidth="1"/>
    <col min="4" max="4" width="39.28515625" customWidth="1"/>
    <col min="5" max="5" width="34.28515625" customWidth="1"/>
  </cols>
  <sheetData>
    <row r="15" spans="3:4" ht="15" customHeight="1" x14ac:dyDescent="0.25">
      <c r="C15" s="69" t="s">
        <v>135</v>
      </c>
      <c r="D15" s="69" t="s">
        <v>136</v>
      </c>
    </row>
    <row r="16" spans="3:4" ht="15" customHeight="1" x14ac:dyDescent="0.25">
      <c r="C16" s="62">
        <v>1</v>
      </c>
      <c r="D16" s="68" t="s">
        <v>139</v>
      </c>
    </row>
    <row r="17" spans="3:4" ht="15" customHeight="1" x14ac:dyDescent="0.25">
      <c r="C17" s="63">
        <v>2</v>
      </c>
      <c r="D17" s="68" t="s">
        <v>140</v>
      </c>
    </row>
    <row r="18" spans="3:4" ht="15" customHeight="1" x14ac:dyDescent="0.25">
      <c r="C18" s="64">
        <v>3</v>
      </c>
      <c r="D18" s="68" t="s">
        <v>141</v>
      </c>
    </row>
    <row r="19" spans="3:4" ht="30" x14ac:dyDescent="0.25">
      <c r="C19" s="65" t="s">
        <v>137</v>
      </c>
      <c r="D19" s="68" t="s">
        <v>142</v>
      </c>
    </row>
    <row r="20" spans="3:4" ht="30" x14ac:dyDescent="0.25">
      <c r="C20" s="66" t="s">
        <v>138</v>
      </c>
      <c r="D20" s="68" t="s">
        <v>143</v>
      </c>
    </row>
    <row r="21" spans="3:4" ht="15" customHeight="1" x14ac:dyDescent="0.25">
      <c r="C21" s="67">
        <v>5</v>
      </c>
      <c r="D21" s="68" t="s">
        <v>144</v>
      </c>
    </row>
  </sheetData>
  <sheetProtection password="D793" sheet="1" objects="1" scenarios="1" selectLockedCells="1"/>
  <pageMargins left="0.25" right="0.25" top="0.75" bottom="0.75" header="0.3" footer="0.3"/>
  <pageSetup paperSize="9" scale="77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S209"/>
  <sheetViews>
    <sheetView showGridLines="0" zoomScale="80" zoomScaleNormal="80" workbookViewId="0">
      <selection activeCell="L11" sqref="L11"/>
    </sheetView>
  </sheetViews>
  <sheetFormatPr defaultColWidth="17.28515625" defaultRowHeight="17.25" customHeight="1" x14ac:dyDescent="0.25"/>
  <cols>
    <col min="1" max="5" width="17.28515625" style="84"/>
    <col min="6" max="6" width="17.28515625" style="85"/>
    <col min="7" max="8" width="17.28515625" style="86"/>
    <col min="9" max="10" width="17.28515625" style="84"/>
    <col min="11" max="11" width="17.28515625" style="85"/>
    <col min="12" max="12" width="17.28515625" style="86"/>
    <col min="13" max="15" width="17.28515625" style="84"/>
    <col min="16" max="16" width="17.28515625" style="85"/>
    <col min="17" max="18" width="17.28515625" style="86"/>
    <col min="19" max="16384" width="17.28515625" style="84"/>
  </cols>
  <sheetData>
    <row r="1" spans="1:18" ht="39" customHeight="1" x14ac:dyDescent="0.25">
      <c r="A1" s="82" t="s">
        <v>134</v>
      </c>
      <c r="B1" s="83"/>
      <c r="C1" s="83"/>
    </row>
    <row r="2" spans="1:18" ht="17.25" customHeight="1" thickBot="1" x14ac:dyDescent="0.3">
      <c r="A2" s="270" t="s">
        <v>152</v>
      </c>
      <c r="E2" s="85"/>
      <c r="F2" s="86"/>
      <c r="M2" s="217"/>
    </row>
    <row r="3" spans="1:18" ht="17.25" customHeight="1" thickBot="1" x14ac:dyDescent="0.3">
      <c r="A3" s="113" t="s">
        <v>158</v>
      </c>
      <c r="B3" s="114"/>
      <c r="C3" s="263" t="s">
        <v>83</v>
      </c>
      <c r="D3" s="264" t="s">
        <v>79</v>
      </c>
      <c r="E3" s="265" t="s">
        <v>74</v>
      </c>
      <c r="F3" s="86"/>
      <c r="M3" s="218"/>
    </row>
    <row r="4" spans="1:18" ht="17.25" customHeight="1" thickBot="1" x14ac:dyDescent="0.3">
      <c r="A4" s="388" t="s">
        <v>160</v>
      </c>
      <c r="B4" s="389"/>
      <c r="C4" s="273">
        <f>VLOOKUP($E$5,$H$6:$I$11,2,FALSE)</f>
        <v>296</v>
      </c>
      <c r="D4" s="125">
        <f>VLOOKUP($E$5,$H$6:$J$11,3,FALSE)</f>
        <v>259</v>
      </c>
      <c r="E4" s="134">
        <f>VLOOKUP($E$5,$H$6:$K$11,4,FALSE)</f>
        <v>198</v>
      </c>
      <c r="F4" s="86"/>
      <c r="H4" s="271" t="s">
        <v>157</v>
      </c>
      <c r="M4" s="218"/>
    </row>
    <row r="5" spans="1:18" ht="17.25" customHeight="1" thickBot="1" x14ac:dyDescent="0.3">
      <c r="A5" s="390" t="s">
        <v>159</v>
      </c>
      <c r="B5" s="391"/>
      <c r="C5" s="252">
        <f>Värderingsbilaga!C6</f>
        <v>0</v>
      </c>
      <c r="D5" s="275" t="e">
        <f>VLOOKUP(C5,A77:H97,8)</f>
        <v>#N/A</v>
      </c>
      <c r="E5" s="274" t="str">
        <f>IF(OR(C5="Skåne",C5="Blekinge",C5="Halland"),"Område 5",IF(OR(C5="Jönköping",C5="Kronoberg",C5="Kalmar",C5="Östergötland",C5="Västra Götaland"),"Område 4B",IF(OR(C5="Värmland",C5="Örebro",C5="Västmanland",C5="Uppsala",C5="Stockholm",C5="Södermanland"),"Område 4A",IF(OR(C5="Gävleborg",C5="Dalarna"),"Område 3",IF(OR(C5="Västernorrland",C5="Jämtland"),"Område 2","Område 1")))))</f>
        <v>Område 1</v>
      </c>
      <c r="F5" s="86"/>
      <c r="H5" s="93" t="s">
        <v>156</v>
      </c>
      <c r="I5" s="87" t="s">
        <v>83</v>
      </c>
      <c r="J5" s="87" t="s">
        <v>79</v>
      </c>
      <c r="K5" s="87" t="s">
        <v>74</v>
      </c>
      <c r="L5" s="98" t="s">
        <v>155</v>
      </c>
      <c r="M5" s="218"/>
      <c r="N5" s="86"/>
      <c r="O5" s="86"/>
    </row>
    <row r="6" spans="1:18" ht="17.25" customHeight="1" thickBot="1" x14ac:dyDescent="0.3">
      <c r="D6" s="90"/>
      <c r="E6" s="89"/>
      <c r="F6" s="95"/>
      <c r="H6" s="213" t="s">
        <v>13</v>
      </c>
      <c r="I6" s="276">
        <v>296</v>
      </c>
      <c r="J6" s="277">
        <v>259</v>
      </c>
      <c r="K6" s="278">
        <v>198</v>
      </c>
      <c r="L6" s="257">
        <v>3.5</v>
      </c>
      <c r="M6" s="218"/>
    </row>
    <row r="7" spans="1:18" ht="17.25" customHeight="1" thickBot="1" x14ac:dyDescent="0.3">
      <c r="A7" s="216" t="s">
        <v>88</v>
      </c>
      <c r="B7" s="189"/>
      <c r="C7" s="190"/>
      <c r="D7" s="191"/>
      <c r="E7" s="192"/>
      <c r="F7" s="272"/>
      <c r="H7" s="214" t="s">
        <v>14</v>
      </c>
      <c r="I7" s="279">
        <v>318</v>
      </c>
      <c r="J7" s="280">
        <v>289</v>
      </c>
      <c r="K7" s="281">
        <v>205</v>
      </c>
      <c r="L7" s="258">
        <v>3.5</v>
      </c>
      <c r="M7" s="218"/>
      <c r="N7" s="93" t="s">
        <v>133</v>
      </c>
      <c r="O7" s="88"/>
    </row>
    <row r="8" spans="1:18" ht="17.25" customHeight="1" thickBot="1" x14ac:dyDescent="0.3">
      <c r="A8" s="186" t="s">
        <v>154</v>
      </c>
      <c r="B8" s="187" t="s">
        <v>39</v>
      </c>
      <c r="C8" s="187" t="s">
        <v>38</v>
      </c>
      <c r="D8" s="187" t="s">
        <v>37</v>
      </c>
      <c r="E8" s="187" t="s">
        <v>36</v>
      </c>
      <c r="F8" s="188" t="s">
        <v>35</v>
      </c>
      <c r="H8" s="214" t="s">
        <v>15</v>
      </c>
      <c r="I8" s="279">
        <v>335</v>
      </c>
      <c r="J8" s="280">
        <v>292</v>
      </c>
      <c r="K8" s="281">
        <v>197</v>
      </c>
      <c r="L8" s="259">
        <v>5</v>
      </c>
      <c r="M8" s="218"/>
      <c r="N8" s="268" t="s">
        <v>132</v>
      </c>
      <c r="O8" s="269" t="s">
        <v>131</v>
      </c>
      <c r="P8" s="95"/>
    </row>
    <row r="9" spans="1:18" ht="17.25" customHeight="1" x14ac:dyDescent="0.25">
      <c r="A9" s="193" t="s">
        <v>83</v>
      </c>
      <c r="B9" s="198" t="e">
        <f>IF(D$5="NS",B100,B101)</f>
        <v>#N/A</v>
      </c>
      <c r="C9" s="194" t="e">
        <f>IF(D$5="NS",C100,C101)</f>
        <v>#N/A</v>
      </c>
      <c r="D9" s="198" t="e">
        <f>IF(D$5="NS",D100,D101)</f>
        <v>#N/A</v>
      </c>
      <c r="E9" s="194" t="e">
        <f>IF(D$5="NS",E100,E101)</f>
        <v>#N/A</v>
      </c>
      <c r="F9" s="201" t="e">
        <f>IF(D$5="NS",F100,F101)</f>
        <v>#N/A</v>
      </c>
      <c r="H9" s="214" t="s">
        <v>130</v>
      </c>
      <c r="I9" s="279">
        <v>275</v>
      </c>
      <c r="J9" s="280">
        <v>298</v>
      </c>
      <c r="K9" s="281">
        <v>202</v>
      </c>
      <c r="L9" s="260" t="s">
        <v>129</v>
      </c>
      <c r="M9" s="217"/>
      <c r="N9" s="266" t="s">
        <v>113</v>
      </c>
      <c r="O9" s="267">
        <f>0.0001*0.1*VLOOKUP($E$5,$H$5:$K$11,3,FALSE)*VLOOKUP($E$5,'Tabeller Värdering enstaka träd'!prisrelation,4,FALSE)</f>
        <v>0.56203000000000003</v>
      </c>
      <c r="P9" s="89"/>
    </row>
    <row r="10" spans="1:18" ht="17.25" customHeight="1" x14ac:dyDescent="0.25">
      <c r="A10" s="195" t="s">
        <v>79</v>
      </c>
      <c r="B10" s="199" t="e">
        <f>IF(D$5="NS",B102,B103)</f>
        <v>#N/A</v>
      </c>
      <c r="C10" s="166" t="e">
        <f>IF(D$5="NS",C102,C103)</f>
        <v>#N/A</v>
      </c>
      <c r="D10" s="199" t="e">
        <f>IF(D$5="NS",D102,D103)</f>
        <v>#N/A</v>
      </c>
      <c r="E10" s="166" t="e">
        <f>IF(D$5="NS",E102,E103)</f>
        <v>#N/A</v>
      </c>
      <c r="F10" s="202" t="e">
        <f>IF(D$5="NS",F102,F103)</f>
        <v>#N/A</v>
      </c>
      <c r="H10" s="214" t="s">
        <v>128</v>
      </c>
      <c r="I10" s="279">
        <v>348</v>
      </c>
      <c r="J10" s="280">
        <v>418</v>
      </c>
      <c r="K10" s="281">
        <v>237</v>
      </c>
      <c r="L10" s="261">
        <v>8</v>
      </c>
      <c r="N10" s="117" t="s">
        <v>127</v>
      </c>
      <c r="O10" s="120">
        <f>0.0001*0.1*VLOOKUP($E$5,$H$5:$K$11,3,FALSE)*VLOOKUP($E$5,'Tabeller Värdering enstaka träd'!prisrelation,5,FALSE)</f>
        <v>0.66822000000000004</v>
      </c>
      <c r="P10" s="89"/>
    </row>
    <row r="11" spans="1:18" ht="17.25" customHeight="1" thickBot="1" x14ac:dyDescent="0.3">
      <c r="A11" s="196" t="s">
        <v>74</v>
      </c>
      <c r="B11" s="200" t="e">
        <f>IF(D$5="NS",B104,B105)</f>
        <v>#N/A</v>
      </c>
      <c r="C11" s="197" t="e">
        <f>IF(D$5="NS",C104,C105)</f>
        <v>#N/A</v>
      </c>
      <c r="D11" s="200" t="e">
        <f>IF(D$5="NS",D104,D105)</f>
        <v>#N/A</v>
      </c>
      <c r="E11" s="197" t="e">
        <f>IF(D$5="NS",E104,E105)</f>
        <v>#N/A</v>
      </c>
      <c r="F11" s="203" t="e">
        <f>IF(D$5="NS",F104,F105)</f>
        <v>#N/A</v>
      </c>
      <c r="H11" s="215" t="s">
        <v>18</v>
      </c>
      <c r="I11" s="282">
        <v>350</v>
      </c>
      <c r="J11" s="283">
        <v>419</v>
      </c>
      <c r="K11" s="284">
        <v>242</v>
      </c>
      <c r="L11" s="262">
        <v>8</v>
      </c>
      <c r="M11" s="91"/>
      <c r="N11" s="119" t="s">
        <v>126</v>
      </c>
      <c r="O11" s="121">
        <f>0.0001*0.1*VLOOKUP($E$5,$H$5:$K$11,3,FALSE)*VLOOKUP($E$5,'Tabeller Värdering enstaka träd'!prisrelation,6,FALSE)</f>
        <v>0.79513000000000011</v>
      </c>
      <c r="P11" s="89"/>
    </row>
    <row r="12" spans="1:18" ht="17.25" customHeight="1" thickBot="1" x14ac:dyDescent="0.35">
      <c r="A12" s="94"/>
      <c r="B12" s="97"/>
      <c r="C12" s="94"/>
      <c r="I12" s="91"/>
      <c r="J12" s="91"/>
      <c r="K12" s="96"/>
      <c r="L12" s="92"/>
      <c r="M12" s="91"/>
      <c r="N12" s="89"/>
      <c r="O12" s="95"/>
      <c r="P12" s="89"/>
    </row>
    <row r="13" spans="1:18" ht="17.25" customHeight="1" thickBot="1" x14ac:dyDescent="0.3">
      <c r="A13" s="93" t="s">
        <v>154</v>
      </c>
      <c r="B13" s="395" t="s">
        <v>125</v>
      </c>
      <c r="C13" s="396"/>
      <c r="D13" s="397" t="s">
        <v>83</v>
      </c>
      <c r="E13" s="398"/>
      <c r="F13" s="399"/>
      <c r="G13" s="382" t="s">
        <v>124</v>
      </c>
      <c r="H13" s="384"/>
      <c r="I13" s="382" t="s">
        <v>79</v>
      </c>
      <c r="J13" s="383"/>
      <c r="K13" s="384"/>
      <c r="L13" s="382" t="s">
        <v>123</v>
      </c>
      <c r="M13" s="384"/>
      <c r="N13" s="382" t="s">
        <v>74</v>
      </c>
      <c r="O13" s="383"/>
      <c r="P13" s="384"/>
      <c r="Q13" s="84"/>
      <c r="R13" s="84"/>
    </row>
    <row r="14" spans="1:18" ht="17.25" customHeight="1" x14ac:dyDescent="0.25">
      <c r="A14" s="239" t="s">
        <v>122</v>
      </c>
      <c r="B14" s="400" t="s">
        <v>121</v>
      </c>
      <c r="C14" s="401"/>
      <c r="D14" s="392" t="s">
        <v>120</v>
      </c>
      <c r="E14" s="393"/>
      <c r="F14" s="394"/>
      <c r="G14" s="400" t="s">
        <v>121</v>
      </c>
      <c r="H14" s="401"/>
      <c r="I14" s="392" t="s">
        <v>120</v>
      </c>
      <c r="J14" s="393"/>
      <c r="K14" s="394"/>
      <c r="L14" s="400" t="s">
        <v>121</v>
      </c>
      <c r="M14" s="401"/>
      <c r="N14" s="392" t="s">
        <v>120</v>
      </c>
      <c r="O14" s="393"/>
      <c r="P14" s="394"/>
      <c r="Q14" s="84"/>
      <c r="R14" s="84"/>
    </row>
    <row r="15" spans="1:18" ht="17.25" customHeight="1" thickBot="1" x14ac:dyDescent="0.3">
      <c r="A15" s="251" t="s">
        <v>153</v>
      </c>
      <c r="B15" s="252" t="s">
        <v>119</v>
      </c>
      <c r="C15" s="253" t="s">
        <v>118</v>
      </c>
      <c r="D15" s="254" t="s">
        <v>117</v>
      </c>
      <c r="E15" s="255" t="s">
        <v>116</v>
      </c>
      <c r="F15" s="256" t="s">
        <v>115</v>
      </c>
      <c r="G15" s="252" t="s">
        <v>119</v>
      </c>
      <c r="H15" s="253" t="s">
        <v>118</v>
      </c>
      <c r="I15" s="254" t="s">
        <v>117</v>
      </c>
      <c r="J15" s="255" t="s">
        <v>116</v>
      </c>
      <c r="K15" s="256" t="s">
        <v>115</v>
      </c>
      <c r="L15" s="252" t="s">
        <v>119</v>
      </c>
      <c r="M15" s="253" t="s">
        <v>118</v>
      </c>
      <c r="N15" s="254" t="s">
        <v>117</v>
      </c>
      <c r="O15" s="255" t="s">
        <v>116</v>
      </c>
      <c r="P15" s="256" t="s">
        <v>115</v>
      </c>
      <c r="Q15" s="84"/>
      <c r="R15" s="84"/>
    </row>
    <row r="16" spans="1:18" ht="17.25" customHeight="1" x14ac:dyDescent="0.3">
      <c r="A16" s="153">
        <v>4</v>
      </c>
      <c r="B16" s="246">
        <v>0</v>
      </c>
      <c r="C16" s="247">
        <f t="shared" ref="C16:C39" si="0">0.1*C$4*HLOOKUP(E$5,B$50:F$74,ROW(A16)-14)</f>
        <v>1420.8000000000002</v>
      </c>
      <c r="D16" s="248">
        <v>3.0000000000000001E-3</v>
      </c>
      <c r="E16" s="249">
        <f t="shared" ref="E16:E39" si="1">(B16+C16)*D16</f>
        <v>4.2624000000000004</v>
      </c>
      <c r="F16" s="250">
        <f t="shared" ref="F16:F39" si="2">0.7*D16*(0.1*C$4*VLOOKUP(E$5,A$42:B$47,2))/HLOOKUP(E$5,G$50:K$74,ROW(A16)-14)</f>
        <v>1.914528</v>
      </c>
      <c r="G16" s="246">
        <v>0</v>
      </c>
      <c r="H16" s="247">
        <f t="shared" ref="H16:H39" si="3">0.1*D$4*HLOOKUP(E$5,B$50:F$74,ROW(A16)-14)</f>
        <v>1243.2</v>
      </c>
      <c r="I16" s="248">
        <v>3.0000000000000001E-3</v>
      </c>
      <c r="J16" s="249">
        <f t="shared" ref="J16:J39" si="4">(H16+G16)*I16</f>
        <v>3.7296</v>
      </c>
      <c r="K16" s="250">
        <f t="shared" ref="K16:K39" si="5">0.7*I16*(0.1*D$4*VLOOKUP(E$5,A$42:B$47,2))/HLOOKUP(E$5,G$50:K$74,ROW(A16)-14)</f>
        <v>1.6752120000000001</v>
      </c>
      <c r="L16" s="246">
        <v>0</v>
      </c>
      <c r="M16" s="247">
        <f t="shared" ref="M16:M39" si="6">0.1*E$4*HLOOKUP(E$5,B$50:F$74,ROW(A16)-14)</f>
        <v>950.40000000000009</v>
      </c>
      <c r="N16" s="248">
        <v>3.0000000000000001E-3</v>
      </c>
      <c r="O16" s="249">
        <f t="shared" ref="O16:O39" si="7">(L16+M16)*N16</f>
        <v>2.8512000000000004</v>
      </c>
      <c r="P16" s="250">
        <f t="shared" ref="P16:P39" si="8">0.7*N16*(0.1*E$4*VLOOKUP(E$5,A$42:B$47,2))/HLOOKUP(E$5,G$50:K$74,ROW(A16)-14)</f>
        <v>1.280664</v>
      </c>
      <c r="Q16" s="84"/>
      <c r="R16" s="84"/>
    </row>
    <row r="17" spans="1:18" ht="17.25" customHeight="1" x14ac:dyDescent="0.3">
      <c r="A17" s="157">
        <v>6</v>
      </c>
      <c r="B17" s="135">
        <v>0</v>
      </c>
      <c r="C17" s="241">
        <f t="shared" si="0"/>
        <v>820.80800000000011</v>
      </c>
      <c r="D17" s="172" t="e">
        <f t="shared" ref="D17:D39" si="9">0.001*10^B$9*A17^C$9*(A17+20)^D$9*(9.022 -(2.80294*LN(A17)) -(1.256*A$109) + (0.70052*LN(A17)*A$109))^E$9*((9.022 -(2.80294*LN(A17)) -(1.256*A$109) + (0.70052*LN(A17)*A$109))-1.3)^F$9</f>
        <v>#N/A</v>
      </c>
      <c r="E17" s="234" t="e">
        <f t="shared" si="1"/>
        <v>#N/A</v>
      </c>
      <c r="F17" s="235" t="e">
        <f t="shared" si="2"/>
        <v>#N/A</v>
      </c>
      <c r="G17" s="135">
        <v>0</v>
      </c>
      <c r="H17" s="241">
        <f t="shared" si="3"/>
        <v>718.20700000000011</v>
      </c>
      <c r="I17" s="172" t="e">
        <f t="shared" ref="I17:I39" si="10">0.001*10^B$10*A17^C$10*(A17+20)^D$10*(9.022 -(2.80294*LN(A17)) -(1.256*B$109) + (0.70052*LN(A17)*B$109))^E$10*((9.022 -(2.80294*LN(A17)) -(1.256*B$109) + (0.70052*LN(A17)*B$109))-1.3)^F$10</f>
        <v>#N/A</v>
      </c>
      <c r="J17" s="234" t="e">
        <f t="shared" si="4"/>
        <v>#N/A</v>
      </c>
      <c r="K17" s="235" t="e">
        <f t="shared" si="5"/>
        <v>#N/A</v>
      </c>
      <c r="L17" s="135">
        <v>0</v>
      </c>
      <c r="M17" s="241">
        <f t="shared" si="6"/>
        <v>549.05399999999997</v>
      </c>
      <c r="N17" s="172" t="e">
        <f t="shared" ref="N17:N39" si="11">0.001*10^B$11*A17^C$11*(A17+20)^D$11*(9.022 -(2.80294*LN(A17)) -(1.256*C$109) + (0.70052*LN(A17)*C$109))^E$11*((9.022 -(2.80294*LN(A17)) -(1.256*C$109) + (0.70052*LN(A17)*C$109))-1.3)^F$11</f>
        <v>#N/A</v>
      </c>
      <c r="O17" s="234" t="e">
        <f t="shared" si="7"/>
        <v>#N/A</v>
      </c>
      <c r="P17" s="235" t="e">
        <f t="shared" si="8"/>
        <v>#N/A</v>
      </c>
      <c r="Q17" s="84"/>
      <c r="R17" s="84"/>
    </row>
    <row r="18" spans="1:18" ht="17.25" customHeight="1" x14ac:dyDescent="0.3">
      <c r="A18" s="157">
        <v>8</v>
      </c>
      <c r="B18" s="135">
        <v>80</v>
      </c>
      <c r="C18" s="241">
        <f t="shared" si="0"/>
        <v>296</v>
      </c>
      <c r="D18" s="172" t="e">
        <f t="shared" si="9"/>
        <v>#N/A</v>
      </c>
      <c r="E18" s="234" t="e">
        <f t="shared" si="1"/>
        <v>#N/A</v>
      </c>
      <c r="F18" s="235" t="e">
        <f t="shared" si="2"/>
        <v>#N/A</v>
      </c>
      <c r="G18" s="135">
        <v>80</v>
      </c>
      <c r="H18" s="241">
        <f t="shared" si="3"/>
        <v>259</v>
      </c>
      <c r="I18" s="172" t="e">
        <f t="shared" si="10"/>
        <v>#N/A</v>
      </c>
      <c r="J18" s="234" t="e">
        <f t="shared" si="4"/>
        <v>#N/A</v>
      </c>
      <c r="K18" s="235" t="e">
        <f t="shared" si="5"/>
        <v>#N/A</v>
      </c>
      <c r="L18" s="135">
        <v>80</v>
      </c>
      <c r="M18" s="241">
        <f t="shared" si="6"/>
        <v>198</v>
      </c>
      <c r="N18" s="172" t="e">
        <f t="shared" si="11"/>
        <v>#N/A</v>
      </c>
      <c r="O18" s="234" t="e">
        <f t="shared" si="7"/>
        <v>#N/A</v>
      </c>
      <c r="P18" s="235" t="e">
        <f t="shared" si="8"/>
        <v>#N/A</v>
      </c>
      <c r="Q18" s="84"/>
      <c r="R18" s="84"/>
    </row>
    <row r="19" spans="1:18" ht="17.25" customHeight="1" x14ac:dyDescent="0.3">
      <c r="A19" s="157">
        <v>10</v>
      </c>
      <c r="B19" s="242">
        <f t="shared" ref="B19:B39" si="12">C$4*(0.6514*LN(A19) - 1.2136)</f>
        <v>84.745963154591152</v>
      </c>
      <c r="C19" s="241">
        <f t="shared" si="0"/>
        <v>145.04000000000002</v>
      </c>
      <c r="D19" s="172" t="e">
        <f t="shared" si="9"/>
        <v>#N/A</v>
      </c>
      <c r="E19" s="234" t="e">
        <f t="shared" si="1"/>
        <v>#N/A</v>
      </c>
      <c r="F19" s="235" t="e">
        <f t="shared" si="2"/>
        <v>#N/A</v>
      </c>
      <c r="G19" s="242">
        <f t="shared" ref="G19:G39" si="13">D$4*(0.6514*LN(A19) - 1.2136)</f>
        <v>74.152717760267251</v>
      </c>
      <c r="H19" s="241">
        <f t="shared" si="3"/>
        <v>126.91000000000003</v>
      </c>
      <c r="I19" s="172" t="e">
        <f t="shared" si="10"/>
        <v>#N/A</v>
      </c>
      <c r="J19" s="234" t="e">
        <f t="shared" si="4"/>
        <v>#N/A</v>
      </c>
      <c r="K19" s="235" t="e">
        <f t="shared" si="5"/>
        <v>#N/A</v>
      </c>
      <c r="L19" s="242">
        <f t="shared" ref="L19:L39" si="14">E$4*(0.6514*LN(A19) - 1.2136)</f>
        <v>56.688178056111646</v>
      </c>
      <c r="M19" s="241">
        <f t="shared" si="6"/>
        <v>97.02000000000001</v>
      </c>
      <c r="N19" s="172" t="e">
        <f t="shared" si="11"/>
        <v>#N/A</v>
      </c>
      <c r="O19" s="234" t="e">
        <f t="shared" si="7"/>
        <v>#N/A</v>
      </c>
      <c r="P19" s="235" t="e">
        <f t="shared" si="8"/>
        <v>#N/A</v>
      </c>
      <c r="Q19" s="84"/>
      <c r="R19" s="84"/>
    </row>
    <row r="20" spans="1:18" ht="17.25" customHeight="1" x14ac:dyDescent="0.3">
      <c r="A20" s="157">
        <v>12</v>
      </c>
      <c r="B20" s="242">
        <f t="shared" si="12"/>
        <v>119.90018473488342</v>
      </c>
      <c r="C20" s="241">
        <f t="shared" si="0"/>
        <v>105.08</v>
      </c>
      <c r="D20" s="172" t="e">
        <f t="shared" si="9"/>
        <v>#N/A</v>
      </c>
      <c r="E20" s="234" t="e">
        <f t="shared" si="1"/>
        <v>#N/A</v>
      </c>
      <c r="F20" s="235" t="e">
        <f t="shared" si="2"/>
        <v>#N/A</v>
      </c>
      <c r="G20" s="242">
        <f t="shared" si="13"/>
        <v>104.91266164302299</v>
      </c>
      <c r="H20" s="241">
        <f t="shared" si="3"/>
        <v>91.945000000000007</v>
      </c>
      <c r="I20" s="172" t="e">
        <f t="shared" si="10"/>
        <v>#N/A</v>
      </c>
      <c r="J20" s="234" t="e">
        <f t="shared" si="4"/>
        <v>#N/A</v>
      </c>
      <c r="K20" s="235" t="e">
        <f t="shared" si="5"/>
        <v>#N/A</v>
      </c>
      <c r="L20" s="242">
        <f t="shared" si="14"/>
        <v>80.203501951036884</v>
      </c>
      <c r="M20" s="241">
        <f t="shared" si="6"/>
        <v>70.289999999999992</v>
      </c>
      <c r="N20" s="172" t="e">
        <f t="shared" si="11"/>
        <v>#N/A</v>
      </c>
      <c r="O20" s="234" t="e">
        <f t="shared" si="7"/>
        <v>#N/A</v>
      </c>
      <c r="P20" s="235" t="e">
        <f t="shared" si="8"/>
        <v>#N/A</v>
      </c>
      <c r="Q20" s="84"/>
      <c r="R20" s="84"/>
    </row>
    <row r="21" spans="1:18" ht="17.25" customHeight="1" x14ac:dyDescent="0.3">
      <c r="A21" s="157">
        <v>14</v>
      </c>
      <c r="B21" s="242">
        <f t="shared" si="12"/>
        <v>149.62265557536824</v>
      </c>
      <c r="C21" s="241">
        <f t="shared" si="0"/>
        <v>68.376000000000005</v>
      </c>
      <c r="D21" s="172" t="e">
        <f t="shared" si="9"/>
        <v>#N/A</v>
      </c>
      <c r="E21" s="234" t="e">
        <f t="shared" si="1"/>
        <v>#N/A</v>
      </c>
      <c r="F21" s="235" t="e">
        <f t="shared" si="2"/>
        <v>#N/A</v>
      </c>
      <c r="G21" s="242">
        <f t="shared" si="13"/>
        <v>130.9198236284472</v>
      </c>
      <c r="H21" s="241">
        <f t="shared" si="3"/>
        <v>59.829000000000008</v>
      </c>
      <c r="I21" s="172" t="e">
        <f t="shared" si="10"/>
        <v>#N/A</v>
      </c>
      <c r="J21" s="234" t="e">
        <f t="shared" si="4"/>
        <v>#N/A</v>
      </c>
      <c r="K21" s="235" t="e">
        <f t="shared" si="5"/>
        <v>#N/A</v>
      </c>
      <c r="L21" s="242">
        <f t="shared" si="14"/>
        <v>100.08542501325307</v>
      </c>
      <c r="M21" s="241">
        <f t="shared" si="6"/>
        <v>45.738</v>
      </c>
      <c r="N21" s="172" t="e">
        <f t="shared" si="11"/>
        <v>#N/A</v>
      </c>
      <c r="O21" s="234" t="e">
        <f t="shared" si="7"/>
        <v>#N/A</v>
      </c>
      <c r="P21" s="235" t="e">
        <f t="shared" si="8"/>
        <v>#N/A</v>
      </c>
      <c r="Q21" s="84"/>
      <c r="R21" s="84"/>
    </row>
    <row r="22" spans="1:18" ht="17.25" customHeight="1" x14ac:dyDescent="0.3">
      <c r="A22" s="157">
        <v>16</v>
      </c>
      <c r="B22" s="242">
        <f t="shared" si="12"/>
        <v>175.36943092543001</v>
      </c>
      <c r="C22" s="241">
        <f t="shared" si="0"/>
        <v>40.552000000000007</v>
      </c>
      <c r="D22" s="172" t="e">
        <f t="shared" si="9"/>
        <v>#N/A</v>
      </c>
      <c r="E22" s="234" t="e">
        <f t="shared" si="1"/>
        <v>#N/A</v>
      </c>
      <c r="F22" s="235" t="e">
        <f t="shared" si="2"/>
        <v>#N/A</v>
      </c>
      <c r="G22" s="242">
        <f t="shared" si="13"/>
        <v>153.44825205975127</v>
      </c>
      <c r="H22" s="241">
        <f t="shared" si="3"/>
        <v>35.483000000000004</v>
      </c>
      <c r="I22" s="172" t="e">
        <f t="shared" si="10"/>
        <v>#N/A</v>
      </c>
      <c r="J22" s="234" t="e">
        <f t="shared" si="4"/>
        <v>#N/A</v>
      </c>
      <c r="K22" s="235" t="e">
        <f t="shared" si="5"/>
        <v>#N/A</v>
      </c>
      <c r="L22" s="242">
        <f t="shared" si="14"/>
        <v>117.30793014606466</v>
      </c>
      <c r="M22" s="241">
        <f t="shared" si="6"/>
        <v>27.126000000000005</v>
      </c>
      <c r="N22" s="172" t="e">
        <f t="shared" si="11"/>
        <v>#N/A</v>
      </c>
      <c r="O22" s="234" t="e">
        <f t="shared" si="7"/>
        <v>#N/A</v>
      </c>
      <c r="P22" s="235" t="e">
        <f t="shared" si="8"/>
        <v>#N/A</v>
      </c>
      <c r="Q22" s="84"/>
      <c r="R22" s="84"/>
    </row>
    <row r="23" spans="1:18" ht="17.25" customHeight="1" x14ac:dyDescent="0.3">
      <c r="A23" s="157">
        <v>18</v>
      </c>
      <c r="B23" s="242">
        <f t="shared" si="12"/>
        <v>198.07969627569418</v>
      </c>
      <c r="C23" s="241">
        <f t="shared" si="0"/>
        <v>27.823999999999998</v>
      </c>
      <c r="D23" s="172" t="e">
        <f t="shared" si="9"/>
        <v>#N/A</v>
      </c>
      <c r="E23" s="234" t="e">
        <f t="shared" si="1"/>
        <v>#N/A</v>
      </c>
      <c r="F23" s="235" t="e">
        <f t="shared" si="2"/>
        <v>#N/A</v>
      </c>
      <c r="G23" s="242">
        <f t="shared" si="13"/>
        <v>173.31973424123242</v>
      </c>
      <c r="H23" s="241">
        <f t="shared" si="3"/>
        <v>24.346</v>
      </c>
      <c r="I23" s="172" t="e">
        <f t="shared" si="10"/>
        <v>#N/A</v>
      </c>
      <c r="J23" s="234" t="e">
        <f t="shared" si="4"/>
        <v>#N/A</v>
      </c>
      <c r="K23" s="235" t="e">
        <f t="shared" si="5"/>
        <v>#N/A</v>
      </c>
      <c r="L23" s="242">
        <f t="shared" si="14"/>
        <v>132.49925629252516</v>
      </c>
      <c r="M23" s="241">
        <f t="shared" si="6"/>
        <v>18.611999999999998</v>
      </c>
      <c r="N23" s="172" t="e">
        <f t="shared" si="11"/>
        <v>#N/A</v>
      </c>
      <c r="O23" s="234" t="e">
        <f t="shared" si="7"/>
        <v>#N/A</v>
      </c>
      <c r="P23" s="235" t="e">
        <f t="shared" si="8"/>
        <v>#N/A</v>
      </c>
      <c r="Q23" s="84"/>
      <c r="R23" s="84"/>
    </row>
    <row r="24" spans="1:18" ht="17.25" customHeight="1" x14ac:dyDescent="0.3">
      <c r="A24" s="157">
        <v>20</v>
      </c>
      <c r="B24" s="242">
        <f t="shared" si="12"/>
        <v>218.39472088594857</v>
      </c>
      <c r="C24" s="241">
        <f t="shared" si="0"/>
        <v>18.944000000000003</v>
      </c>
      <c r="D24" s="172" t="e">
        <f t="shared" si="9"/>
        <v>#N/A</v>
      </c>
      <c r="E24" s="234" t="e">
        <f t="shared" si="1"/>
        <v>#N/A</v>
      </c>
      <c r="F24" s="235" t="e">
        <f t="shared" si="2"/>
        <v>#N/A</v>
      </c>
      <c r="G24" s="242">
        <f t="shared" si="13"/>
        <v>191.095380775205</v>
      </c>
      <c r="H24" s="241">
        <f t="shared" si="3"/>
        <v>16.576000000000001</v>
      </c>
      <c r="I24" s="172" t="e">
        <f t="shared" si="10"/>
        <v>#N/A</v>
      </c>
      <c r="J24" s="234" t="e">
        <f t="shared" si="4"/>
        <v>#N/A</v>
      </c>
      <c r="K24" s="235" t="e">
        <f t="shared" si="5"/>
        <v>#N/A</v>
      </c>
      <c r="L24" s="242">
        <f t="shared" si="14"/>
        <v>146.08836059262777</v>
      </c>
      <c r="M24" s="241">
        <f t="shared" si="6"/>
        <v>12.672000000000001</v>
      </c>
      <c r="N24" s="172" t="e">
        <f t="shared" si="11"/>
        <v>#N/A</v>
      </c>
      <c r="O24" s="234" t="e">
        <f t="shared" si="7"/>
        <v>#N/A</v>
      </c>
      <c r="P24" s="235" t="e">
        <f t="shared" si="8"/>
        <v>#N/A</v>
      </c>
      <c r="Q24" s="84"/>
      <c r="R24" s="84"/>
    </row>
    <row r="25" spans="1:18" ht="17.25" customHeight="1" x14ac:dyDescent="0.3">
      <c r="A25" s="157">
        <v>22</v>
      </c>
      <c r="B25" s="242">
        <f t="shared" si="12"/>
        <v>236.77189601881173</v>
      </c>
      <c r="C25" s="241">
        <f t="shared" si="0"/>
        <v>11.544</v>
      </c>
      <c r="D25" s="172" t="e">
        <f t="shared" si="9"/>
        <v>#N/A</v>
      </c>
      <c r="E25" s="234" t="e">
        <f t="shared" si="1"/>
        <v>#N/A</v>
      </c>
      <c r="F25" s="235" t="e">
        <f t="shared" si="2"/>
        <v>#N/A</v>
      </c>
      <c r="G25" s="242">
        <f t="shared" si="13"/>
        <v>207.17540901646026</v>
      </c>
      <c r="H25" s="241">
        <f t="shared" si="3"/>
        <v>10.101000000000001</v>
      </c>
      <c r="I25" s="172" t="e">
        <f t="shared" si="10"/>
        <v>#N/A</v>
      </c>
      <c r="J25" s="234" t="e">
        <f t="shared" si="4"/>
        <v>#N/A</v>
      </c>
      <c r="K25" s="235" t="e">
        <f t="shared" si="5"/>
        <v>#N/A</v>
      </c>
      <c r="L25" s="242">
        <f t="shared" si="14"/>
        <v>158.38120071528621</v>
      </c>
      <c r="M25" s="241">
        <f t="shared" si="6"/>
        <v>7.7220000000000004</v>
      </c>
      <c r="N25" s="172" t="e">
        <f t="shared" si="11"/>
        <v>#N/A</v>
      </c>
      <c r="O25" s="234" t="e">
        <f t="shared" si="7"/>
        <v>#N/A</v>
      </c>
      <c r="P25" s="235" t="e">
        <f t="shared" si="8"/>
        <v>#N/A</v>
      </c>
      <c r="Q25" s="84"/>
      <c r="R25" s="84"/>
    </row>
    <row r="26" spans="1:18" ht="17.25" customHeight="1" x14ac:dyDescent="0.3">
      <c r="A26" s="157">
        <v>24</v>
      </c>
      <c r="B26" s="242">
        <f t="shared" si="12"/>
        <v>253.5489424662409</v>
      </c>
      <c r="C26" s="241">
        <f t="shared" si="0"/>
        <v>7.6960000000000006</v>
      </c>
      <c r="D26" s="172" t="e">
        <f t="shared" si="9"/>
        <v>#N/A</v>
      </c>
      <c r="E26" s="234" t="e">
        <f t="shared" si="1"/>
        <v>#N/A</v>
      </c>
      <c r="F26" s="235" t="e">
        <f t="shared" si="2"/>
        <v>#N/A</v>
      </c>
      <c r="G26" s="242">
        <f t="shared" si="13"/>
        <v>221.85532465796078</v>
      </c>
      <c r="H26" s="241">
        <f t="shared" si="3"/>
        <v>6.7340000000000009</v>
      </c>
      <c r="I26" s="172" t="e">
        <f t="shared" si="10"/>
        <v>#N/A</v>
      </c>
      <c r="J26" s="234" t="e">
        <f t="shared" si="4"/>
        <v>#N/A</v>
      </c>
      <c r="K26" s="235" t="e">
        <f t="shared" si="5"/>
        <v>#N/A</v>
      </c>
      <c r="L26" s="242">
        <f t="shared" si="14"/>
        <v>169.60368448755304</v>
      </c>
      <c r="M26" s="241">
        <f t="shared" si="6"/>
        <v>5.1480000000000006</v>
      </c>
      <c r="N26" s="172" t="e">
        <f t="shared" si="11"/>
        <v>#N/A</v>
      </c>
      <c r="O26" s="234" t="e">
        <f t="shared" si="7"/>
        <v>#N/A</v>
      </c>
      <c r="P26" s="235" t="e">
        <f t="shared" si="8"/>
        <v>#N/A</v>
      </c>
      <c r="Q26" s="84"/>
      <c r="R26" s="84"/>
    </row>
    <row r="27" spans="1:18" ht="17.25" customHeight="1" x14ac:dyDescent="0.3">
      <c r="A27" s="157">
        <v>26</v>
      </c>
      <c r="B27" s="242">
        <f t="shared" si="12"/>
        <v>268.98232912068931</v>
      </c>
      <c r="C27" s="241">
        <f t="shared" si="0"/>
        <v>7.6960000000000006</v>
      </c>
      <c r="D27" s="172" t="e">
        <f t="shared" si="9"/>
        <v>#N/A</v>
      </c>
      <c r="E27" s="234" t="e">
        <f t="shared" si="1"/>
        <v>#N/A</v>
      </c>
      <c r="F27" s="235" t="e">
        <f t="shared" si="2"/>
        <v>#N/A</v>
      </c>
      <c r="G27" s="242">
        <f t="shared" si="13"/>
        <v>235.35953798060314</v>
      </c>
      <c r="H27" s="241">
        <f t="shared" si="3"/>
        <v>6.7340000000000009</v>
      </c>
      <c r="I27" s="172" t="e">
        <f t="shared" si="10"/>
        <v>#N/A</v>
      </c>
      <c r="J27" s="234" t="e">
        <f t="shared" si="4"/>
        <v>#N/A</v>
      </c>
      <c r="K27" s="235" t="e">
        <f t="shared" si="5"/>
        <v>#N/A</v>
      </c>
      <c r="L27" s="242">
        <f t="shared" si="14"/>
        <v>179.92736880370433</v>
      </c>
      <c r="M27" s="241">
        <f t="shared" si="6"/>
        <v>5.1480000000000006</v>
      </c>
      <c r="N27" s="172" t="e">
        <f t="shared" si="11"/>
        <v>#N/A</v>
      </c>
      <c r="O27" s="234" t="e">
        <f t="shared" si="7"/>
        <v>#N/A</v>
      </c>
      <c r="P27" s="235" t="e">
        <f t="shared" si="8"/>
        <v>#N/A</v>
      </c>
      <c r="Q27" s="84"/>
      <c r="R27" s="84"/>
    </row>
    <row r="28" spans="1:18" ht="17.25" customHeight="1" x14ac:dyDescent="0.3">
      <c r="A28" s="157">
        <v>28</v>
      </c>
      <c r="B28" s="242">
        <f t="shared" si="12"/>
        <v>283.27141330672583</v>
      </c>
      <c r="C28" s="241">
        <f t="shared" si="0"/>
        <v>7.6960000000000006</v>
      </c>
      <c r="D28" s="172" t="e">
        <f t="shared" si="9"/>
        <v>#N/A</v>
      </c>
      <c r="E28" s="234" t="e">
        <f t="shared" si="1"/>
        <v>#N/A</v>
      </c>
      <c r="F28" s="235" t="e">
        <f t="shared" si="2"/>
        <v>#N/A</v>
      </c>
      <c r="G28" s="242">
        <f t="shared" si="13"/>
        <v>247.86248664338513</v>
      </c>
      <c r="H28" s="241">
        <f t="shared" si="3"/>
        <v>6.7340000000000009</v>
      </c>
      <c r="I28" s="172" t="e">
        <f t="shared" si="10"/>
        <v>#N/A</v>
      </c>
      <c r="J28" s="234" t="e">
        <f t="shared" si="4"/>
        <v>#N/A</v>
      </c>
      <c r="K28" s="235" t="e">
        <f t="shared" si="5"/>
        <v>#N/A</v>
      </c>
      <c r="L28" s="242">
        <f t="shared" si="14"/>
        <v>189.48560754976933</v>
      </c>
      <c r="M28" s="241">
        <f t="shared" si="6"/>
        <v>5.1480000000000006</v>
      </c>
      <c r="N28" s="172" t="e">
        <f t="shared" si="11"/>
        <v>#N/A</v>
      </c>
      <c r="O28" s="234" t="e">
        <f t="shared" si="7"/>
        <v>#N/A</v>
      </c>
      <c r="P28" s="235" t="e">
        <f t="shared" si="8"/>
        <v>#N/A</v>
      </c>
      <c r="Q28" s="84"/>
      <c r="R28" s="84"/>
    </row>
    <row r="29" spans="1:18" ht="17.25" customHeight="1" x14ac:dyDescent="0.3">
      <c r="A29" s="157">
        <v>30</v>
      </c>
      <c r="B29" s="242">
        <f t="shared" si="12"/>
        <v>296.57423242675952</v>
      </c>
      <c r="C29" s="241">
        <f t="shared" si="0"/>
        <v>7.6960000000000006</v>
      </c>
      <c r="D29" s="172" t="e">
        <f t="shared" si="9"/>
        <v>#N/A</v>
      </c>
      <c r="E29" s="234" t="e">
        <f t="shared" si="1"/>
        <v>#N/A</v>
      </c>
      <c r="F29" s="235" t="e">
        <f t="shared" si="2"/>
        <v>#N/A</v>
      </c>
      <c r="G29" s="242">
        <f t="shared" si="13"/>
        <v>259.5024533734146</v>
      </c>
      <c r="H29" s="241">
        <f t="shared" si="3"/>
        <v>6.7340000000000009</v>
      </c>
      <c r="I29" s="172" t="e">
        <f t="shared" si="10"/>
        <v>#N/A</v>
      </c>
      <c r="J29" s="234" t="e">
        <f t="shared" si="4"/>
        <v>#N/A</v>
      </c>
      <c r="K29" s="235" t="e">
        <f t="shared" si="5"/>
        <v>#N/A</v>
      </c>
      <c r="L29" s="242">
        <f t="shared" si="14"/>
        <v>198.38411493411618</v>
      </c>
      <c r="M29" s="241">
        <f t="shared" si="6"/>
        <v>5.1480000000000006</v>
      </c>
      <c r="N29" s="172" t="e">
        <f t="shared" si="11"/>
        <v>#N/A</v>
      </c>
      <c r="O29" s="234" t="e">
        <f t="shared" si="7"/>
        <v>#N/A</v>
      </c>
      <c r="P29" s="235" t="e">
        <f t="shared" si="8"/>
        <v>#N/A</v>
      </c>
      <c r="Q29" s="84"/>
      <c r="R29" s="84"/>
    </row>
    <row r="30" spans="1:18" ht="17.25" customHeight="1" x14ac:dyDescent="0.3">
      <c r="A30" s="157">
        <v>32</v>
      </c>
      <c r="B30" s="242">
        <f t="shared" si="12"/>
        <v>309.01818865678763</v>
      </c>
      <c r="C30" s="241">
        <f t="shared" si="0"/>
        <v>7.6960000000000006</v>
      </c>
      <c r="D30" s="172" t="e">
        <f t="shared" si="9"/>
        <v>#N/A</v>
      </c>
      <c r="E30" s="234" t="e">
        <f t="shared" si="1"/>
        <v>#N/A</v>
      </c>
      <c r="F30" s="235" t="e">
        <f t="shared" si="2"/>
        <v>#N/A</v>
      </c>
      <c r="G30" s="242">
        <f t="shared" si="13"/>
        <v>270.39091507468919</v>
      </c>
      <c r="H30" s="241">
        <f t="shared" si="3"/>
        <v>6.7340000000000009</v>
      </c>
      <c r="I30" s="172" t="e">
        <f t="shared" si="10"/>
        <v>#N/A</v>
      </c>
      <c r="J30" s="234" t="e">
        <f t="shared" si="4"/>
        <v>#N/A</v>
      </c>
      <c r="K30" s="235" t="e">
        <f t="shared" si="5"/>
        <v>#N/A</v>
      </c>
      <c r="L30" s="242">
        <f t="shared" si="14"/>
        <v>206.70811268258092</v>
      </c>
      <c r="M30" s="241">
        <f t="shared" si="6"/>
        <v>5.1480000000000006</v>
      </c>
      <c r="N30" s="172" t="e">
        <f t="shared" si="11"/>
        <v>#N/A</v>
      </c>
      <c r="O30" s="234" t="e">
        <f t="shared" si="7"/>
        <v>#N/A</v>
      </c>
      <c r="P30" s="235" t="e">
        <f t="shared" si="8"/>
        <v>#N/A</v>
      </c>
      <c r="Q30" s="84"/>
      <c r="R30" s="84"/>
    </row>
    <row r="31" spans="1:18" ht="17.25" customHeight="1" x14ac:dyDescent="0.3">
      <c r="A31" s="157">
        <v>34</v>
      </c>
      <c r="B31" s="242">
        <f t="shared" si="12"/>
        <v>320.70748873755031</v>
      </c>
      <c r="C31" s="241">
        <f t="shared" si="0"/>
        <v>7.6960000000000006</v>
      </c>
      <c r="D31" s="172" t="e">
        <f t="shared" si="9"/>
        <v>#N/A</v>
      </c>
      <c r="E31" s="234" t="e">
        <f t="shared" si="1"/>
        <v>#N/A</v>
      </c>
      <c r="F31" s="235" t="e">
        <f t="shared" si="2"/>
        <v>#N/A</v>
      </c>
      <c r="G31" s="242">
        <f t="shared" si="13"/>
        <v>280.61905264535653</v>
      </c>
      <c r="H31" s="241">
        <f t="shared" si="3"/>
        <v>6.7340000000000009</v>
      </c>
      <c r="I31" s="172" t="e">
        <f t="shared" si="10"/>
        <v>#N/A</v>
      </c>
      <c r="J31" s="234" t="e">
        <f t="shared" si="4"/>
        <v>#N/A</v>
      </c>
      <c r="K31" s="235" t="e">
        <f t="shared" si="5"/>
        <v>#N/A</v>
      </c>
      <c r="L31" s="242">
        <f t="shared" si="14"/>
        <v>214.52730665552355</v>
      </c>
      <c r="M31" s="241">
        <f t="shared" si="6"/>
        <v>5.1480000000000006</v>
      </c>
      <c r="N31" s="172" t="e">
        <f t="shared" si="11"/>
        <v>#N/A</v>
      </c>
      <c r="O31" s="234" t="e">
        <f t="shared" si="7"/>
        <v>#N/A</v>
      </c>
      <c r="P31" s="235" t="e">
        <f t="shared" si="8"/>
        <v>#N/A</v>
      </c>
      <c r="Q31" s="84"/>
      <c r="R31" s="84"/>
    </row>
    <row r="32" spans="1:18" ht="17.25" customHeight="1" x14ac:dyDescent="0.3">
      <c r="A32" s="157">
        <v>36</v>
      </c>
      <c r="B32" s="242">
        <f t="shared" si="12"/>
        <v>331.72845400705171</v>
      </c>
      <c r="C32" s="241">
        <f t="shared" si="0"/>
        <v>7.6960000000000006</v>
      </c>
      <c r="D32" s="172" t="e">
        <f t="shared" si="9"/>
        <v>#N/A</v>
      </c>
      <c r="E32" s="234" t="e">
        <f t="shared" si="1"/>
        <v>#N/A</v>
      </c>
      <c r="F32" s="235" t="e">
        <f t="shared" si="2"/>
        <v>#N/A</v>
      </c>
      <c r="G32" s="242">
        <f t="shared" si="13"/>
        <v>290.26239725617029</v>
      </c>
      <c r="H32" s="241">
        <f t="shared" si="3"/>
        <v>6.7340000000000009</v>
      </c>
      <c r="I32" s="172" t="e">
        <f t="shared" si="10"/>
        <v>#N/A</v>
      </c>
      <c r="J32" s="234" t="e">
        <f t="shared" si="4"/>
        <v>#N/A</v>
      </c>
      <c r="K32" s="235" t="e">
        <f t="shared" si="5"/>
        <v>#N/A</v>
      </c>
      <c r="L32" s="242">
        <f t="shared" si="14"/>
        <v>221.89943882904137</v>
      </c>
      <c r="M32" s="241">
        <f t="shared" si="6"/>
        <v>5.1480000000000006</v>
      </c>
      <c r="N32" s="172" t="e">
        <f t="shared" si="11"/>
        <v>#N/A</v>
      </c>
      <c r="O32" s="234" t="e">
        <f t="shared" si="7"/>
        <v>#N/A</v>
      </c>
      <c r="P32" s="235" t="e">
        <f t="shared" si="8"/>
        <v>#N/A</v>
      </c>
      <c r="Q32" s="84"/>
      <c r="R32" s="84"/>
    </row>
    <row r="33" spans="1:19" ht="17.25" customHeight="1" x14ac:dyDescent="0.3">
      <c r="A33" s="157">
        <v>38</v>
      </c>
      <c r="B33" s="242">
        <f t="shared" si="12"/>
        <v>342.15339283594722</v>
      </c>
      <c r="C33" s="241">
        <f t="shared" si="0"/>
        <v>7.6960000000000006</v>
      </c>
      <c r="D33" s="172" t="e">
        <f t="shared" si="9"/>
        <v>#N/A</v>
      </c>
      <c r="E33" s="234" t="e">
        <f t="shared" si="1"/>
        <v>#N/A</v>
      </c>
      <c r="F33" s="235" t="e">
        <f t="shared" si="2"/>
        <v>#N/A</v>
      </c>
      <c r="G33" s="242">
        <f t="shared" si="13"/>
        <v>299.38421873145381</v>
      </c>
      <c r="H33" s="241">
        <f t="shared" si="3"/>
        <v>6.7340000000000009</v>
      </c>
      <c r="I33" s="172" t="e">
        <f t="shared" si="10"/>
        <v>#N/A</v>
      </c>
      <c r="J33" s="234" t="e">
        <f t="shared" si="4"/>
        <v>#N/A</v>
      </c>
      <c r="K33" s="235" t="e">
        <f t="shared" si="5"/>
        <v>#N/A</v>
      </c>
      <c r="L33" s="242">
        <f t="shared" si="14"/>
        <v>228.87287764026198</v>
      </c>
      <c r="M33" s="241">
        <f t="shared" si="6"/>
        <v>5.1480000000000006</v>
      </c>
      <c r="N33" s="172" t="e">
        <f t="shared" si="11"/>
        <v>#N/A</v>
      </c>
      <c r="O33" s="234" t="e">
        <f t="shared" si="7"/>
        <v>#N/A</v>
      </c>
      <c r="P33" s="235" t="e">
        <f t="shared" si="8"/>
        <v>#N/A</v>
      </c>
      <c r="Q33" s="84"/>
      <c r="R33" s="84"/>
    </row>
    <row r="34" spans="1:19" ht="17.25" customHeight="1" x14ac:dyDescent="0.3">
      <c r="A34" s="157">
        <v>40</v>
      </c>
      <c r="B34" s="242">
        <f t="shared" si="12"/>
        <v>352.04347861730611</v>
      </c>
      <c r="C34" s="241">
        <f t="shared" si="0"/>
        <v>7.6960000000000006</v>
      </c>
      <c r="D34" s="172" t="e">
        <f t="shared" si="9"/>
        <v>#N/A</v>
      </c>
      <c r="E34" s="234" t="e">
        <f t="shared" si="1"/>
        <v>#N/A</v>
      </c>
      <c r="F34" s="235" t="e">
        <f t="shared" si="2"/>
        <v>#N/A</v>
      </c>
      <c r="G34" s="242">
        <f t="shared" si="13"/>
        <v>308.03804379014286</v>
      </c>
      <c r="H34" s="241">
        <f t="shared" si="3"/>
        <v>6.7340000000000009</v>
      </c>
      <c r="I34" s="172" t="e">
        <f t="shared" si="10"/>
        <v>#N/A</v>
      </c>
      <c r="J34" s="234" t="e">
        <f t="shared" si="4"/>
        <v>#N/A</v>
      </c>
      <c r="K34" s="235" t="e">
        <f t="shared" si="5"/>
        <v>#N/A</v>
      </c>
      <c r="L34" s="242">
        <f t="shared" si="14"/>
        <v>235.48854312914395</v>
      </c>
      <c r="M34" s="241">
        <f t="shared" si="6"/>
        <v>5.1480000000000006</v>
      </c>
      <c r="N34" s="172" t="e">
        <f t="shared" si="11"/>
        <v>#N/A</v>
      </c>
      <c r="O34" s="234" t="e">
        <f t="shared" si="7"/>
        <v>#N/A</v>
      </c>
      <c r="P34" s="235" t="e">
        <f t="shared" si="8"/>
        <v>#N/A</v>
      </c>
      <c r="Q34" s="84"/>
      <c r="R34" s="84"/>
    </row>
    <row r="35" spans="1:19" ht="17.25" customHeight="1" x14ac:dyDescent="0.3">
      <c r="A35" s="157">
        <v>42</v>
      </c>
      <c r="B35" s="242">
        <f t="shared" si="12"/>
        <v>361.45092484753667</v>
      </c>
      <c r="C35" s="241">
        <f t="shared" si="0"/>
        <v>7.6960000000000006</v>
      </c>
      <c r="D35" s="172" t="e">
        <f t="shared" si="9"/>
        <v>#N/A</v>
      </c>
      <c r="E35" s="234" t="e">
        <f t="shared" si="1"/>
        <v>#N/A</v>
      </c>
      <c r="F35" s="235" t="e">
        <f t="shared" si="2"/>
        <v>#N/A</v>
      </c>
      <c r="G35" s="242">
        <f t="shared" si="13"/>
        <v>316.26955924159461</v>
      </c>
      <c r="H35" s="241">
        <f t="shared" si="3"/>
        <v>6.7340000000000009</v>
      </c>
      <c r="I35" s="172" t="e">
        <f t="shared" si="10"/>
        <v>#N/A</v>
      </c>
      <c r="J35" s="234" t="e">
        <f t="shared" si="4"/>
        <v>#N/A</v>
      </c>
      <c r="K35" s="235" t="e">
        <f t="shared" si="5"/>
        <v>#N/A</v>
      </c>
      <c r="L35" s="242">
        <f t="shared" si="14"/>
        <v>241.78136189125766</v>
      </c>
      <c r="M35" s="241">
        <f t="shared" si="6"/>
        <v>5.1480000000000006</v>
      </c>
      <c r="N35" s="172" t="e">
        <f t="shared" si="11"/>
        <v>#N/A</v>
      </c>
      <c r="O35" s="234" t="e">
        <f t="shared" si="7"/>
        <v>#N/A</v>
      </c>
      <c r="P35" s="235" t="e">
        <f t="shared" si="8"/>
        <v>#N/A</v>
      </c>
      <c r="Q35" s="84"/>
      <c r="R35" s="84"/>
    </row>
    <row r="36" spans="1:19" ht="17.25" customHeight="1" x14ac:dyDescent="0.3">
      <c r="A36" s="157">
        <v>44</v>
      </c>
      <c r="B36" s="242">
        <f t="shared" si="12"/>
        <v>370.42065375016915</v>
      </c>
      <c r="C36" s="241">
        <f t="shared" si="0"/>
        <v>7.6960000000000006</v>
      </c>
      <c r="D36" s="172" t="e">
        <f t="shared" si="9"/>
        <v>#N/A</v>
      </c>
      <c r="E36" s="234" t="e">
        <f t="shared" si="1"/>
        <v>#N/A</v>
      </c>
      <c r="F36" s="235" t="e">
        <f t="shared" si="2"/>
        <v>#N/A</v>
      </c>
      <c r="G36" s="242">
        <f t="shared" si="13"/>
        <v>324.11807203139801</v>
      </c>
      <c r="H36" s="241">
        <f t="shared" si="3"/>
        <v>6.7340000000000009</v>
      </c>
      <c r="I36" s="172" t="e">
        <f t="shared" si="10"/>
        <v>#N/A</v>
      </c>
      <c r="J36" s="234" t="e">
        <f t="shared" si="4"/>
        <v>#N/A</v>
      </c>
      <c r="K36" s="235" t="e">
        <f t="shared" si="5"/>
        <v>#N/A</v>
      </c>
      <c r="L36" s="242">
        <f t="shared" si="14"/>
        <v>247.78138325180234</v>
      </c>
      <c r="M36" s="241">
        <f t="shared" si="6"/>
        <v>5.1480000000000006</v>
      </c>
      <c r="N36" s="172" t="e">
        <f t="shared" si="11"/>
        <v>#N/A</v>
      </c>
      <c r="O36" s="234" t="e">
        <f t="shared" si="7"/>
        <v>#N/A</v>
      </c>
      <c r="P36" s="235" t="e">
        <f t="shared" si="8"/>
        <v>#N/A</v>
      </c>
      <c r="Q36" s="84"/>
      <c r="R36" s="84"/>
    </row>
    <row r="37" spans="1:19" ht="17.25" customHeight="1" x14ac:dyDescent="0.3">
      <c r="A37" s="157">
        <v>46</v>
      </c>
      <c r="B37" s="242">
        <f t="shared" si="12"/>
        <v>378.99159367920691</v>
      </c>
      <c r="C37" s="241">
        <f t="shared" si="0"/>
        <v>7.6960000000000006</v>
      </c>
      <c r="D37" s="172" t="e">
        <f t="shared" si="9"/>
        <v>#N/A</v>
      </c>
      <c r="E37" s="234" t="e">
        <f t="shared" si="1"/>
        <v>#N/A</v>
      </c>
      <c r="F37" s="235" t="e">
        <f t="shared" si="2"/>
        <v>#N/A</v>
      </c>
      <c r="G37" s="242">
        <f t="shared" si="13"/>
        <v>331.61764446930607</v>
      </c>
      <c r="H37" s="241">
        <f t="shared" si="3"/>
        <v>6.7340000000000009</v>
      </c>
      <c r="I37" s="172" t="e">
        <f t="shared" si="10"/>
        <v>#N/A</v>
      </c>
      <c r="J37" s="234" t="e">
        <f t="shared" si="4"/>
        <v>#N/A</v>
      </c>
      <c r="K37" s="235" t="e">
        <f t="shared" si="5"/>
        <v>#N/A</v>
      </c>
      <c r="L37" s="242">
        <f t="shared" si="14"/>
        <v>253.5146471232533</v>
      </c>
      <c r="M37" s="241">
        <f t="shared" si="6"/>
        <v>5.1480000000000006</v>
      </c>
      <c r="N37" s="172" t="e">
        <f t="shared" si="11"/>
        <v>#N/A</v>
      </c>
      <c r="O37" s="234" t="e">
        <f t="shared" si="7"/>
        <v>#N/A</v>
      </c>
      <c r="P37" s="235" t="e">
        <f t="shared" si="8"/>
        <v>#N/A</v>
      </c>
      <c r="Q37" s="84"/>
      <c r="R37" s="84"/>
    </row>
    <row r="38" spans="1:19" ht="17.25" customHeight="1" x14ac:dyDescent="0.3">
      <c r="A38" s="157">
        <v>48</v>
      </c>
      <c r="B38" s="242">
        <f t="shared" si="12"/>
        <v>387.19770019759846</v>
      </c>
      <c r="C38" s="241">
        <f t="shared" si="0"/>
        <v>7.6960000000000006</v>
      </c>
      <c r="D38" s="172" t="e">
        <f t="shared" si="9"/>
        <v>#N/A</v>
      </c>
      <c r="E38" s="234" t="e">
        <f t="shared" si="1"/>
        <v>#N/A</v>
      </c>
      <c r="F38" s="235" t="e">
        <f t="shared" si="2"/>
        <v>#N/A</v>
      </c>
      <c r="G38" s="242">
        <f t="shared" si="13"/>
        <v>338.79798767289867</v>
      </c>
      <c r="H38" s="241">
        <f t="shared" si="3"/>
        <v>6.7340000000000009</v>
      </c>
      <c r="I38" s="172" t="e">
        <f t="shared" si="10"/>
        <v>#N/A</v>
      </c>
      <c r="J38" s="234" t="e">
        <f t="shared" si="4"/>
        <v>#N/A</v>
      </c>
      <c r="K38" s="235" t="e">
        <f t="shared" si="5"/>
        <v>#N/A</v>
      </c>
      <c r="L38" s="242">
        <f t="shared" si="14"/>
        <v>259.00386702406922</v>
      </c>
      <c r="M38" s="241">
        <f t="shared" si="6"/>
        <v>5.1480000000000006</v>
      </c>
      <c r="N38" s="172" t="e">
        <f t="shared" si="11"/>
        <v>#N/A</v>
      </c>
      <c r="O38" s="234" t="e">
        <f t="shared" si="7"/>
        <v>#N/A</v>
      </c>
      <c r="P38" s="235" t="e">
        <f t="shared" si="8"/>
        <v>#N/A</v>
      </c>
      <c r="Q38" s="84"/>
      <c r="R38" s="84"/>
    </row>
    <row r="39" spans="1:19" ht="17.25" customHeight="1" thickBot="1" x14ac:dyDescent="0.35">
      <c r="A39" s="240">
        <v>50</v>
      </c>
      <c r="B39" s="243">
        <f t="shared" si="12"/>
        <v>395.06876857782464</v>
      </c>
      <c r="C39" s="244">
        <f t="shared" si="0"/>
        <v>7.6960000000000006</v>
      </c>
      <c r="D39" s="245" t="e">
        <f t="shared" si="9"/>
        <v>#N/A</v>
      </c>
      <c r="E39" s="236" t="e">
        <f t="shared" si="1"/>
        <v>#N/A</v>
      </c>
      <c r="F39" s="238" t="e">
        <f t="shared" si="2"/>
        <v>#N/A</v>
      </c>
      <c r="G39" s="243">
        <f t="shared" si="13"/>
        <v>345.68517250559654</v>
      </c>
      <c r="H39" s="244">
        <f t="shared" si="3"/>
        <v>6.7340000000000009</v>
      </c>
      <c r="I39" s="245" t="e">
        <f t="shared" si="10"/>
        <v>#N/A</v>
      </c>
      <c r="J39" s="237" t="e">
        <f t="shared" si="4"/>
        <v>#N/A</v>
      </c>
      <c r="K39" s="238" t="e">
        <f t="shared" si="5"/>
        <v>#N/A</v>
      </c>
      <c r="L39" s="243">
        <f t="shared" si="14"/>
        <v>264.26897357570698</v>
      </c>
      <c r="M39" s="244">
        <f t="shared" si="6"/>
        <v>5.1480000000000006</v>
      </c>
      <c r="N39" s="245" t="e">
        <f t="shared" si="11"/>
        <v>#N/A</v>
      </c>
      <c r="O39" s="236" t="e">
        <f t="shared" si="7"/>
        <v>#N/A</v>
      </c>
      <c r="P39" s="238" t="e">
        <f t="shared" si="8"/>
        <v>#N/A</v>
      </c>
      <c r="R39" s="84"/>
    </row>
    <row r="40" spans="1:19" s="91" customFormat="1" ht="17.25" customHeight="1" thickBot="1" x14ac:dyDescent="0.35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92"/>
      <c r="R40" s="92"/>
    </row>
    <row r="41" spans="1:19" ht="17.25" customHeight="1" thickBot="1" x14ac:dyDescent="0.35">
      <c r="A41" s="232" t="s">
        <v>154</v>
      </c>
      <c r="B41" s="229"/>
      <c r="C41" s="230" t="s">
        <v>114</v>
      </c>
      <c r="D41" s="230" t="s">
        <v>113</v>
      </c>
      <c r="E41" s="115" t="s">
        <v>112</v>
      </c>
      <c r="F41" s="227" t="s">
        <v>111</v>
      </c>
      <c r="G41" s="90"/>
      <c r="H41" s="96"/>
      <c r="I41" s="91"/>
      <c r="J41" s="91"/>
      <c r="K41" s="96"/>
      <c r="L41" s="92"/>
      <c r="M41" s="92"/>
      <c r="N41" s="89"/>
      <c r="O41" s="95"/>
      <c r="P41" s="89"/>
      <c r="Q41" s="92"/>
      <c r="R41" s="92"/>
      <c r="S41" s="94"/>
    </row>
    <row r="42" spans="1:19" ht="17.25" customHeight="1" x14ac:dyDescent="0.25">
      <c r="A42" s="183" t="s">
        <v>13</v>
      </c>
      <c r="B42" s="144">
        <v>154</v>
      </c>
      <c r="C42" s="134" t="s">
        <v>57</v>
      </c>
      <c r="D42" s="124">
        <f>B42+63</f>
        <v>217</v>
      </c>
      <c r="E42" s="139">
        <f>B42+104</f>
        <v>258</v>
      </c>
      <c r="F42" s="123">
        <f>B42+153</f>
        <v>307</v>
      </c>
      <c r="G42" s="99"/>
      <c r="H42" s="96"/>
      <c r="I42" s="91"/>
      <c r="J42" s="91"/>
      <c r="K42" s="96"/>
      <c r="L42" s="92"/>
      <c r="M42" s="92"/>
      <c r="P42" s="84"/>
      <c r="Q42" s="84"/>
      <c r="R42" s="84"/>
      <c r="S42" s="100"/>
    </row>
    <row r="43" spans="1:19" ht="17.25" customHeight="1" x14ac:dyDescent="0.25">
      <c r="A43" s="233" t="s">
        <v>14</v>
      </c>
      <c r="B43" s="148">
        <v>235</v>
      </c>
      <c r="C43" s="136" t="s">
        <v>58</v>
      </c>
      <c r="D43" s="128">
        <f>B43+97</f>
        <v>332</v>
      </c>
      <c r="E43" s="140">
        <f>B43+159</f>
        <v>394</v>
      </c>
      <c r="F43" s="129">
        <f>B43+233</f>
        <v>468</v>
      </c>
      <c r="G43" s="99"/>
      <c r="H43" s="96"/>
      <c r="I43" s="91"/>
      <c r="J43" s="91"/>
      <c r="K43" s="96"/>
      <c r="L43" s="92"/>
      <c r="P43" s="84"/>
      <c r="Q43" s="84"/>
      <c r="R43" s="84"/>
    </row>
    <row r="44" spans="1:19" ht="17.25" customHeight="1" x14ac:dyDescent="0.25">
      <c r="A44" s="184" t="s">
        <v>15</v>
      </c>
      <c r="B44" s="148">
        <v>293</v>
      </c>
      <c r="C44" s="136" t="s">
        <v>54</v>
      </c>
      <c r="D44" s="128">
        <f>B44+120</f>
        <v>413</v>
      </c>
      <c r="E44" s="140">
        <f>B44+198</f>
        <v>491</v>
      </c>
      <c r="F44" s="129">
        <f>B44+290</f>
        <v>583</v>
      </c>
      <c r="G44" s="99"/>
      <c r="P44" s="84"/>
      <c r="Q44" s="84"/>
      <c r="R44" s="84"/>
    </row>
    <row r="45" spans="1:19" ht="17.25" customHeight="1" x14ac:dyDescent="0.25">
      <c r="A45" s="233" t="s">
        <v>16</v>
      </c>
      <c r="B45" s="148">
        <v>441</v>
      </c>
      <c r="C45" s="136" t="s">
        <v>43</v>
      </c>
      <c r="D45" s="128">
        <f>B45+181</f>
        <v>622</v>
      </c>
      <c r="E45" s="140">
        <f>B45+298</f>
        <v>739</v>
      </c>
      <c r="F45" s="129">
        <f>B45+436</f>
        <v>877</v>
      </c>
      <c r="G45" s="99"/>
      <c r="P45" s="84"/>
      <c r="Q45" s="84"/>
      <c r="R45" s="84"/>
    </row>
    <row r="46" spans="1:19" ht="17.25" customHeight="1" x14ac:dyDescent="0.25">
      <c r="A46" s="233" t="s">
        <v>17</v>
      </c>
      <c r="B46" s="148">
        <v>441</v>
      </c>
      <c r="C46" s="136" t="s">
        <v>43</v>
      </c>
      <c r="D46" s="128">
        <v>622</v>
      </c>
      <c r="E46" s="140">
        <v>739</v>
      </c>
      <c r="F46" s="129">
        <v>877</v>
      </c>
      <c r="G46" s="99"/>
      <c r="P46" s="84"/>
      <c r="Q46" s="84"/>
      <c r="R46" s="84"/>
    </row>
    <row r="47" spans="1:19" ht="17.25" customHeight="1" thickBot="1" x14ac:dyDescent="0.3">
      <c r="A47" s="185" t="s">
        <v>18</v>
      </c>
      <c r="B47" s="231">
        <v>730</v>
      </c>
      <c r="C47" s="138" t="s">
        <v>92</v>
      </c>
      <c r="D47" s="131">
        <f>B47+300</f>
        <v>1030</v>
      </c>
      <c r="E47" s="141">
        <f>B47+493</f>
        <v>1223</v>
      </c>
      <c r="F47" s="132">
        <f>B47+722</f>
        <v>1452</v>
      </c>
      <c r="G47" s="99"/>
      <c r="P47" s="84"/>
      <c r="Q47" s="84"/>
      <c r="R47" s="84"/>
    </row>
    <row r="48" spans="1:19" ht="17.25" customHeight="1" thickBot="1" x14ac:dyDescent="0.35">
      <c r="F48" s="97"/>
      <c r="G48" s="101"/>
      <c r="P48" s="84"/>
      <c r="Q48" s="84"/>
      <c r="R48" s="84"/>
    </row>
    <row r="49" spans="1:18" ht="17.25" customHeight="1" thickBot="1" x14ac:dyDescent="0.3">
      <c r="A49" s="93" t="s">
        <v>154</v>
      </c>
      <c r="B49" s="382" t="s">
        <v>110</v>
      </c>
      <c r="C49" s="383"/>
      <c r="D49" s="383"/>
      <c r="E49" s="383"/>
      <c r="F49" s="384"/>
      <c r="G49" s="385" t="s">
        <v>109</v>
      </c>
      <c r="H49" s="386"/>
      <c r="I49" s="386"/>
      <c r="J49" s="386"/>
      <c r="K49" s="387"/>
      <c r="L49" s="102"/>
      <c r="M49" s="94"/>
      <c r="N49" s="102"/>
      <c r="O49" s="94"/>
      <c r="P49" s="102"/>
      <c r="Q49" s="84"/>
      <c r="R49" s="84"/>
    </row>
    <row r="50" spans="1:18" ht="17.25" customHeight="1" thickBot="1" x14ac:dyDescent="0.3">
      <c r="A50" s="152"/>
      <c r="B50" s="219" t="s">
        <v>13</v>
      </c>
      <c r="C50" s="220" t="s">
        <v>14</v>
      </c>
      <c r="D50" s="221" t="s">
        <v>15</v>
      </c>
      <c r="E50" s="220" t="s">
        <v>108</v>
      </c>
      <c r="F50" s="222" t="s">
        <v>18</v>
      </c>
      <c r="G50" s="223" t="s">
        <v>13</v>
      </c>
      <c r="H50" s="221" t="s">
        <v>14</v>
      </c>
      <c r="I50" s="220" t="s">
        <v>15</v>
      </c>
      <c r="J50" s="221" t="s">
        <v>108</v>
      </c>
      <c r="K50" s="224" t="s">
        <v>18</v>
      </c>
      <c r="L50" s="103"/>
      <c r="M50" s="104"/>
      <c r="P50" s="86"/>
      <c r="Q50" s="84"/>
      <c r="R50" s="84"/>
    </row>
    <row r="51" spans="1:18" ht="17.25" customHeight="1" x14ac:dyDescent="0.3">
      <c r="A51" s="153">
        <v>4</v>
      </c>
      <c r="B51" s="133">
        <v>48</v>
      </c>
      <c r="C51" s="154">
        <v>60</v>
      </c>
      <c r="D51" s="142">
        <v>73</v>
      </c>
      <c r="E51" s="154">
        <v>72</v>
      </c>
      <c r="F51" s="143">
        <v>72</v>
      </c>
      <c r="G51" s="155">
        <v>5</v>
      </c>
      <c r="H51" s="142">
        <v>4</v>
      </c>
      <c r="I51" s="154">
        <v>4</v>
      </c>
      <c r="J51" s="142">
        <v>5</v>
      </c>
      <c r="K51" s="156">
        <v>10</v>
      </c>
      <c r="L51" s="105"/>
      <c r="M51" s="94"/>
      <c r="P51" s="86"/>
      <c r="Q51" s="84"/>
      <c r="R51" s="84"/>
    </row>
    <row r="52" spans="1:18" ht="17.25" customHeight="1" x14ac:dyDescent="0.3">
      <c r="A52" s="157">
        <v>6</v>
      </c>
      <c r="B52" s="145">
        <v>27.73</v>
      </c>
      <c r="C52" s="158">
        <v>46</v>
      </c>
      <c r="D52" s="146">
        <v>61</v>
      </c>
      <c r="E52" s="158">
        <v>67.5</v>
      </c>
      <c r="F52" s="147">
        <v>56</v>
      </c>
      <c r="G52" s="160">
        <v>11</v>
      </c>
      <c r="H52" s="146">
        <v>9</v>
      </c>
      <c r="I52" s="158">
        <v>9</v>
      </c>
      <c r="J52" s="146">
        <v>12</v>
      </c>
      <c r="K52" s="127">
        <v>17</v>
      </c>
      <c r="L52" s="104"/>
      <c r="M52" s="94"/>
      <c r="P52" s="86"/>
      <c r="Q52" s="84"/>
      <c r="R52" s="84"/>
    </row>
    <row r="53" spans="1:18" ht="17.25" customHeight="1" x14ac:dyDescent="0.3">
      <c r="A53" s="157">
        <v>8</v>
      </c>
      <c r="B53" s="145">
        <v>10</v>
      </c>
      <c r="C53" s="158">
        <v>27.53</v>
      </c>
      <c r="D53" s="149">
        <v>28.64</v>
      </c>
      <c r="E53" s="161">
        <v>27.5</v>
      </c>
      <c r="F53" s="147">
        <v>46.8</v>
      </c>
      <c r="G53" s="160">
        <v>31</v>
      </c>
      <c r="H53" s="146">
        <v>20</v>
      </c>
      <c r="I53" s="161">
        <v>24</v>
      </c>
      <c r="J53" s="146">
        <v>36</v>
      </c>
      <c r="K53" s="159">
        <v>33</v>
      </c>
      <c r="L53" s="102"/>
      <c r="M53" s="94"/>
      <c r="P53" s="86"/>
      <c r="Q53" s="84"/>
      <c r="R53" s="84"/>
    </row>
    <row r="54" spans="1:18" ht="17.25" customHeight="1" x14ac:dyDescent="0.3">
      <c r="A54" s="157">
        <v>10</v>
      </c>
      <c r="B54" s="135">
        <v>4.9000000000000004</v>
      </c>
      <c r="C54" s="158">
        <v>9.1999999999999993</v>
      </c>
      <c r="D54" s="149">
        <v>11.51</v>
      </c>
      <c r="E54" s="161">
        <v>11.87</v>
      </c>
      <c r="F54" s="118">
        <v>25.641287878787832</v>
      </c>
      <c r="G54" s="160">
        <v>53</v>
      </c>
      <c r="H54" s="146">
        <v>51</v>
      </c>
      <c r="I54" s="161">
        <v>50</v>
      </c>
      <c r="J54" s="149">
        <v>72</v>
      </c>
      <c r="K54" s="162">
        <v>60</v>
      </c>
      <c r="L54" s="102"/>
      <c r="M54" s="94"/>
      <c r="P54" s="86"/>
      <c r="Q54" s="84"/>
      <c r="R54" s="84"/>
    </row>
    <row r="55" spans="1:18" ht="17.25" customHeight="1" x14ac:dyDescent="0.3">
      <c r="A55" s="157">
        <v>12</v>
      </c>
      <c r="B55" s="135">
        <v>3.55</v>
      </c>
      <c r="C55" s="158">
        <v>5.08</v>
      </c>
      <c r="D55" s="149">
        <v>7.35</v>
      </c>
      <c r="E55" s="161">
        <v>7.75</v>
      </c>
      <c r="F55" s="136">
        <v>14.82</v>
      </c>
      <c r="G55" s="160">
        <v>67</v>
      </c>
      <c r="H55" s="149">
        <v>78</v>
      </c>
      <c r="I55" s="161">
        <v>71</v>
      </c>
      <c r="J55" s="149">
        <v>101</v>
      </c>
      <c r="K55" s="162">
        <v>96</v>
      </c>
      <c r="L55" s="102"/>
      <c r="M55" s="94"/>
      <c r="P55" s="86"/>
      <c r="Q55" s="84"/>
      <c r="R55" s="84"/>
    </row>
    <row r="56" spans="1:18" ht="17.25" customHeight="1" x14ac:dyDescent="0.3">
      <c r="A56" s="157">
        <v>14</v>
      </c>
      <c r="B56" s="135">
        <v>2.31</v>
      </c>
      <c r="C56" s="161">
        <v>3.78</v>
      </c>
      <c r="D56" s="149">
        <v>5.13</v>
      </c>
      <c r="E56" s="161">
        <v>5.5</v>
      </c>
      <c r="F56" s="136">
        <v>9.98</v>
      </c>
      <c r="G56" s="160">
        <v>91</v>
      </c>
      <c r="H56" s="149">
        <v>96</v>
      </c>
      <c r="I56" s="161">
        <v>92</v>
      </c>
      <c r="J56" s="149">
        <v>129</v>
      </c>
      <c r="K56" s="162">
        <v>130</v>
      </c>
      <c r="L56" s="102"/>
      <c r="M56" s="94"/>
      <c r="P56" s="86"/>
      <c r="Q56" s="84"/>
      <c r="R56" s="84"/>
    </row>
    <row r="57" spans="1:18" ht="17.25" customHeight="1" x14ac:dyDescent="0.25">
      <c r="A57" s="157">
        <v>16</v>
      </c>
      <c r="B57" s="135">
        <v>1.37</v>
      </c>
      <c r="C57" s="161">
        <v>2.92</v>
      </c>
      <c r="D57" s="149">
        <v>3.75</v>
      </c>
      <c r="E57" s="161">
        <v>4.08</v>
      </c>
      <c r="F57" s="136">
        <v>7.22</v>
      </c>
      <c r="G57" s="160">
        <v>121</v>
      </c>
      <c r="H57" s="149">
        <v>114</v>
      </c>
      <c r="I57" s="161">
        <v>113</v>
      </c>
      <c r="J57" s="149">
        <v>157</v>
      </c>
      <c r="K57" s="162">
        <v>163</v>
      </c>
      <c r="L57" s="102"/>
      <c r="M57" s="94"/>
      <c r="P57" s="86"/>
      <c r="Q57" s="84"/>
      <c r="R57" s="84"/>
    </row>
    <row r="58" spans="1:18" ht="17.25" customHeight="1" x14ac:dyDescent="0.25">
      <c r="A58" s="157">
        <v>18</v>
      </c>
      <c r="B58" s="135">
        <v>0.94</v>
      </c>
      <c r="C58" s="161">
        <v>2.29</v>
      </c>
      <c r="D58" s="149">
        <v>2.83</v>
      </c>
      <c r="E58" s="161">
        <v>3.11</v>
      </c>
      <c r="F58" s="136">
        <v>6.32</v>
      </c>
      <c r="G58" s="160">
        <v>140</v>
      </c>
      <c r="H58" s="149">
        <v>131</v>
      </c>
      <c r="I58" s="161">
        <v>133</v>
      </c>
      <c r="J58" s="149">
        <v>183</v>
      </c>
      <c r="K58" s="159">
        <v>179</v>
      </c>
      <c r="L58" s="102"/>
      <c r="M58" s="94"/>
      <c r="P58" s="86"/>
      <c r="Q58" s="84"/>
      <c r="R58" s="84"/>
    </row>
    <row r="59" spans="1:18" ht="17.25" customHeight="1" x14ac:dyDescent="0.25">
      <c r="A59" s="157">
        <v>20</v>
      </c>
      <c r="B59" s="135">
        <v>0.64</v>
      </c>
      <c r="C59" s="161">
        <v>1.82</v>
      </c>
      <c r="D59" s="149">
        <v>2.16</v>
      </c>
      <c r="E59" s="161">
        <v>2.39</v>
      </c>
      <c r="F59" s="136">
        <v>5.42</v>
      </c>
      <c r="G59" s="160">
        <v>157</v>
      </c>
      <c r="H59" s="149">
        <v>146</v>
      </c>
      <c r="I59" s="161">
        <v>152</v>
      </c>
      <c r="J59" s="149">
        <v>207</v>
      </c>
      <c r="K59" s="162">
        <v>195</v>
      </c>
      <c r="L59" s="102"/>
      <c r="M59" s="94"/>
      <c r="P59" s="86"/>
      <c r="Q59" s="84"/>
      <c r="R59" s="84"/>
    </row>
    <row r="60" spans="1:18" ht="17.25" customHeight="1" x14ac:dyDescent="0.25">
      <c r="A60" s="157">
        <v>22</v>
      </c>
      <c r="B60" s="135">
        <v>0.39</v>
      </c>
      <c r="C60" s="161">
        <v>1.46</v>
      </c>
      <c r="D60" s="149">
        <v>1.66</v>
      </c>
      <c r="E60" s="161">
        <v>1.84</v>
      </c>
      <c r="F60" s="136">
        <v>4.79</v>
      </c>
      <c r="G60" s="160">
        <v>170</v>
      </c>
      <c r="H60" s="149">
        <v>160</v>
      </c>
      <c r="I60" s="161">
        <v>170</v>
      </c>
      <c r="J60" s="149">
        <v>230</v>
      </c>
      <c r="K60" s="159">
        <v>211</v>
      </c>
      <c r="L60" s="102"/>
      <c r="M60" s="94"/>
      <c r="P60" s="86"/>
      <c r="Q60" s="84"/>
      <c r="R60" s="84"/>
    </row>
    <row r="61" spans="1:18" ht="17.25" customHeight="1" x14ac:dyDescent="0.25">
      <c r="A61" s="157">
        <v>24</v>
      </c>
      <c r="B61" s="135">
        <v>0.26</v>
      </c>
      <c r="C61" s="161">
        <v>1.02</v>
      </c>
      <c r="D61" s="149">
        <v>1.25</v>
      </c>
      <c r="E61" s="161">
        <v>1.62</v>
      </c>
      <c r="F61" s="136">
        <v>4.1500000000000004</v>
      </c>
      <c r="G61" s="160">
        <v>177</v>
      </c>
      <c r="H61" s="149">
        <v>182</v>
      </c>
      <c r="I61" s="161">
        <v>186</v>
      </c>
      <c r="J61" s="149">
        <v>241</v>
      </c>
      <c r="K61" s="162">
        <v>226</v>
      </c>
      <c r="L61" s="102"/>
      <c r="M61" s="94"/>
      <c r="P61" s="86"/>
      <c r="Q61" s="84"/>
      <c r="R61" s="84"/>
    </row>
    <row r="62" spans="1:18" ht="17.25" customHeight="1" x14ac:dyDescent="0.25">
      <c r="A62" s="157">
        <v>26</v>
      </c>
      <c r="B62" s="135">
        <v>0.26</v>
      </c>
      <c r="C62" s="161">
        <v>0.57999999999999996</v>
      </c>
      <c r="D62" s="149">
        <v>0.92</v>
      </c>
      <c r="E62" s="161">
        <v>1.39</v>
      </c>
      <c r="F62" s="136">
        <v>3.21</v>
      </c>
      <c r="G62" s="160">
        <v>187</v>
      </c>
      <c r="H62" s="149">
        <v>208</v>
      </c>
      <c r="I62" s="161">
        <v>201</v>
      </c>
      <c r="J62" s="149">
        <v>251</v>
      </c>
      <c r="K62" s="162">
        <v>255</v>
      </c>
      <c r="L62" s="102"/>
      <c r="M62" s="94"/>
      <c r="P62" s="86"/>
      <c r="Q62" s="84"/>
      <c r="R62" s="84"/>
    </row>
    <row r="63" spans="1:18" ht="17.25" customHeight="1" x14ac:dyDescent="0.25">
      <c r="A63" s="157">
        <v>28</v>
      </c>
      <c r="B63" s="135">
        <v>0.26</v>
      </c>
      <c r="C63" s="161">
        <v>0.31</v>
      </c>
      <c r="D63" s="149">
        <v>0.63</v>
      </c>
      <c r="E63" s="161">
        <v>1.03</v>
      </c>
      <c r="F63" s="136">
        <v>2.4700000000000002</v>
      </c>
      <c r="G63" s="160">
        <v>198</v>
      </c>
      <c r="H63" s="149">
        <v>229</v>
      </c>
      <c r="I63" s="161">
        <v>214</v>
      </c>
      <c r="J63" s="149">
        <v>270</v>
      </c>
      <c r="K63" s="162">
        <v>282</v>
      </c>
      <c r="L63" s="102"/>
      <c r="M63" s="94"/>
      <c r="P63" s="86"/>
      <c r="Q63" s="84"/>
      <c r="R63" s="84"/>
    </row>
    <row r="64" spans="1:18" ht="17.25" customHeight="1" x14ac:dyDescent="0.25">
      <c r="A64" s="157">
        <v>30</v>
      </c>
      <c r="B64" s="135">
        <v>0.26</v>
      </c>
      <c r="C64" s="161">
        <v>0.31</v>
      </c>
      <c r="D64" s="149">
        <v>0.39</v>
      </c>
      <c r="E64" s="161">
        <v>0.71</v>
      </c>
      <c r="F64" s="136">
        <v>1.88</v>
      </c>
      <c r="G64" s="128">
        <v>200</v>
      </c>
      <c r="H64" s="149">
        <v>246</v>
      </c>
      <c r="I64" s="161">
        <v>226</v>
      </c>
      <c r="J64" s="149">
        <v>288</v>
      </c>
      <c r="K64" s="162">
        <v>308</v>
      </c>
      <c r="L64" s="102"/>
      <c r="M64" s="94"/>
      <c r="P64" s="86"/>
      <c r="Q64" s="84"/>
      <c r="R64" s="84"/>
    </row>
    <row r="65" spans="1:18" ht="17.25" customHeight="1" x14ac:dyDescent="0.25">
      <c r="A65" s="157">
        <v>32</v>
      </c>
      <c r="B65" s="135">
        <v>0.26</v>
      </c>
      <c r="C65" s="161">
        <v>0.31</v>
      </c>
      <c r="D65" s="149">
        <v>0.37</v>
      </c>
      <c r="E65" s="161">
        <v>0.44</v>
      </c>
      <c r="F65" s="136">
        <v>1.38</v>
      </c>
      <c r="G65" s="128">
        <v>200</v>
      </c>
      <c r="H65" s="146">
        <v>256</v>
      </c>
      <c r="I65" s="161">
        <v>241</v>
      </c>
      <c r="J65" s="149">
        <v>304</v>
      </c>
      <c r="K65" s="162">
        <v>331</v>
      </c>
      <c r="L65" s="102"/>
      <c r="M65" s="94"/>
      <c r="P65" s="86"/>
      <c r="Q65" s="84"/>
      <c r="R65" s="84"/>
    </row>
    <row r="66" spans="1:18" ht="17.25" customHeight="1" x14ac:dyDescent="0.25">
      <c r="A66" s="157">
        <v>34</v>
      </c>
      <c r="B66" s="135">
        <v>0.26</v>
      </c>
      <c r="C66" s="161">
        <v>0.31</v>
      </c>
      <c r="D66" s="149">
        <v>0.36</v>
      </c>
      <c r="E66" s="161">
        <v>0.42</v>
      </c>
      <c r="F66" s="136">
        <v>0.96</v>
      </c>
      <c r="G66" s="128">
        <v>200</v>
      </c>
      <c r="H66" s="149">
        <v>283</v>
      </c>
      <c r="I66" s="161">
        <v>255</v>
      </c>
      <c r="J66" s="149">
        <v>318</v>
      </c>
      <c r="K66" s="162">
        <v>353</v>
      </c>
      <c r="L66" s="102"/>
      <c r="M66" s="94"/>
      <c r="P66" s="86"/>
      <c r="Q66" s="84"/>
      <c r="R66" s="84"/>
    </row>
    <row r="67" spans="1:18" ht="17.25" customHeight="1" x14ac:dyDescent="0.25">
      <c r="A67" s="157">
        <v>36</v>
      </c>
      <c r="B67" s="135">
        <v>0.26</v>
      </c>
      <c r="C67" s="161">
        <v>0.31</v>
      </c>
      <c r="D67" s="149">
        <v>0.36</v>
      </c>
      <c r="E67" s="161">
        <v>0.4</v>
      </c>
      <c r="F67" s="136">
        <v>0.59</v>
      </c>
      <c r="G67" s="128">
        <v>200</v>
      </c>
      <c r="H67" s="149">
        <v>300</v>
      </c>
      <c r="I67" s="161">
        <v>264</v>
      </c>
      <c r="J67" s="149">
        <v>330</v>
      </c>
      <c r="K67" s="162">
        <v>374</v>
      </c>
      <c r="L67" s="102"/>
      <c r="M67" s="94"/>
      <c r="P67" s="86"/>
      <c r="Q67" s="84"/>
      <c r="R67" s="84"/>
    </row>
    <row r="68" spans="1:18" ht="17.25" customHeight="1" x14ac:dyDescent="0.25">
      <c r="A68" s="157">
        <v>38</v>
      </c>
      <c r="B68" s="135">
        <v>0.26</v>
      </c>
      <c r="C68" s="161">
        <v>0.31</v>
      </c>
      <c r="D68" s="149">
        <v>0.36</v>
      </c>
      <c r="E68" s="158">
        <v>0.4</v>
      </c>
      <c r="F68" s="136">
        <v>0.56000000000000005</v>
      </c>
      <c r="G68" s="128">
        <v>200</v>
      </c>
      <c r="H68" s="149">
        <v>300</v>
      </c>
      <c r="I68" s="161">
        <v>272</v>
      </c>
      <c r="J68" s="146">
        <v>342</v>
      </c>
      <c r="K68" s="162">
        <v>393</v>
      </c>
      <c r="L68" s="102"/>
      <c r="M68" s="94"/>
      <c r="P68" s="86"/>
      <c r="Q68" s="84"/>
      <c r="R68" s="84"/>
    </row>
    <row r="69" spans="1:18" ht="17.25" customHeight="1" x14ac:dyDescent="0.25">
      <c r="A69" s="157">
        <v>40</v>
      </c>
      <c r="B69" s="135">
        <v>0.26</v>
      </c>
      <c r="C69" s="161">
        <v>0.31</v>
      </c>
      <c r="D69" s="149">
        <v>0.36</v>
      </c>
      <c r="E69" s="158">
        <v>0.4</v>
      </c>
      <c r="F69" s="136">
        <v>0.53</v>
      </c>
      <c r="G69" s="128">
        <v>200</v>
      </c>
      <c r="H69" s="149">
        <v>300</v>
      </c>
      <c r="I69" s="161">
        <v>280</v>
      </c>
      <c r="J69" s="146">
        <v>352</v>
      </c>
      <c r="K69" s="162">
        <v>411</v>
      </c>
      <c r="L69" s="102"/>
      <c r="M69" s="94"/>
      <c r="P69" s="86"/>
      <c r="Q69" s="84"/>
      <c r="R69" s="84"/>
    </row>
    <row r="70" spans="1:18" ht="17.25" customHeight="1" x14ac:dyDescent="0.25">
      <c r="A70" s="157">
        <v>42</v>
      </c>
      <c r="B70" s="135">
        <v>0.26</v>
      </c>
      <c r="C70" s="161">
        <v>0.31</v>
      </c>
      <c r="D70" s="149">
        <v>0.36</v>
      </c>
      <c r="E70" s="158">
        <v>0.4</v>
      </c>
      <c r="F70" s="136">
        <v>0.53</v>
      </c>
      <c r="G70" s="128">
        <v>200</v>
      </c>
      <c r="H70" s="149">
        <v>300</v>
      </c>
      <c r="I70" s="161">
        <v>294</v>
      </c>
      <c r="J70" s="146">
        <v>361</v>
      </c>
      <c r="K70" s="127">
        <v>429</v>
      </c>
      <c r="L70" s="102"/>
      <c r="M70" s="94"/>
      <c r="P70" s="86"/>
      <c r="Q70" s="84"/>
      <c r="R70" s="84"/>
    </row>
    <row r="71" spans="1:18" ht="17.25" customHeight="1" x14ac:dyDescent="0.25">
      <c r="A71" s="157">
        <v>44</v>
      </c>
      <c r="B71" s="135">
        <v>0.26</v>
      </c>
      <c r="C71" s="161">
        <v>0.31</v>
      </c>
      <c r="D71" s="149">
        <v>0.36</v>
      </c>
      <c r="E71" s="158">
        <v>0.4</v>
      </c>
      <c r="F71" s="136">
        <v>0.53</v>
      </c>
      <c r="G71" s="128">
        <v>200</v>
      </c>
      <c r="H71" s="149">
        <v>300</v>
      </c>
      <c r="I71" s="161">
        <v>304</v>
      </c>
      <c r="J71" s="146">
        <v>369</v>
      </c>
      <c r="K71" s="127">
        <v>438</v>
      </c>
      <c r="L71" s="102"/>
      <c r="M71" s="94"/>
      <c r="N71" s="104"/>
      <c r="O71" s="94"/>
      <c r="P71" s="104"/>
      <c r="Q71" s="84"/>
      <c r="R71" s="84"/>
    </row>
    <row r="72" spans="1:18" ht="17.25" customHeight="1" x14ac:dyDescent="0.25">
      <c r="A72" s="157">
        <v>46</v>
      </c>
      <c r="B72" s="135">
        <v>0.26</v>
      </c>
      <c r="C72" s="161">
        <v>0.31</v>
      </c>
      <c r="D72" s="149">
        <v>0.36</v>
      </c>
      <c r="E72" s="158">
        <v>0.4</v>
      </c>
      <c r="F72" s="136">
        <v>0.53</v>
      </c>
      <c r="G72" s="128">
        <v>200</v>
      </c>
      <c r="H72" s="149">
        <v>300</v>
      </c>
      <c r="I72" s="161">
        <v>315</v>
      </c>
      <c r="J72" s="149">
        <v>382</v>
      </c>
      <c r="K72" s="127">
        <v>446</v>
      </c>
      <c r="L72" s="102"/>
      <c r="M72" s="94"/>
      <c r="N72" s="105"/>
      <c r="O72" s="94"/>
      <c r="P72" s="104"/>
      <c r="Q72" s="84"/>
      <c r="R72" s="84"/>
    </row>
    <row r="73" spans="1:18" ht="17.25" customHeight="1" x14ac:dyDescent="0.25">
      <c r="A73" s="157">
        <v>48</v>
      </c>
      <c r="B73" s="135">
        <v>0.26</v>
      </c>
      <c r="C73" s="161">
        <v>0.31</v>
      </c>
      <c r="D73" s="149">
        <v>0.36</v>
      </c>
      <c r="E73" s="158">
        <v>0.4</v>
      </c>
      <c r="F73" s="136">
        <v>0.53</v>
      </c>
      <c r="G73" s="128">
        <v>200</v>
      </c>
      <c r="H73" s="149">
        <v>300</v>
      </c>
      <c r="I73" s="161">
        <v>325</v>
      </c>
      <c r="J73" s="149">
        <v>392</v>
      </c>
      <c r="K73" s="127">
        <v>463</v>
      </c>
      <c r="L73" s="102"/>
      <c r="M73" s="94"/>
      <c r="N73" s="105"/>
      <c r="O73" s="94"/>
      <c r="P73" s="104"/>
      <c r="Q73" s="84"/>
      <c r="R73" s="84"/>
    </row>
    <row r="74" spans="1:18" ht="17.25" customHeight="1" thickBot="1" x14ac:dyDescent="0.3">
      <c r="A74" s="163">
        <v>50</v>
      </c>
      <c r="B74" s="137">
        <v>0.26</v>
      </c>
      <c r="C74" s="164">
        <v>0.31</v>
      </c>
      <c r="D74" s="150">
        <v>0.36</v>
      </c>
      <c r="E74" s="165">
        <v>0.4</v>
      </c>
      <c r="F74" s="138">
        <v>0.53</v>
      </c>
      <c r="G74" s="131">
        <v>200</v>
      </c>
      <c r="H74" s="150">
        <v>300</v>
      </c>
      <c r="I74" s="164">
        <v>336</v>
      </c>
      <c r="J74" s="151">
        <v>405</v>
      </c>
      <c r="K74" s="130">
        <v>479</v>
      </c>
      <c r="L74" s="102"/>
      <c r="M74" s="94"/>
      <c r="N74" s="105"/>
      <c r="O74" s="94"/>
      <c r="P74" s="104"/>
      <c r="Q74" s="84"/>
      <c r="R74" s="84"/>
    </row>
    <row r="75" spans="1:18" ht="17.25" customHeight="1" thickBot="1" x14ac:dyDescent="0.3">
      <c r="D75" s="106"/>
      <c r="E75" s="106"/>
    </row>
    <row r="76" spans="1:18" ht="17.25" customHeight="1" thickBot="1" x14ac:dyDescent="0.3">
      <c r="A76" s="182" t="s">
        <v>107</v>
      </c>
      <c r="B76" s="87" t="s">
        <v>106</v>
      </c>
      <c r="C76" s="225" t="s">
        <v>79</v>
      </c>
      <c r="D76" s="108" t="s">
        <v>104</v>
      </c>
      <c r="E76" s="225" t="s">
        <v>105</v>
      </c>
      <c r="F76" s="116" t="s">
        <v>104</v>
      </c>
      <c r="G76" s="226"/>
      <c r="H76" s="227"/>
    </row>
    <row r="77" spans="1:18" ht="17.25" customHeight="1" x14ac:dyDescent="0.25">
      <c r="A77" s="183" t="s">
        <v>103</v>
      </c>
      <c r="B77" s="179">
        <v>11.3</v>
      </c>
      <c r="C77" s="122" t="s">
        <v>72</v>
      </c>
      <c r="D77" s="156">
        <v>24.2</v>
      </c>
      <c r="E77" s="133" t="s">
        <v>42</v>
      </c>
      <c r="F77" s="173">
        <v>24</v>
      </c>
      <c r="G77" s="155" t="s">
        <v>102</v>
      </c>
      <c r="H77" s="123" t="s">
        <v>40</v>
      </c>
      <c r="K77" s="84"/>
      <c r="L77" s="92"/>
      <c r="M77" s="91"/>
      <c r="N77" s="91"/>
    </row>
    <row r="78" spans="1:18" ht="17.25" customHeight="1" x14ac:dyDescent="0.25">
      <c r="A78" s="184" t="s">
        <v>101</v>
      </c>
      <c r="B78" s="180">
        <v>5.0999999999999996</v>
      </c>
      <c r="C78" s="126" t="s">
        <v>54</v>
      </c>
      <c r="D78" s="127">
        <v>18.2</v>
      </c>
      <c r="E78" s="174" t="s">
        <v>100</v>
      </c>
      <c r="F78" s="175">
        <v>19.8</v>
      </c>
      <c r="G78" s="167" t="s">
        <v>99</v>
      </c>
      <c r="H78" s="129" t="s">
        <v>40</v>
      </c>
      <c r="I78" s="91"/>
      <c r="J78" s="91"/>
      <c r="K78" s="96"/>
      <c r="L78" s="92"/>
      <c r="M78" s="91"/>
      <c r="N78" s="91"/>
    </row>
    <row r="79" spans="1:18" ht="17.25" customHeight="1" x14ac:dyDescent="0.25">
      <c r="A79" s="184" t="s">
        <v>98</v>
      </c>
      <c r="B79" s="180">
        <v>3.9</v>
      </c>
      <c r="C79" s="168" t="s">
        <v>77</v>
      </c>
      <c r="D79" s="127">
        <v>15.9</v>
      </c>
      <c r="E79" s="135" t="s">
        <v>57</v>
      </c>
      <c r="F79" s="175">
        <v>16.7</v>
      </c>
      <c r="G79" s="160" t="s">
        <v>97</v>
      </c>
      <c r="H79" s="129" t="s">
        <v>51</v>
      </c>
      <c r="I79" s="91"/>
      <c r="J79" s="91"/>
      <c r="K79" s="96"/>
      <c r="L79" s="92"/>
      <c r="M79" s="91"/>
      <c r="N79" s="91"/>
    </row>
    <row r="80" spans="1:18" ht="17.25" customHeight="1" x14ac:dyDescent="0.25">
      <c r="A80" s="184" t="s">
        <v>96</v>
      </c>
      <c r="B80" s="180">
        <v>5.7</v>
      </c>
      <c r="C80" s="126" t="s">
        <v>95</v>
      </c>
      <c r="D80" s="127">
        <v>19.399999999999999</v>
      </c>
      <c r="E80" s="174" t="s">
        <v>61</v>
      </c>
      <c r="F80" s="175">
        <v>21.2</v>
      </c>
      <c r="G80" s="167" t="s">
        <v>94</v>
      </c>
      <c r="H80" s="129" t="s">
        <v>51</v>
      </c>
      <c r="K80" s="84"/>
      <c r="L80" s="84"/>
    </row>
    <row r="81" spans="1:12" ht="17.25" customHeight="1" x14ac:dyDescent="0.25">
      <c r="A81" s="184" t="s">
        <v>93</v>
      </c>
      <c r="B81" s="180">
        <v>9.4</v>
      </c>
      <c r="C81" s="126" t="s">
        <v>92</v>
      </c>
      <c r="D81" s="127">
        <v>23.2</v>
      </c>
      <c r="E81" s="135" t="s">
        <v>42</v>
      </c>
      <c r="F81" s="175">
        <v>23.9</v>
      </c>
      <c r="G81" s="160" t="s">
        <v>91</v>
      </c>
      <c r="H81" s="129" t="s">
        <v>40</v>
      </c>
      <c r="K81" s="84"/>
      <c r="L81" s="84"/>
    </row>
    <row r="82" spans="1:12" ht="17.25" customHeight="1" x14ac:dyDescent="0.25">
      <c r="A82" s="184" t="s">
        <v>90</v>
      </c>
      <c r="B82" s="180">
        <v>3.6</v>
      </c>
      <c r="C82" s="126" t="s">
        <v>58</v>
      </c>
      <c r="D82" s="127">
        <v>17.5</v>
      </c>
      <c r="E82" s="174" t="s">
        <v>57</v>
      </c>
      <c r="F82" s="175">
        <v>16.7</v>
      </c>
      <c r="G82" s="160" t="s">
        <v>89</v>
      </c>
      <c r="H82" s="129" t="s">
        <v>51</v>
      </c>
      <c r="K82" s="84"/>
      <c r="L82" s="84"/>
    </row>
    <row r="83" spans="1:12" ht="17.25" customHeight="1" x14ac:dyDescent="0.25">
      <c r="A83" s="184" t="s">
        <v>87</v>
      </c>
      <c r="B83" s="180">
        <v>8.5</v>
      </c>
      <c r="C83" s="126" t="s">
        <v>81</v>
      </c>
      <c r="D83" s="127">
        <v>22.1</v>
      </c>
      <c r="E83" s="135" t="s">
        <v>42</v>
      </c>
      <c r="F83" s="175">
        <v>23.2</v>
      </c>
      <c r="G83" s="160" t="s">
        <v>86</v>
      </c>
      <c r="H83" s="129" t="s">
        <v>40</v>
      </c>
      <c r="K83" s="84"/>
      <c r="L83" s="84"/>
    </row>
    <row r="84" spans="1:12" ht="17.25" customHeight="1" x14ac:dyDescent="0.25">
      <c r="A84" s="184" t="s">
        <v>85</v>
      </c>
      <c r="B84" s="180">
        <v>8.9</v>
      </c>
      <c r="C84" s="126" t="s">
        <v>81</v>
      </c>
      <c r="D84" s="127">
        <v>22.1</v>
      </c>
      <c r="E84" s="135" t="s">
        <v>42</v>
      </c>
      <c r="F84" s="175">
        <v>23.5</v>
      </c>
      <c r="G84" s="160" t="s">
        <v>84</v>
      </c>
      <c r="H84" s="129" t="s">
        <v>40</v>
      </c>
      <c r="K84" s="84"/>
      <c r="L84" s="84"/>
    </row>
    <row r="85" spans="1:12" ht="17.25" customHeight="1" x14ac:dyDescent="0.25">
      <c r="A85" s="184" t="s">
        <v>82</v>
      </c>
      <c r="B85" s="180">
        <v>8.9</v>
      </c>
      <c r="C85" s="126" t="s">
        <v>81</v>
      </c>
      <c r="D85" s="127">
        <v>22.1</v>
      </c>
      <c r="E85" s="135" t="s">
        <v>42</v>
      </c>
      <c r="F85" s="175">
        <v>23.5</v>
      </c>
      <c r="G85" s="160" t="s">
        <v>80</v>
      </c>
      <c r="H85" s="129" t="s">
        <v>40</v>
      </c>
      <c r="K85" s="84"/>
      <c r="L85" s="84"/>
    </row>
    <row r="86" spans="1:12" ht="17.25" customHeight="1" x14ac:dyDescent="0.25">
      <c r="A86" s="184" t="s">
        <v>78</v>
      </c>
      <c r="B86" s="180">
        <v>3.1</v>
      </c>
      <c r="C86" s="126" t="s">
        <v>77</v>
      </c>
      <c r="D86" s="127">
        <v>16.2</v>
      </c>
      <c r="E86" s="174" t="s">
        <v>76</v>
      </c>
      <c r="F86" s="175">
        <v>14.8</v>
      </c>
      <c r="G86" s="160" t="s">
        <v>75</v>
      </c>
      <c r="H86" s="129" t="s">
        <v>51</v>
      </c>
      <c r="K86" s="84"/>
      <c r="L86" s="84"/>
    </row>
    <row r="87" spans="1:12" ht="17.25" customHeight="1" x14ac:dyDescent="0.25">
      <c r="A87" s="184" t="s">
        <v>73</v>
      </c>
      <c r="B87" s="180">
        <v>11.3</v>
      </c>
      <c r="C87" s="126" t="s">
        <v>72</v>
      </c>
      <c r="D87" s="127">
        <v>24.2</v>
      </c>
      <c r="E87" s="135" t="s">
        <v>42</v>
      </c>
      <c r="F87" s="175">
        <v>24</v>
      </c>
      <c r="G87" s="160" t="s">
        <v>71</v>
      </c>
      <c r="H87" s="129" t="s">
        <v>40</v>
      </c>
    </row>
    <row r="88" spans="1:12" ht="17.25" customHeight="1" x14ac:dyDescent="0.25">
      <c r="A88" s="184" t="s">
        <v>70</v>
      </c>
      <c r="B88" s="180">
        <v>7.5</v>
      </c>
      <c r="C88" s="126" t="s">
        <v>43</v>
      </c>
      <c r="D88" s="127">
        <v>21</v>
      </c>
      <c r="E88" s="135" t="s">
        <v>65</v>
      </c>
      <c r="F88" s="175">
        <v>22.3</v>
      </c>
      <c r="G88" s="160" t="s">
        <v>69</v>
      </c>
      <c r="H88" s="129" t="s">
        <v>40</v>
      </c>
    </row>
    <row r="89" spans="1:12" ht="17.25" customHeight="1" x14ac:dyDescent="0.25">
      <c r="A89" s="184" t="s">
        <v>68</v>
      </c>
      <c r="B89" s="180">
        <v>8.1</v>
      </c>
      <c r="C89" s="169" t="s">
        <v>43</v>
      </c>
      <c r="D89" s="127">
        <v>21.6</v>
      </c>
      <c r="E89" s="176" t="s">
        <v>42</v>
      </c>
      <c r="F89" s="175">
        <v>23</v>
      </c>
      <c r="G89" s="160" t="s">
        <v>67</v>
      </c>
      <c r="H89" s="129" t="s">
        <v>40</v>
      </c>
    </row>
    <row r="90" spans="1:12" ht="17.25" customHeight="1" x14ac:dyDescent="0.25">
      <c r="A90" s="184" t="s">
        <v>66</v>
      </c>
      <c r="B90" s="180">
        <v>7.3</v>
      </c>
      <c r="C90" s="126" t="s">
        <v>43</v>
      </c>
      <c r="D90" s="127">
        <v>21.1</v>
      </c>
      <c r="E90" s="135" t="s">
        <v>65</v>
      </c>
      <c r="F90" s="175">
        <v>22.3</v>
      </c>
      <c r="G90" s="160" t="s">
        <v>64</v>
      </c>
      <c r="H90" s="129" t="s">
        <v>40</v>
      </c>
    </row>
    <row r="91" spans="1:12" ht="17.25" customHeight="1" x14ac:dyDescent="0.25">
      <c r="A91" s="184" t="s">
        <v>63</v>
      </c>
      <c r="B91" s="180">
        <v>6.7</v>
      </c>
      <c r="C91" s="126" t="s">
        <v>62</v>
      </c>
      <c r="D91" s="127">
        <v>20.2</v>
      </c>
      <c r="E91" s="174" t="s">
        <v>61</v>
      </c>
      <c r="F91" s="175">
        <v>21.2</v>
      </c>
      <c r="G91" s="167" t="s">
        <v>60</v>
      </c>
      <c r="H91" s="129" t="s">
        <v>40</v>
      </c>
    </row>
    <row r="92" spans="1:12" ht="17.25" customHeight="1" x14ac:dyDescent="0.25">
      <c r="A92" s="184" t="s">
        <v>59</v>
      </c>
      <c r="B92" s="180">
        <v>3.4</v>
      </c>
      <c r="C92" s="126" t="s">
        <v>58</v>
      </c>
      <c r="D92" s="127">
        <v>17.5</v>
      </c>
      <c r="E92" s="174" t="s">
        <v>57</v>
      </c>
      <c r="F92" s="175">
        <v>16.7</v>
      </c>
      <c r="G92" s="160" t="s">
        <v>56</v>
      </c>
      <c r="H92" s="129" t="s">
        <v>51</v>
      </c>
    </row>
    <row r="93" spans="1:12" ht="17.25" customHeight="1" x14ac:dyDescent="0.25">
      <c r="A93" s="184" t="s">
        <v>55</v>
      </c>
      <c r="B93" s="180">
        <v>4.3</v>
      </c>
      <c r="C93" s="126" t="s">
        <v>54</v>
      </c>
      <c r="D93" s="127">
        <v>18.2</v>
      </c>
      <c r="E93" s="174" t="s">
        <v>53</v>
      </c>
      <c r="F93" s="175">
        <v>18.2</v>
      </c>
      <c r="G93" s="160" t="s">
        <v>52</v>
      </c>
      <c r="H93" s="129" t="s">
        <v>51</v>
      </c>
    </row>
    <row r="94" spans="1:12" ht="17.25" customHeight="1" x14ac:dyDescent="0.25">
      <c r="A94" s="184" t="s">
        <v>50</v>
      </c>
      <c r="B94" s="180">
        <v>7.8</v>
      </c>
      <c r="C94" s="126" t="s">
        <v>43</v>
      </c>
      <c r="D94" s="127">
        <v>21.1</v>
      </c>
      <c r="E94" s="176" t="s">
        <v>42</v>
      </c>
      <c r="F94" s="175">
        <v>22.7</v>
      </c>
      <c r="G94" s="160" t="s">
        <v>49</v>
      </c>
      <c r="H94" s="129" t="s">
        <v>40</v>
      </c>
    </row>
    <row r="95" spans="1:12" ht="17.25" customHeight="1" x14ac:dyDescent="0.25">
      <c r="A95" s="184" t="s">
        <v>48</v>
      </c>
      <c r="B95" s="180">
        <v>8.1999999999999993</v>
      </c>
      <c r="C95" s="126" t="s">
        <v>43</v>
      </c>
      <c r="D95" s="127">
        <v>21.8</v>
      </c>
      <c r="E95" s="135" t="s">
        <v>42</v>
      </c>
      <c r="F95" s="175">
        <v>23</v>
      </c>
      <c r="G95" s="160" t="s">
        <v>47</v>
      </c>
      <c r="H95" s="129" t="s">
        <v>40</v>
      </c>
    </row>
    <row r="96" spans="1:12" ht="17.25" customHeight="1" x14ac:dyDescent="0.25">
      <c r="A96" s="184" t="s">
        <v>46</v>
      </c>
      <c r="B96" s="180">
        <v>7.8</v>
      </c>
      <c r="C96" s="126" t="s">
        <v>43</v>
      </c>
      <c r="D96" s="127">
        <v>21.2</v>
      </c>
      <c r="E96" s="135" t="s">
        <v>42</v>
      </c>
      <c r="F96" s="175">
        <v>22.8</v>
      </c>
      <c r="G96" s="160" t="s">
        <v>45</v>
      </c>
      <c r="H96" s="129" t="s">
        <v>40</v>
      </c>
    </row>
    <row r="97" spans="1:8" ht="17.25" customHeight="1" thickBot="1" x14ac:dyDescent="0.3">
      <c r="A97" s="185" t="s">
        <v>44</v>
      </c>
      <c r="B97" s="181">
        <v>8</v>
      </c>
      <c r="C97" s="170" t="s">
        <v>43</v>
      </c>
      <c r="D97" s="130">
        <v>21.4</v>
      </c>
      <c r="E97" s="177" t="s">
        <v>42</v>
      </c>
      <c r="F97" s="178">
        <v>23.2</v>
      </c>
      <c r="G97" s="171" t="s">
        <v>41</v>
      </c>
      <c r="H97" s="132" t="s">
        <v>40</v>
      </c>
    </row>
    <row r="98" spans="1:8" ht="17.25" customHeight="1" thickBot="1" x14ac:dyDescent="0.3"/>
    <row r="99" spans="1:8" ht="17.25" customHeight="1" thickBot="1" x14ac:dyDescent="0.3">
      <c r="A99" s="212" t="s">
        <v>154</v>
      </c>
      <c r="B99" s="109" t="s">
        <v>39</v>
      </c>
      <c r="C99" s="109" t="s">
        <v>38</v>
      </c>
      <c r="D99" s="109" t="s">
        <v>37</v>
      </c>
      <c r="E99" s="109" t="s">
        <v>36</v>
      </c>
      <c r="F99" s="110" t="s">
        <v>35</v>
      </c>
    </row>
    <row r="100" spans="1:8" ht="17.25" customHeight="1" x14ac:dyDescent="0.25">
      <c r="A100" s="210" t="s">
        <v>34</v>
      </c>
      <c r="B100" s="154">
        <v>-1.1732899999999999</v>
      </c>
      <c r="C100" s="154">
        <v>1.9609000000000001</v>
      </c>
      <c r="D100" s="154">
        <v>-8.7239999999999998E-2</v>
      </c>
      <c r="E100" s="154">
        <v>1.45573</v>
      </c>
      <c r="F100" s="156">
        <v>-0.50082000000000004</v>
      </c>
    </row>
    <row r="101" spans="1:8" ht="17.25" customHeight="1" thickBot="1" x14ac:dyDescent="0.3">
      <c r="A101" s="211" t="s">
        <v>33</v>
      </c>
      <c r="B101" s="165">
        <v>-1.3185100000000001</v>
      </c>
      <c r="C101" s="165">
        <v>1.8674900000000001</v>
      </c>
      <c r="D101" s="165">
        <v>1.8169999999999999E-2</v>
      </c>
      <c r="E101" s="165">
        <v>1.9719800000000001</v>
      </c>
      <c r="F101" s="130">
        <v>-0.96647000000000005</v>
      </c>
    </row>
    <row r="102" spans="1:8" ht="17.25" customHeight="1" x14ac:dyDescent="0.25">
      <c r="A102" s="204" t="s">
        <v>32</v>
      </c>
      <c r="B102" s="205">
        <v>-0.74953999999999998</v>
      </c>
      <c r="C102" s="205">
        <v>2.0975000000000001</v>
      </c>
      <c r="D102" s="205">
        <v>-0.77173999999999998</v>
      </c>
      <c r="E102" s="205">
        <v>3.1531099999999999</v>
      </c>
      <c r="F102" s="206">
        <v>-1.8273900000000001</v>
      </c>
    </row>
    <row r="103" spans="1:8" ht="17.25" customHeight="1" thickBot="1" x14ac:dyDescent="0.3">
      <c r="A103" s="207" t="s">
        <v>31</v>
      </c>
      <c r="B103" s="208">
        <v>-0.97019999999999995</v>
      </c>
      <c r="C103" s="208">
        <v>2.03084</v>
      </c>
      <c r="D103" s="208">
        <v>-0.51803999999999994</v>
      </c>
      <c r="E103" s="208">
        <v>2.9119700000000002</v>
      </c>
      <c r="F103" s="209">
        <v>-1.6619999999999999</v>
      </c>
    </row>
    <row r="104" spans="1:8" ht="17.25" customHeight="1" x14ac:dyDescent="0.25">
      <c r="A104" s="210" t="s">
        <v>30</v>
      </c>
      <c r="B104" s="154">
        <v>-0.45023000000000002</v>
      </c>
      <c r="C104" s="154">
        <v>2.46001</v>
      </c>
      <c r="D104" s="154">
        <v>-1.35198</v>
      </c>
      <c r="E104" s="154">
        <v>4.9554299999999998</v>
      </c>
      <c r="F104" s="156">
        <v>-3.5893099999999998</v>
      </c>
    </row>
    <row r="105" spans="1:8" ht="17.25" customHeight="1" thickBot="1" x14ac:dyDescent="0.3">
      <c r="A105" s="211" t="s">
        <v>29</v>
      </c>
      <c r="B105" s="165">
        <v>-0.82042999999999999</v>
      </c>
      <c r="C105" s="165">
        <v>2.29243</v>
      </c>
      <c r="D105" s="165">
        <v>-1.2058</v>
      </c>
      <c r="E105" s="165">
        <v>6.9138500000000001</v>
      </c>
      <c r="F105" s="130">
        <v>-5.3199399999999999</v>
      </c>
    </row>
    <row r="107" spans="1:8" ht="17.25" customHeight="1" thickBot="1" x14ac:dyDescent="0.3">
      <c r="A107" s="285" t="s">
        <v>161</v>
      </c>
    </row>
    <row r="108" spans="1:8" ht="17.25" customHeight="1" thickBot="1" x14ac:dyDescent="0.3">
      <c r="A108" s="228" t="s">
        <v>83</v>
      </c>
      <c r="B108" s="107" t="s">
        <v>79</v>
      </c>
      <c r="C108" s="108" t="s">
        <v>74</v>
      </c>
    </row>
    <row r="109" spans="1:8" ht="17.25" customHeight="1" thickBot="1" x14ac:dyDescent="0.3">
      <c r="A109" s="111" t="e">
        <f>VLOOKUP($C$5,$A$77:$F$97,6)</f>
        <v>#N/A</v>
      </c>
      <c r="B109" s="111" t="e">
        <f>VLOOKUP($C$5,$A$77:$F$97,4)</f>
        <v>#N/A</v>
      </c>
      <c r="C109" s="112" t="e">
        <f>VLOOKUP($C$5,$A$77:$F$97,6)</f>
        <v>#N/A</v>
      </c>
    </row>
    <row r="190" spans="13:13" ht="17.25" customHeight="1" x14ac:dyDescent="0.25">
      <c r="M190" s="106"/>
    </row>
    <row r="191" spans="13:13" ht="17.25" customHeight="1" x14ac:dyDescent="0.25">
      <c r="M191" s="106"/>
    </row>
    <row r="192" spans="13:13" ht="17.25" customHeight="1" x14ac:dyDescent="0.25">
      <c r="M192" s="106"/>
    </row>
    <row r="193" spans="13:13" ht="17.25" customHeight="1" x14ac:dyDescent="0.25">
      <c r="M193" s="106"/>
    </row>
    <row r="194" spans="13:13" ht="17.25" customHeight="1" x14ac:dyDescent="0.25">
      <c r="M194" s="106"/>
    </row>
    <row r="195" spans="13:13" ht="17.25" customHeight="1" x14ac:dyDescent="0.25">
      <c r="M195" s="106"/>
    </row>
    <row r="196" spans="13:13" ht="17.25" customHeight="1" x14ac:dyDescent="0.25">
      <c r="M196" s="106"/>
    </row>
    <row r="197" spans="13:13" ht="17.25" customHeight="1" x14ac:dyDescent="0.25">
      <c r="M197" s="106"/>
    </row>
    <row r="198" spans="13:13" ht="17.25" customHeight="1" x14ac:dyDescent="0.25">
      <c r="M198" s="106"/>
    </row>
    <row r="199" spans="13:13" ht="17.25" customHeight="1" x14ac:dyDescent="0.25">
      <c r="M199" s="106"/>
    </row>
    <row r="200" spans="13:13" ht="17.25" customHeight="1" x14ac:dyDescent="0.25">
      <c r="M200" s="106"/>
    </row>
    <row r="201" spans="13:13" ht="17.25" customHeight="1" x14ac:dyDescent="0.25">
      <c r="M201" s="106"/>
    </row>
    <row r="202" spans="13:13" ht="17.25" customHeight="1" x14ac:dyDescent="0.25">
      <c r="M202" s="106"/>
    </row>
    <row r="203" spans="13:13" ht="17.25" customHeight="1" x14ac:dyDescent="0.25">
      <c r="M203" s="106"/>
    </row>
    <row r="204" spans="13:13" ht="17.25" customHeight="1" x14ac:dyDescent="0.25">
      <c r="M204" s="106"/>
    </row>
    <row r="205" spans="13:13" ht="17.25" customHeight="1" x14ac:dyDescent="0.25">
      <c r="M205" s="106"/>
    </row>
    <row r="206" spans="13:13" ht="17.25" customHeight="1" x14ac:dyDescent="0.25">
      <c r="M206" s="106"/>
    </row>
    <row r="207" spans="13:13" ht="17.25" customHeight="1" x14ac:dyDescent="0.25">
      <c r="M207" s="106"/>
    </row>
    <row r="208" spans="13:13" ht="17.25" customHeight="1" x14ac:dyDescent="0.25">
      <c r="M208" s="106"/>
    </row>
    <row r="209" spans="13:13" ht="17.25" customHeight="1" x14ac:dyDescent="0.25">
      <c r="M209" s="106"/>
    </row>
  </sheetData>
  <sheetProtection selectLockedCells="1"/>
  <mergeCells count="16">
    <mergeCell ref="B49:F49"/>
    <mergeCell ref="G49:K49"/>
    <mergeCell ref="A4:B4"/>
    <mergeCell ref="A5:B5"/>
    <mergeCell ref="N14:P14"/>
    <mergeCell ref="B13:C13"/>
    <mergeCell ref="D13:F13"/>
    <mergeCell ref="G13:H13"/>
    <mergeCell ref="I13:K13"/>
    <mergeCell ref="L13:M13"/>
    <mergeCell ref="N13:P13"/>
    <mergeCell ref="B14:C14"/>
    <mergeCell ref="D14:F14"/>
    <mergeCell ref="G14:H14"/>
    <mergeCell ref="I14:K14"/>
    <mergeCell ref="L14:M14"/>
  </mergeCells>
  <pageMargins left="0.98425196850393704" right="0.19685039370078741" top="0.59055118110236227" bottom="0.39370078740157483" header="0.19685039370078741" footer="0.19685039370078741"/>
  <pageSetup paperSize="8" scale="48" orientation="portrait" r:id="rId1"/>
  <headerFooter alignWithMargins="0">
    <oddFooter>&amp;L&amp;"Calibri"&amp;11&amp;K000000&amp;"Calibri"&amp;11&amp;K000000&amp;"Calibri"&amp;11&amp;K000000&amp;8LeiBen / &amp;"Arial,Fet"&amp;10Utgåva 1&amp;"Arial,Normal" &amp;8 2007-11-06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D6E1789BD2C924C9AD27D3931A65AA4" ma:contentTypeVersion="6" ma:contentTypeDescription="Create a new document." ma:contentTypeScope="" ma:versionID="cc95ea0729326ce498b5024c3c34a7f0">
  <xsd:schema xmlns:xsd="http://www.w3.org/2001/XMLSchema" xmlns:xs="http://www.w3.org/2001/XMLSchema" xmlns:p="http://schemas.microsoft.com/office/2006/metadata/properties" xmlns:ns2="2a1259a8-9be4-4f50-8927-e6dd8ca9402d" xmlns:ns3="ce57bdf0-80b2-4782-a14e-d61b31d8edf5" xmlns:ns4="48933de3-8920-4585-97ae-1a0e64138b11" targetNamespace="http://schemas.microsoft.com/office/2006/metadata/properties" ma:root="true" ma:fieldsID="a647bc83186f6058a980e3607c410a5b" ns2:_="" ns3:_="" ns4:_="">
    <xsd:import namespace="2a1259a8-9be4-4f50-8927-e6dd8ca9402d"/>
    <xsd:import namespace="ce57bdf0-80b2-4782-a14e-d61b31d8edf5"/>
    <xsd:import namespace="48933de3-8920-4585-97ae-1a0e64138b1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  <xsd:element ref="ns4:_x006b_fk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1259a8-9be4-4f50-8927-e6dd8ca9402d" elementFormDefault="qualified">
    <xsd:import namespace="http://schemas.microsoft.com/office/2006/documentManagement/types"/>
    <xsd:import namespace="http://schemas.microsoft.com/office/infopath/2007/PartnerControls"/>
    <xsd:element name="_dlc_DocId" ma:index="5" nillable="true" ma:displayName="Dokument-ID-värde" ma:description="Värdet för dokument-ID som tilldelats till det här objektet." ma:internalName="_dlc_DocId" ma:readOnly="true">
      <xsd:simpleType>
        <xsd:restriction base="dms:Text"/>
      </xsd:simpleType>
    </xsd:element>
    <xsd:element name="_dlc_DocIdUrl" ma:index="6" nillable="true" ma:displayName="Dokument-ID" ma:description="Permanent länk till det här dokumente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7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57bdf0-80b2-4782-a14e-d61b31d8edf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SearchPeopleOnly="false" ma:SharePointGroup="0" ma:internalName="SharedWithUsers" ma:readOnly="tru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33de3-8920-4585-97ae-1a0e64138b11" elementFormDefault="qualified">
    <xsd:import namespace="http://schemas.microsoft.com/office/2006/documentManagement/types"/>
    <xsd:import namespace="http://schemas.microsoft.com/office/infopath/2007/PartnerControls"/>
    <xsd:element name="_x006b_fk0" ma:index="13" nillable="true" ma:displayName="Text" ma:internalName="_x006b_fk0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6b_fk0 xmlns="48933de3-8920-4585-97ae-1a0e64138b11" xsi:nil="true"/>
  </documentManagement>
</p:properties>
</file>

<file path=customXml/item3.xml><?xml version="1.0" encoding="utf-8"?>
<?mso-contentType ?>
<spe:Receivers xmlns:spe="http://schemas.microsoft.com/sharepoint/event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3E6F1D-DFA2-411B-A458-D6CFB100E4A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1259a8-9be4-4f50-8927-e6dd8ca9402d"/>
    <ds:schemaRef ds:uri="ce57bdf0-80b2-4782-a14e-d61b31d8edf5"/>
    <ds:schemaRef ds:uri="48933de3-8920-4585-97ae-1a0e64138b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7B0AD61-7EA6-4765-A984-9C2055752A66}">
  <ds:schemaRefs>
    <ds:schemaRef ds:uri="http://schemas.microsoft.com/office/2006/metadata/properties"/>
    <ds:schemaRef ds:uri="http://purl.org/dc/elements/1.1/"/>
    <ds:schemaRef ds:uri="48933de3-8920-4585-97ae-1a0e64138b11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ce57bdf0-80b2-4782-a14e-d61b31d8edf5"/>
    <ds:schemaRef ds:uri="http://schemas.microsoft.com/office/2006/documentManagement/types"/>
    <ds:schemaRef ds:uri="2a1259a8-9be4-4f50-8927-e6dd8ca9402d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2BE1FBD-1426-4BDB-859B-F9721D67AB8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97ED4594-BF1F-4351-B031-A0F377C6AE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Värderingsbilaga</vt:lpstr>
      <vt:lpstr>Karta Tillväxtområde</vt:lpstr>
      <vt:lpstr>Tabeller Värdering enstaka träd</vt:lpstr>
      <vt:lpstr>Á_pris_kr_m2</vt:lpstr>
      <vt:lpstr>Gran</vt:lpstr>
      <vt:lpstr>GranMV</vt:lpstr>
      <vt:lpstr>Län</vt:lpstr>
      <vt:lpstr>ListØ</vt:lpstr>
      <vt:lpstr>Löv</vt:lpstr>
      <vt:lpstr>LövMV</vt:lpstr>
      <vt:lpstr>Planthöjd</vt:lpstr>
      <vt:lpstr>'Tabeller Värdering enstaka träd'!prisrelation</vt:lpstr>
      <vt:lpstr>Röjskog</vt:lpstr>
      <vt:lpstr>Röjskog2</vt:lpstr>
      <vt:lpstr>Tall</vt:lpstr>
      <vt:lpstr>TallMV</vt:lpstr>
    </vt:vector>
  </TitlesOfParts>
  <Company>Vattenfall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Henriksson</dc:creator>
  <cp:lastModifiedBy>Olsson Lena (GS-AS) ext</cp:lastModifiedBy>
  <cp:lastPrinted>2022-01-13T08:56:04Z</cp:lastPrinted>
  <dcterms:created xsi:type="dcterms:W3CDTF">2017-01-03T10:14:26Z</dcterms:created>
  <dcterms:modified xsi:type="dcterms:W3CDTF">2022-01-16T14:32:51Z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9559495-8c45-4333-a448-fe4ad50e7cd4_Enabled">
    <vt:lpwstr>true</vt:lpwstr>
  </property>
  <property fmtid="{D5CDD505-2E9C-101B-9397-08002B2CF9AE}" pid="3" name="MSIP_Label_c9559495-8c45-4333-a448-fe4ad50e7cd4_SetDate">
    <vt:lpwstr>2022-01-13T08:47:50Z</vt:lpwstr>
  </property>
  <property fmtid="{D5CDD505-2E9C-101B-9397-08002B2CF9AE}" pid="4" name="MSIP_Label_c9559495-8c45-4333-a448-fe4ad50e7cd4_Method">
    <vt:lpwstr>Privileged</vt:lpwstr>
  </property>
  <property fmtid="{D5CDD505-2E9C-101B-9397-08002B2CF9AE}" pid="5" name="MSIP_Label_c9559495-8c45-4333-a448-fe4ad50e7cd4_Name">
    <vt:lpwstr>c9559495-8c45-4333-a448-fe4ad50e7cd4</vt:lpwstr>
  </property>
  <property fmtid="{D5CDD505-2E9C-101B-9397-08002B2CF9AE}" pid="6" name="MSIP_Label_c9559495-8c45-4333-a448-fe4ad50e7cd4_SiteId">
    <vt:lpwstr>f8be18a6-f648-4a47-be73-86d6c5c6604d</vt:lpwstr>
  </property>
  <property fmtid="{D5CDD505-2E9C-101B-9397-08002B2CF9AE}" pid="7" name="MSIP_Label_c9559495-8c45-4333-a448-fe4ad50e7cd4_ActionId">
    <vt:lpwstr>182d4962-3e6a-4fd9-8895-d79d3bb449ff</vt:lpwstr>
  </property>
  <property fmtid="{D5CDD505-2E9C-101B-9397-08002B2CF9AE}" pid="8" name="MSIP_Label_c9559495-8c45-4333-a448-fe4ad50e7cd4_ContentBits">
    <vt:lpwstr>0</vt:lpwstr>
  </property>
  <property fmtid="{D5CDD505-2E9C-101B-9397-08002B2CF9AE}" pid="9" name="ContentTypeId">
    <vt:lpwstr>0x010100ED6E1789BD2C924C9AD27D3931A65AA4</vt:lpwstr>
  </property>
</Properties>
</file>