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ms-office.chartex+xml" PartName="/xl/charts/chartEx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Principal" sheetId="2" r:id="rId5"/>
    <sheet state="visible" name="Análises" sheetId="3" r:id="rId6"/>
    <sheet state="visible" name="Total_de_acoes" sheetId="4" r:id="rId7"/>
    <sheet state="visible" name="Ticker" sheetId="5" r:id="rId8"/>
    <sheet state="visible" name="ChatGPT" sheetId="6" r:id="rId9"/>
  </sheets>
  <definedNames>
    <definedName hidden="1" localSheetId="1" name="_xlnm._FilterDatabase">Principal!$D$1:$D$82</definedName>
    <definedName hidden="1" localSheetId="2" name="_xlnm._FilterDatabase">'Análises'!$A$10:$C$62</definedName>
  </definedNames>
  <calcPr/>
</workbook>
</file>

<file path=xl/sharedStrings.xml><?xml version="1.0" encoding="utf-8"?>
<sst xmlns="http://schemas.openxmlformats.org/spreadsheetml/2006/main" count="1695" uniqueCount="1086">
  <si>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</si>
  <si>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</si>
  <si>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</si>
  <si>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</si>
  <si>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</si>
  <si>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</si>
  <si>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</si>
  <si>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</si>
  <si>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</si>
  <si>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</si>
  <si>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</si>
  <si>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</si>
  <si>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</si>
  <si>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</si>
  <si>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</si>
  <si>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</si>
  <si>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</si>
  <si>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</si>
  <si>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</si>
  <si>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</si>
  <si>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</si>
  <si>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</si>
  <si>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</si>
  <si>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</si>
  <si>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</si>
  <si>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</si>
  <si>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</si>
  <si>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</si>
  <si>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</si>
  <si>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</si>
  <si>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</si>
  <si>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</si>
  <si>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</si>
  <si>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</si>
  <si>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</si>
  <si>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</si>
  <si>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</si>
  <si>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</si>
  <si>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</si>
  <si>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</si>
  <si>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</si>
  <si>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</si>
  <si>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</si>
  <si>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</si>
  <si>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</si>
  <si>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</si>
  <si>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</si>
  <si>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</si>
  <si>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</si>
  <si>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</si>
  <si>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</si>
  <si>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</si>
  <si>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</si>
  <si>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</si>
  <si>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</si>
  <si>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</si>
  <si>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</si>
  <si>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</si>
  <si>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</si>
  <si>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</si>
  <si>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</si>
  <si>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</si>
  <si>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</si>
  <si>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</si>
  <si>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</si>
  <si>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</si>
  <si>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</si>
  <si>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</si>
  <si>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</si>
  <si>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</si>
  <si>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</si>
  <si>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</si>
  <si>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</si>
  <si>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</si>
  <si>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</si>
  <si>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</si>
  <si>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</si>
  <si>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</si>
  <si>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</si>
  <si>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</si>
  <si>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</si>
  <si>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</si>
  <si>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</si>
  <si>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</si>
  <si>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</si>
  <si>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</si>
  <si>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</si>
  <si>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</si>
  <si>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</si>
  <si>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</si>
  <si>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</si>
  <si>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</si>
  <si>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</si>
  <si>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</si>
  <si>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</si>
  <si>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</si>
  <si>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</si>
  <si>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</si>
  <si>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</si>
  <si>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</si>
  <si>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</si>
  <si>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</si>
  <si>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</si>
  <si>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</si>
  <si>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</si>
  <si>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</si>
  <si>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</si>
  <si>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</si>
  <si>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</si>
  <si>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</si>
  <si>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</si>
  <si>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</si>
  <si>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</si>
  <si>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</si>
  <si>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</si>
  <si>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</si>
  <si>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</si>
  <si>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</si>
  <si>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</si>
  <si>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</si>
  <si>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</si>
  <si>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</si>
  <si>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</si>
  <si>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</si>
  <si>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</si>
  <si>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</si>
  <si>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</si>
  <si>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</si>
  <si>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</si>
  <si>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</si>
  <si>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</si>
  <si>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</si>
  <si>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</si>
  <si>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</si>
  <si>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</si>
  <si>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</si>
  <si>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</si>
  <si>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</si>
  <si>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</si>
  <si>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</si>
  <si>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</si>
  <si>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</si>
  <si>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</si>
  <si>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</si>
  <si>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</si>
  <si>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</si>
  <si>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</si>
  <si>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</si>
  <si>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</si>
  <si>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</si>
  <si>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</si>
  <si>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</si>
  <si>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</si>
  <si>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</si>
  <si>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</si>
  <si>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</si>
  <si>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</si>
  <si>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</si>
  <si>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</si>
  <si>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</si>
  <si>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</si>
  <si>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</si>
  <si>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</si>
  <si>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</si>
  <si>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</si>
  <si>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</si>
  <si>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</si>
  <si>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</si>
  <si>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</si>
  <si>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</si>
  <si>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</si>
  <si>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</si>
  <si>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Nome</t>
  </si>
  <si>
    <t>Segmento</t>
  </si>
  <si>
    <t>Idade</t>
  </si>
  <si>
    <t>Faixa Idade</t>
  </si>
  <si>
    <t>Preço Inicial (R$)</t>
  </si>
  <si>
    <t>Var. Dia Percentual</t>
  </si>
  <si>
    <t>Var. Sem. Percentual</t>
  </si>
  <si>
    <t>Var. Mês Percentual</t>
  </si>
  <si>
    <t>Var. Ano Percentual</t>
  </si>
  <si>
    <t>Var. 12M Percentual</t>
  </si>
  <si>
    <t>Qtdade. Ações</t>
  </si>
  <si>
    <t>Vol. R$ Diário</t>
  </si>
  <si>
    <t>Resultado</t>
  </si>
  <si>
    <t>-</t>
  </si>
  <si>
    <t>Maior Variação R$</t>
  </si>
  <si>
    <t>Menor Variação R$</t>
  </si>
  <si>
    <t>Média de Variação R$</t>
  </si>
  <si>
    <t>Média de Variação R$ ↑</t>
  </si>
  <si>
    <t>Média de Variação R$ ↓</t>
  </si>
  <si>
    <t>Variação Volume R$</t>
  </si>
  <si>
    <t>Variação da ações que subiram</t>
  </si>
  <si>
    <t>Saldo</t>
  </si>
  <si>
    <t>Qtdade. Empresas</t>
  </si>
  <si>
    <t xml:space="preserve">       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</si>
  <si>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</si>
  <si>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</si>
  <si>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</si>
  <si>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</si>
  <si>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</si>
  <si>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</si>
  <si>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</si>
  <si>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</si>
  <si>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</si>
  <si>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</si>
  <si>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</si>
  <si>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</si>
  <si>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</si>
  <si>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</si>
  <si>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</si>
  <si>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</si>
  <si>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</si>
  <si>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</si>
  <si>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</si>
  <si>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</si>
  <si>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</si>
  <si>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</si>
  <si>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</si>
  <si>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</si>
  <si>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</si>
  <si>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</si>
  <si>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</si>
  <si>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</si>
  <si>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</si>
  <si>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</si>
  <si>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</si>
  <si>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</si>
  <si>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</si>
  <si>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</si>
  <si>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</si>
  <si>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</si>
  <si>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</si>
  <si>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</si>
  <si>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</si>
  <si>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</si>
  <si>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</si>
  <si>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</si>
  <si>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</si>
  <si>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</si>
  <si>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</si>
  <si>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</si>
  <si>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</si>
  <si>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</si>
  <si>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</si>
  <si>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</si>
  <si>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</si>
  <si>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</si>
  <si>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</si>
  <si>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</si>
  <si>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</si>
  <si>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</si>
  <si>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</si>
  <si>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</si>
  <si>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</si>
  <si>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</si>
  <si>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</si>
  <si>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</si>
  <si>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</si>
  <si>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</si>
  <si>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</si>
  <si>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</si>
  <si>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</si>
  <si>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</si>
  <si>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</si>
  <si>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</si>
  <si>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</si>
  <si>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</si>
  <si>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</si>
  <si>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</si>
  <si>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</si>
  <si>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</si>
  <si>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</si>
  <si>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</si>
  <si>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</si>
  <si>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</si>
  <si>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</si>
  <si>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</si>
  <si>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</si>
  <si>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</si>
  <si>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</si>
  <si>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</si>
  <si>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</si>
  <si>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</si>
  <si>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</si>
  <si>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</si>
  <si>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</si>
  <si>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</si>
  <si>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</si>
  <si>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</si>
  <si>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</si>
  <si>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</si>
  <si>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</si>
  <si>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</si>
  <si>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</si>
  <si>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</si>
  <si>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</si>
  <si>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</si>
  <si>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</si>
  <si>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</si>
  <si>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</si>
  <si>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</si>
  <si>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</si>
  <si>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</si>
  <si>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</si>
  <si>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</si>
  <si>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</si>
  <si>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</si>
  <si>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</si>
  <si>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</si>
  <si>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</si>
  <si>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</si>
  <si>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</si>
  <si>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</si>
  <si>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</si>
  <si>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</si>
  <si>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</si>
  <si>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</si>
  <si>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</si>
  <si>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</si>
  <si>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</si>
  <si>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</si>
  <si>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</si>
  <si>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</si>
  <si>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</si>
  <si>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</si>
  <si>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</si>
  <si>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</si>
  <si>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</si>
  <si>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</si>
  <si>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</si>
  <si>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</si>
  <si>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</si>
  <si>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</si>
  <si>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</si>
  <si>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</si>
  <si>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</si>
  <si>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</si>
  <si>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</si>
  <si>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</si>
  <si>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</si>
  <si>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</si>
  <si>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</si>
  <si>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</si>
  <si>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</si>
  <si>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</si>
  <si>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</si>
  <si>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</si>
  <si>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</si>
  <si>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</si>
  <si>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</si>
  <si>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</si>
  <si>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</si>
  <si>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</si>
  <si>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</si>
  <si>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</si>
  <si>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</si>
  <si>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</si>
  <si>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</si>
  <si>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</si>
  <si>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</si>
  <si>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</si>
  <si>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</si>
  <si>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</si>
  <si>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</si>
  <si>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</si>
  <si>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</si>
  <si>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</si>
  <si>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</si>
  <si>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</si>
  <si>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</si>
  <si>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</si>
  <si>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</si>
  <si>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</si>
  <si>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</si>
  <si>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</si>
  <si>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</si>
  <si>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</si>
  <si>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</si>
  <si>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</si>
  <si>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</si>
  <si>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</si>
  <si>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</si>
  <si>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</si>
  <si>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</si>
  <si>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</si>
  <si>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</si>
  <si>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</si>
  <si>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</si>
  <si>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</si>
  <si>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</si>
  <si>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</si>
  <si>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</si>
  <si>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</si>
  <si>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</si>
  <si>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</si>
  <si>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</si>
  <si>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</si>
  <si>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</si>
  <si>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</si>
  <si>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</si>
  <si>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</si>
  <si>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</si>
  <si>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</si>
  <si>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</si>
  <si>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</si>
  <si>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</si>
  <si>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</si>
  <si>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</si>
  <si>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</si>
  <si>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</si>
  <si>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</si>
  <si>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</si>
  <si>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</si>
  <si>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</si>
  <si>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</si>
  <si>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</si>
  <si>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</si>
  <si>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</si>
  <si>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</si>
  <si>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</si>
  <si>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</si>
  <si>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</si>
  <si>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</si>
  <si>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</si>
  <si>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</si>
  <si>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</si>
  <si>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</si>
  <si>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</si>
  <si>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</si>
  <si>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</si>
  <si>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</si>
  <si>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</si>
  <si>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</si>
  <si>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</si>
  <si>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</si>
  <si>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</si>
  <si>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</si>
  <si>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</si>
  <si>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</si>
  <si>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</si>
  <si>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</si>
  <si>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</si>
  <si>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</si>
  <si>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</si>
  <si>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</si>
  <si>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</si>
  <si>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</si>
  <si>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</si>
  <si>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</si>
  <si>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</si>
  <si>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</si>
  <si>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</si>
  <si>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</si>
  <si>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</si>
  <si>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</si>
  <si>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</si>
  <si>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</si>
  <si>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</si>
  <si>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</si>
  <si>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</si>
  <si>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</si>
  <si>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</si>
  <si>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</si>
  <si>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</si>
  <si>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</si>
  <si>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</si>
  <si>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</si>
  <si>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</si>
  <si>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</si>
  <si>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</si>
  <si>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</si>
  <si>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</si>
  <si>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</si>
  <si>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</si>
  <si>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</si>
  <si>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</si>
  <si>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</si>
  <si>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</si>
  <si>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</si>
  <si>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</si>
  <si>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</si>
  <si>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</si>
  <si>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</si>
  <si>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</si>
  <si>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</si>
  <si>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</si>
  <si>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</si>
  <si>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</si>
  <si>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</si>
  <si>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</si>
  <si>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</si>
  <si>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</si>
  <si>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</si>
  <si>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</si>
  <si>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</si>
  <si>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</si>
  <si>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</si>
  <si>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</si>
  <si>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</si>
  <si>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</si>
  <si>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</si>
  <si>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</si>
  <si>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</si>
  <si>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</si>
  <si>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</si>
  <si>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</si>
  <si>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</si>
  <si>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</si>
  <si>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</si>
  <si>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</si>
  <si>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</si>
  <si>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</si>
  <si>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</si>
  <si>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</si>
  <si>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</si>
  <si>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</si>
  <si>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</si>
  <si>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</si>
  <si>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</si>
  <si>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</si>
  <si>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</si>
  <si>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</si>
  <si>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</si>
  <si>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</si>
  <si>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</si>
  <si>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</si>
  <si>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</si>
  <si>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</si>
  <si>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</si>
  <si>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</si>
  <si>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</si>
  <si>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</si>
  <si>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</si>
  <si>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</si>
  <si>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</si>
  <si>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</si>
  <si>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</si>
  <si>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</si>
  <si>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</si>
  <si>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</si>
  <si>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</si>
  <si>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</si>
  <si>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</si>
  <si>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</si>
  <si>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</si>
  <si>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</si>
  <si>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</si>
  <si>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</si>
  <si>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</si>
  <si>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</si>
  <si>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</si>
  <si>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</si>
  <si>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</si>
  <si>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</si>
  <si>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</si>
  <si>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</si>
  <si>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</si>
  <si>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</si>
  <si>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</si>
  <si>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</si>
  <si>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</si>
  <si>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</si>
  <si>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</si>
  <si>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</si>
  <si>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</si>
  <si>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</si>
  <si>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</si>
  <si>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</si>
  <si>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</si>
  <si>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</si>
  <si>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</si>
  <si>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</si>
  <si>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</si>
  <si>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</si>
  <si>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</si>
  <si>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</si>
  <si>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</si>
  <si>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</si>
  <si>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</si>
  <si>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</si>
  <si>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</si>
  <si>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</si>
  <si>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</si>
  <si>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</si>
  <si>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</si>
  <si>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</si>
  <si>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</si>
  <si>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</si>
  <si>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</si>
  <si>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</si>
  <si>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</si>
  <si>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</si>
  <si>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</si>
  <si>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</si>
  <si>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</si>
  <si>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</si>
  <si>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</si>
  <si>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</si>
  <si>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</si>
  <si>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</si>
  <si>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</si>
  <si>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</si>
  <si>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</si>
  <si>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</si>
  <si>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</si>
  <si>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</si>
  <si>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</si>
  <si>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</si>
  <si>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</si>
  <si>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</si>
  <si>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</si>
  <si>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</si>
  <si>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</si>
  <si>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</si>
  <si>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</si>
  <si>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</si>
  <si>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</si>
  <si>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</si>
  <si>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</si>
  <si>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</si>
  <si>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</si>
  <si>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</si>
  <si>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</si>
  <si>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</si>
  <si>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</si>
  <si>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</si>
  <si>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</si>
  <si>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</si>
  <si>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</si>
  <si>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</si>
  <si>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</si>
  <si>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</si>
  <si>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</si>
  <si>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</si>
  <si>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</si>
  <si>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</si>
  <si>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</si>
  <si>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</si>
  <si>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</si>
  <si>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</si>
  <si>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</si>
  <si>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</si>
  <si>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</si>
  <si>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</si>
  <si>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</si>
  <si>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</si>
  <si>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</si>
  <si>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</si>
  <si>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</si>
  <si>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</si>
  <si>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</si>
  <si>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</si>
  <si>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</si>
  <si>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</si>
  <si>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</si>
  <si>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</si>
  <si>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</si>
  <si>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</si>
  <si>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</si>
  <si>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</si>
  <si>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</si>
  <si>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</si>
  <si>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</si>
  <si>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</si>
  <si>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</si>
  <si>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</si>
  <si>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</si>
  <si>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</si>
  <si>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</si>
  <si>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</si>
  <si>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</si>
  <si>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</si>
  <si>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</si>
  <si>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</si>
  <si>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</si>
  <si>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</si>
  <si>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</si>
  <si>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</si>
  <si>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</si>
  <si>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</si>
  <si>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</si>
  <si>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</si>
  <si>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</si>
  <si>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</si>
  <si>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</si>
  <si>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</si>
  <si>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</si>
  <si>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</si>
  <si>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</si>
  <si>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</si>
  <si>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</si>
  <si>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</si>
  <si>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</si>
  <si>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</si>
  <si>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</si>
  <si>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</si>
  <si>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</si>
  <si>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</si>
  <si>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</si>
  <si>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</si>
  <si>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</si>
  <si>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</si>
  <si>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</si>
  <si>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</si>
  <si>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</si>
  <si>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</si>
  <si>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</si>
  <si>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</si>
  <si>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</si>
  <si>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</si>
  <si>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</si>
  <si>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</si>
  <si>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</si>
  <si>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</si>
  <si>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</si>
  <si>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</si>
  <si>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</si>
  <si>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</si>
  <si>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</si>
  <si>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</si>
  <si>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</si>
  <si>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</si>
  <si>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</si>
  <si>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</si>
  <si>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</si>
  <si>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</si>
  <si>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</si>
  <si>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</si>
  <si>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</si>
  <si>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</si>
  <si>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</si>
  <si>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</si>
  <si>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</si>
  <si>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</si>
  <si>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</si>
  <si>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</si>
  <si>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</si>
  <si>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</si>
  <si>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</si>
  <si>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</si>
  <si>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</si>
  <si>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</si>
  <si>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</si>
  <si>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</si>
  <si>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</si>
  <si>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</si>
  <si>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</si>
  <si>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</si>
  <si>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</si>
  <si>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</si>
  <si>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</si>
  <si>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</si>
  <si>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</si>
  <si>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</si>
  <si>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</si>
  <si>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</si>
  <si>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</si>
  <si>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</si>
  <si>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</si>
  <si>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</si>
  <si>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</si>
  <si>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</si>
  <si>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</si>
  <si>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</si>
  <si>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</si>
  <si>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</si>
  <si>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</si>
  <si>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</si>
  <si>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</si>
  <si>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</si>
  <si>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</si>
  <si>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</si>
  <si>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</si>
  <si>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</si>
  <si>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</si>
  <si>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</si>
  <si>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</si>
  <si>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</si>
  <si>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</si>
  <si>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</si>
  <si>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</si>
  <si>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</si>
  <si>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</si>
  <si>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</si>
  <si>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</si>
  <si>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</si>
  <si>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</si>
  <si>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</si>
  <si>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</si>
  <si>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</si>
  <si>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</si>
  <si>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</si>
  <si>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</si>
  <si>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</si>
  <si>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</si>
  <si>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</si>
  <si>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</si>
  <si>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</si>
  <si>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</si>
  <si>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</si>
  <si>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</si>
  <si>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</si>
  <si>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</si>
  <si>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</si>
  <si>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</si>
  <si>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</si>
  <si>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</si>
  <si>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</si>
  <si>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</si>
  <si>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</si>
  <si>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</si>
  <si>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</si>
  <si>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</si>
  <si>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</si>
  <si>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</si>
  <si>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</si>
  <si>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</si>
  <si>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</si>
  <si>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</si>
  <si>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</si>
  <si>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</si>
  <si>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</si>
  <si>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</si>
  <si>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</si>
  <si>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</si>
  <si>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</si>
  <si>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</si>
  <si>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</si>
  <si>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</si>
  <si>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</si>
  <si>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</si>
  <si>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</si>
  <si>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</si>
  <si>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</si>
  <si>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</si>
  <si>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</si>
  <si>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</si>
  <si>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</si>
  <si>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</si>
  <si>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</si>
  <si>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</si>
  <si>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</si>
  <si>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</si>
  <si>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</si>
  <si>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</si>
  <si>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</si>
  <si>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</si>
  <si>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</si>
  <si>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</si>
  <si>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</si>
  <si>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</si>
  <si>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</si>
  <si>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</si>
  <si>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</si>
  <si>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</si>
  <si>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</si>
  <si>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</si>
  <si>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</si>
  <si>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</si>
  <si>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</si>
  <si>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</si>
  <si>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</si>
  <si>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</si>
  <si>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</si>
  <si>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</si>
  <si>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</si>
  <si>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</si>
  <si>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</si>
  <si>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</si>
  <si>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</si>
  <si>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</si>
  <si>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</si>
  <si>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</si>
  <si>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</si>
  <si>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</si>
  <si>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</si>
  <si>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</si>
  <si>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</si>
  <si>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</si>
  <si>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</si>
  <si>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</si>
  <si>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</si>
  <si>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</si>
  <si>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</si>
  <si>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</si>
  <si>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</si>
  <si>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</si>
  <si>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</si>
  <si>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</si>
  <si>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</si>
  <si>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</si>
  <si>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</si>
  <si>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</si>
  <si>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</si>
  <si>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</si>
  <si>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</si>
  <si>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</si>
  <si>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</si>
  <si>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</si>
  <si>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</si>
  <si>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</si>
  <si>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</si>
  <si>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</si>
  <si>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</si>
  <si>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</si>
  <si>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</si>
  <si>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</si>
  <si>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</si>
  <si>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</si>
  <si>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</si>
  <si>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</si>
  <si>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</si>
  <si>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</si>
  <si>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</si>
  <si>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</si>
  <si>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</si>
  <si>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</si>
  <si>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</si>
  <si>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</si>
  <si>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</si>
  <si>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</si>
  <si>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</si>
  <si>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</si>
  <si>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</si>
  <si>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</si>
  <si>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</si>
  <si>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</si>
  <si>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</si>
  <si>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</si>
  <si>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</si>
  <si>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</si>
  <si>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</si>
  <si>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</si>
  <si>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</si>
  <si>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</si>
  <si>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</si>
  <si>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</si>
  <si>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</si>
  <si>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</si>
  <si>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</si>
  <si>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</si>
  <si>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</si>
  <si>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</si>
  <si>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</si>
  <si>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</si>
  <si>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</si>
  <si>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</si>
  <si>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</si>
  <si>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</si>
  <si>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</si>
  <si>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</si>
  <si>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</si>
  <si>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</si>
  <si>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</si>
  <si>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</si>
  <si>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</si>
  <si>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</si>
  <si>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</si>
  <si>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</si>
  <si>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</si>
  <si>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</si>
  <si>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</si>
  <si>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</si>
  <si>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</si>
  <si>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</si>
  <si>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</si>
  <si>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</si>
  <si>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</si>
  <si>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</si>
  <si>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</si>
  <si>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</si>
  <si>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</si>
  <si>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</si>
  <si>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</si>
  <si>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</si>
  <si>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</si>
  <si>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</si>
  <si>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</si>
  <si>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</si>
  <si>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</si>
  <si>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</si>
  <si>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</si>
  <si>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</si>
  <si>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</si>
  <si>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</si>
  <si>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</si>
  <si>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</si>
  <si>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</si>
  <si>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</si>
  <si>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</si>
  <si>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</si>
  <si>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</si>
  <si>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</si>
  <si>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</si>
  <si>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</si>
  <si>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</si>
  <si>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</si>
  <si>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</si>
  <si>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</si>
  <si>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</si>
  <si>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</si>
  <si>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</si>
  <si>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</si>
  <si>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</si>
  <si>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</si>
  <si>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</si>
  <si>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</si>
  <si>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</si>
  <si>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</si>
  <si>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</si>
  <si>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</si>
  <si>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</si>
  <si>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</si>
  <si>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</si>
  <si>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</si>
  <si>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</si>
  <si>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</si>
  <si>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</si>
  <si>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</si>
  <si>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</si>
  <si>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</si>
  <si>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</si>
  <si>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</si>
  <si>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</si>
  <si>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</si>
  <si>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</si>
  <si>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</si>
  <si>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</si>
  <si>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</si>
  <si>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</si>
  <si>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</si>
  <si>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</si>
  <si>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</si>
  <si>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Idade (Anos)</t>
  </si>
  <si>
    <t>Indústria / Metalurgia</t>
  </si>
  <si>
    <t>Mineração</t>
  </si>
  <si>
    <t>Energia / Petróleo</t>
  </si>
  <si>
    <t>Papel e Celulose</t>
  </si>
  <si>
    <t>Energia</t>
  </si>
  <si>
    <t>Imobiliário / Shoppings</t>
  </si>
  <si>
    <t>Financeiro</t>
  </si>
  <si>
    <t>Saúde</t>
  </si>
  <si>
    <t>Química e Petroquímica</t>
  </si>
  <si>
    <t>Transporte / Aéreo</t>
  </si>
  <si>
    <t>Educação</t>
  </si>
  <si>
    <t>Energia / Distribuição</t>
  </si>
  <si>
    <t>Construção Civil</t>
  </si>
  <si>
    <t>Varejo / Moda</t>
  </si>
  <si>
    <t>Alimentos / Carnes</t>
  </si>
  <si>
    <t>Varejo</t>
  </si>
  <si>
    <t>Alimentos</t>
  </si>
  <si>
    <t>Telecomunicações</t>
  </si>
  <si>
    <t>Logística / Transporte</t>
  </si>
  <si>
    <t>Financeiro / Pagamentos</t>
  </si>
  <si>
    <t>Construção / Materiais</t>
  </si>
  <si>
    <t>Financeiro / Investimentos</t>
  </si>
  <si>
    <t>Tecnologia / Internet</t>
  </si>
  <si>
    <t>Holding / Investimentos</t>
  </si>
  <si>
    <t>Saúde / Farmácia</t>
  </si>
  <si>
    <t>Energia / Agronegócio</t>
  </si>
  <si>
    <t>Varejo / E-commerce</t>
  </si>
  <si>
    <t>Energia / Biocombustíveis</t>
  </si>
  <si>
    <t>Alimentos e Bebidas</t>
  </si>
  <si>
    <t>Financeiro / Seguros</t>
  </si>
  <si>
    <t>Saneamento</t>
  </si>
  <si>
    <t>Tecnologia / Software</t>
  </si>
  <si>
    <t>Indústria / Equipamentos</t>
  </si>
  <si>
    <t>Agronegócio</t>
  </si>
  <si>
    <t>Logística / Infraestrutura</t>
  </si>
  <si>
    <t>Energia / Transmissão</t>
  </si>
  <si>
    <t>Energia / Petróleo e Gás</t>
  </si>
  <si>
    <t>Varejo / Pet Shop</t>
  </si>
  <si>
    <t>Imobiliário / Construção</t>
  </si>
  <si>
    <t>Saúde / Diagnósticos</t>
  </si>
  <si>
    <t>Varejo / Calçados</t>
  </si>
  <si>
    <t>Indústria / Aeronáutica</t>
  </si>
  <si>
    <t>Varejo / Cosméticos</t>
  </si>
  <si>
    <t>Varejo / Atacarejo</t>
  </si>
  <si>
    <t>Financeiro / Bolsa de Valores</t>
  </si>
  <si>
    <t>Saúde / Farmacêutica</t>
  </si>
  <si>
    <t>Agronegócio / Açúcar e Etanol</t>
  </si>
  <si>
    <t>Varejo / Supermercado</t>
  </si>
  <si>
    <t>Varejo / Eletrodomésticos</t>
  </si>
  <si>
    <t>Serviços / Aluguel de Carros</t>
  </si>
  <si>
    <t>Turismo / Agência de Viagens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</si>
</sst>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[$R$ -416]#,##0.00"/>
  </numFmts>
  <fonts count="1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&quot;aptos narrow&quot;"/>
    </font>
    <font>
      <b/>
      <sz val="11.0"/>
      <color theme="1"/>
      <name val="Söhne"/>
    </font>
    <font>
      <color rgb="FF000000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1" numFmtId="3" xfId="0" applyAlignment="1" applyFont="1" applyNumberFormat="1">
      <alignment horizontal="left" readingOrder="0"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165" xfId="0" applyAlignment="1" applyFont="1" applyNumberFormat="1">
      <alignment horizontal="left"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3" xfId="0" applyAlignment="1" applyFont="1" applyNumberFormat="1">
      <alignment horizontal="left"/>
    </xf>
    <xf borderId="0" fillId="3" fontId="3" numFmtId="14" xfId="0" applyAlignment="1" applyFont="1" applyNumberForma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3" fontId="3" numFmtId="2" xfId="0" applyAlignment="1" applyFont="1" applyNumberFormat="1">
      <alignment horizontal="right" vertical="bottom"/>
    </xf>
    <xf borderId="0" fillId="3" fontId="4" numFmtId="3" xfId="0" applyAlignment="1" applyFont="1" applyNumberFormat="1">
      <alignment vertical="bottom"/>
    </xf>
    <xf borderId="0" fillId="3" fontId="4" numFmtId="165" xfId="0" applyAlignment="1" applyFont="1" applyNumberFormat="1">
      <alignment horizontal="left" vertical="bottom"/>
    </xf>
    <xf borderId="0" fillId="5" fontId="5" numFmtId="165" xfId="0" applyFill="1" applyFont="1" applyNumberFormat="1"/>
    <xf borderId="0" fillId="4" fontId="3" numFmtId="0" xfId="0" applyAlignment="1" applyFont="1">
      <alignment vertical="bottom"/>
    </xf>
    <xf borderId="0" fillId="4" fontId="3" numFmtId="14" xfId="0" applyAlignment="1" applyFont="1" applyNumberFormat="1">
      <alignment horizontal="right" vertical="bottom"/>
    </xf>
    <xf borderId="0" fillId="4" fontId="3" numFmtId="2" xfId="0" applyAlignment="1" applyFont="1" applyNumberFormat="1">
      <alignment horizontal="right" vertical="bottom"/>
    </xf>
    <xf borderId="0" fillId="3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horizontal="left"/>
    </xf>
    <xf borderId="0" fillId="0" fontId="7" numFmtId="0" xfId="0" applyFont="1"/>
    <xf borderId="0" fillId="5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horizontal="left" readingOrder="0"/>
    </xf>
    <xf borderId="0" fillId="0" fontId="6" numFmtId="165" xfId="0" applyFont="1" applyNumberFormat="1"/>
    <xf borderId="0" fillId="0" fontId="7" numFmtId="165" xfId="0" applyFont="1" applyNumberFormat="1"/>
    <xf borderId="0" fillId="0" fontId="6" numFmtId="0" xfId="0" applyAlignment="1" applyFont="1">
      <alignment horizontal="right" readingOrder="0"/>
    </xf>
    <xf borderId="0" fillId="0" fontId="6" numFmtId="3" xfId="0" applyFont="1" applyNumberFormat="1"/>
    <xf borderId="0" fillId="0" fontId="7" numFmtId="3" xfId="0" applyFont="1" applyNumberFormat="1"/>
    <xf borderId="0" fillId="0" fontId="7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3" xfId="0" applyAlignment="1" applyFont="1" applyNumberFormat="1">
      <alignment horizontal="right" vertical="bottom"/>
    </xf>
    <xf borderId="0" fillId="0" fontId="10" numFmtId="4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0" numFmtId="0" xfId="0" applyFont="1"/>
    <xf borderId="0" fillId="3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0" fillId="2" fontId="12" numFmtId="0" xfId="0" applyAlignment="1" applyFont="1">
      <alignment horizontal="center" readingOrder="0" vertical="bottom"/>
    </xf>
    <xf borderId="0" fillId="2" fontId="12" numFmtId="3" xfId="0" applyAlignment="1" applyFont="1" applyNumberFormat="1">
      <alignment horizontal="center" readingOrder="0" vertical="bottom"/>
    </xf>
    <xf borderId="0" fillId="0" fontId="13" numFmtId="0" xfId="0" applyAlignment="1" applyFont="1">
      <alignment horizontal="left" readingOrder="0"/>
    </xf>
    <xf borderId="0" fillId="0" fontId="13" numFmtId="3" xfId="0" applyAlignment="1" applyFont="1" applyNumberFormat="1">
      <alignment horizontal="left"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da ações que subiram versus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Pt>
            <c:idx val="3"/>
            <c:spPr>
              <a:solidFill>
                <a:srgbClr val="1C7685"/>
              </a:solidFill>
            </c:spPr>
          </c:dPt>
          <c:dPt>
            <c:idx val="4"/>
            <c:spPr>
              <a:solidFill>
                <a:srgbClr val="0F45A8"/>
              </a:solidFill>
            </c:spPr>
          </c:dPt>
          <c:dPt>
            <c:idx val="5"/>
            <c:spPr>
              <a:solidFill>
                <a:srgbClr val="4CDC8B"/>
              </a:solidFill>
            </c:spPr>
          </c:dPt>
          <c:dPt>
            <c:idx val="6"/>
            <c:spPr>
              <a:solidFill>
                <a:srgbClr val="8AB2C6"/>
              </a:solidFill>
            </c:spPr>
          </c:dPt>
          <c:dPt>
            <c:idx val="7"/>
            <c:spPr>
              <a:solidFill>
                <a:srgbClr val="4D7D90"/>
              </a:solidFill>
            </c:spPr>
          </c:dPt>
          <c:dPt>
            <c:idx val="8"/>
            <c:spPr>
              <a:solidFill>
                <a:srgbClr val="FF9A6F"/>
              </a:solidFill>
            </c:spPr>
          </c:dPt>
          <c:dPt>
            <c:idx val="9"/>
            <c:spPr>
              <a:solidFill>
                <a:srgbClr val="609FAA"/>
              </a:solidFill>
            </c:spPr>
          </c:dPt>
          <c:dPt>
            <c:idx val="10"/>
            <c:spPr>
              <a:solidFill>
                <a:srgbClr val="577DC2"/>
              </a:solidFill>
            </c:spPr>
          </c:dPt>
          <c:dPt>
            <c:idx val="11"/>
            <c:spPr>
              <a:solidFill>
                <a:srgbClr val="82E7AE"/>
              </a:solidFill>
            </c:spPr>
          </c:dPt>
          <c:dPt>
            <c:idx val="12"/>
            <c:spPr>
              <a:solidFill>
                <a:srgbClr val="BCD3DE"/>
              </a:solidFill>
            </c:spPr>
          </c:dPt>
          <c:dPt>
            <c:idx val="13"/>
            <c:spPr>
              <a:solidFill>
                <a:srgbClr val="99B5C0"/>
              </a:solidFill>
            </c:spPr>
          </c:dPt>
          <c:dPt>
            <c:idx val="14"/>
            <c:spPr>
              <a:solidFill>
                <a:srgbClr val="FFC5AD"/>
              </a:solidFill>
            </c:spPr>
          </c:dPt>
          <c:dPt>
            <c:idx val="15"/>
            <c:spPr>
              <a:solidFill>
                <a:srgbClr val="A4C8CE"/>
              </a:solidFill>
            </c:spPr>
          </c:dPt>
          <c:dPt>
            <c:idx val="16"/>
            <c:spPr>
              <a:solidFill>
                <a:srgbClr val="9FB5DC"/>
              </a:solidFill>
            </c:spPr>
          </c:dPt>
          <c:dPt>
            <c:idx val="17"/>
            <c:spPr>
              <a:solidFill>
                <a:srgbClr val="B7F1D1"/>
              </a:solidFill>
            </c:spPr>
          </c:dPt>
          <c:dPt>
            <c:idx val="18"/>
            <c:spPr>
              <a:solidFill>
                <a:srgbClr val="EEF4F7"/>
              </a:solidFill>
            </c:spPr>
          </c:dPt>
          <c:dPt>
            <c:idx val="19"/>
            <c:spPr>
              <a:solidFill>
                <a:srgbClr val="E6ECEF"/>
              </a:solidFill>
            </c:spPr>
          </c:dPt>
          <c:dPt>
            <c:idx val="20"/>
            <c:spPr>
              <a:solidFill>
                <a:srgbClr val="FFF1EA"/>
              </a:solidFill>
            </c:spPr>
          </c:dPt>
          <c:dPt>
            <c:idx val="21"/>
            <c:spPr>
              <a:solidFill>
                <a:srgbClr val="E8F1F3"/>
              </a:solidFill>
            </c:spPr>
          </c:dPt>
          <c:dPt>
            <c:idx val="22"/>
            <c:spPr>
              <a:solidFill>
                <a:srgbClr val="E7ECF6"/>
              </a:solidFill>
            </c:spPr>
          </c:dPt>
          <c:dPt>
            <c:idx val="23"/>
            <c:spPr>
              <a:solidFill>
                <a:srgbClr val="EDFCF3"/>
              </a:solidFill>
            </c:spPr>
          </c:dPt>
          <c:dPt>
            <c:idx val="24"/>
            <c:spPr>
              <a:solidFill>
                <a:srgbClr val="20150F"/>
              </a:solidFill>
            </c:spPr>
          </c:dPt>
          <c:dPt>
            <c:idx val="25"/>
            <c:spPr>
              <a:solidFill>
                <a:srgbClr val="32241F"/>
              </a:solidFill>
            </c:spPr>
          </c:dPt>
          <c:dPt>
            <c:idx val="26"/>
            <c:spPr>
              <a:solidFill>
                <a:srgbClr val="FF1C28"/>
              </a:solidFill>
            </c:spPr>
          </c:dPt>
          <c:dPt>
            <c:idx val="27"/>
            <c:spPr>
              <a:solidFill>
                <a:srgbClr val="2C1A17"/>
              </a:solidFill>
            </c:spPr>
          </c:dPt>
          <c:dPt>
            <c:idx val="28"/>
            <c:spPr>
              <a:solidFill>
                <a:srgbClr val="2F2410"/>
              </a:solidFill>
            </c:spPr>
          </c:dPt>
          <c:dPt>
            <c:idx val="29"/>
            <c:spPr>
              <a:solidFill>
                <a:srgbClr val="230616"/>
              </a:solidFill>
            </c:spPr>
          </c:dPt>
          <c:dPt>
            <c:idx val="30"/>
            <c:spPr>
              <a:solidFill>
                <a:srgbClr val="533628"/>
              </a:solidFill>
            </c:spPr>
          </c:dPt>
          <c:dPt>
            <c:idx val="31"/>
            <c:spPr>
              <a:solidFill>
                <a:srgbClr val="7F5C4E"/>
              </a:solidFill>
            </c:spPr>
          </c:dPt>
          <c:dPt>
            <c:idx val="32"/>
            <c:spPr>
              <a:solidFill>
                <a:srgbClr val="FF4766"/>
              </a:solidFill>
            </c:spPr>
          </c:dPt>
          <c:dPt>
            <c:idx val="33"/>
            <c:spPr>
              <a:solidFill>
                <a:srgbClr val="71443C"/>
              </a:solidFill>
            </c:spPr>
          </c:dPt>
          <c:dPt>
            <c:idx val="34"/>
            <c:spPr>
              <a:solidFill>
                <a:srgbClr val="775C2B"/>
              </a:solidFill>
            </c:spPr>
          </c:dPt>
          <c:dPt>
            <c:idx val="35"/>
            <c:spPr>
              <a:solidFill>
                <a:srgbClr val="591139"/>
              </a:solidFill>
            </c:spPr>
          </c:dPt>
          <c:dPt>
            <c:idx val="36"/>
            <c:spPr>
              <a:solidFill>
                <a:srgbClr val="855741"/>
              </a:solidFill>
            </c:spPr>
          </c:dPt>
          <c:dPt>
            <c:idx val="37"/>
            <c:spPr>
              <a:solidFill>
                <a:srgbClr val="CB947D"/>
              </a:solidFill>
            </c:spPr>
          </c:dPt>
          <c:dPt>
            <c:idx val="38"/>
            <c:spPr>
              <a:solidFill>
                <a:srgbClr val="FF72A4"/>
              </a:solidFill>
            </c:spPr>
          </c:dPt>
          <c:dPt>
            <c:idx val="39"/>
            <c:spPr>
              <a:solidFill>
                <a:srgbClr val="B56D61"/>
              </a:solidFill>
            </c:spPr>
          </c:dPt>
          <c:dPt>
            <c:idx val="40"/>
            <c:spPr>
              <a:solidFill>
                <a:srgbClr val="BF9445"/>
              </a:solidFill>
            </c:spPr>
          </c:dPt>
          <c:dPt>
            <c:idx val="41"/>
            <c:spPr>
              <a:solidFill>
                <a:srgbClr val="8E1B5C"/>
              </a:solidFill>
            </c:spPr>
          </c:dPt>
          <c:dPt>
            <c:idx val="42"/>
            <c:spPr>
              <a:solidFill>
                <a:srgbClr val="B77859"/>
              </a:solidFill>
            </c:spPr>
          </c:dPt>
          <c:dPt>
            <c:idx val="43"/>
            <c:spPr>
              <a:solidFill>
                <a:srgbClr val="18CCAD"/>
              </a:solidFill>
            </c:spPr>
          </c:dPt>
          <c:dPt>
            <c:idx val="44"/>
            <c:spPr>
              <a:solidFill>
                <a:srgbClr val="FF9DE2"/>
              </a:solidFill>
            </c:spPr>
          </c:dPt>
          <c:dPt>
            <c:idx val="45"/>
            <c:spPr>
              <a:solidFill>
                <a:srgbClr val="F99685"/>
              </a:solidFill>
            </c:spPr>
          </c:dPt>
          <c:dPt>
            <c:idx val="46"/>
            <c:spPr>
              <a:solidFill>
                <a:srgbClr val="07CC5F"/>
              </a:solidFill>
            </c:spPr>
          </c:dPt>
          <c:dPt>
            <c:idx val="47"/>
            <c:spPr>
              <a:solidFill>
                <a:srgbClr val="C4267F"/>
              </a:solidFill>
            </c:spPr>
          </c:dPt>
          <c:dPt>
            <c:idx val="48"/>
            <c:spPr>
              <a:solidFill>
                <a:srgbClr val="E99972"/>
              </a:solidFill>
            </c:spPr>
          </c:dPt>
          <c:dPt>
            <c:idx val="49"/>
            <c:spPr>
              <a:solidFill>
                <a:srgbClr val="6403DC"/>
              </a:solidFill>
            </c:spPr>
          </c:dPt>
          <c:dPt>
            <c:idx val="50"/>
            <c:spPr>
              <a:solidFill>
                <a:srgbClr val="FFC91F"/>
              </a:solidFill>
            </c:spPr>
          </c:dPt>
          <c:dPt>
            <c:idx val="51"/>
            <c:spPr>
              <a:solidFill>
                <a:srgbClr val="3DBFA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'Análises'!$A$11:$A$62</c:f>
            </c:strRef>
          </c:cat>
          <c:val>
            <c:numRef>
              <c:f>'Análises'!$C$11:$C$62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Volume R$ versus Faixa Idade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'Análises'!$B$74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'Análises'!$A$75:$A$77</c:f>
            </c:strRef>
          </c:cat>
          <c:val>
            <c:numRef>
              <c:f>'Análises'!$B$75:$B$77</c:f>
              <c:numCache/>
            </c:numRef>
          </c:val>
        </c:ser>
        <c:axId val="106229375"/>
        <c:axId val="151810281"/>
      </c:barChart>
      <c:catAx>
        <c:axId val="1062293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Faixa Idade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10281"/>
      </c:catAx>
      <c:valAx>
        <c:axId val="1518102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Volume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293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Qtdade. Empresas versus Faixa Idade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'Análises'!$C$74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'Análises'!$A$75:$A$77</c:f>
            </c:strRef>
          </c:cat>
          <c:val>
            <c:numRef>
              <c:f>'Análises'!$C$75:$C$77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'Análises'!$B$67:$B$69</cx:f>
      </cx:numDim>
      <cx:strDim type="cat">
        <cx:f>'Análises'!$A$67:$A$69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Variação Volume R$ versus Resultado</a:t>
          </a:r>
        </a:p>
      </cx:txPr>
    </cx:title>
    <cx:plotArea>
      <cx:plotAreaRegion>
        <cx:series layoutId="waterfall" uniqueId="{0FFF8789-5940-4203-BE62-C0319CBEE1C1}">
          <cx:tx>
            <cx:txData>
              <cx:f>'Análises'!$B$66</cx:f>
            </cx:txData>
          </cx:tx>
          <cx:dataLabels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Resultado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Variação Volume R$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microsoft.com/office/2014/relationships/chartEx" Target="../charts/chartEx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8</xdr:row>
      <xdr:rowOff>190500</xdr:rowOff>
    </xdr:from>
    <xdr:ext cx="57340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180975</xdr:colOff>
      <xdr:row>48</xdr:row>
      <xdr:rowOff>19050</xdr:rowOff>
    </xdr:from>
    <xdr:ext cx="7162800" cy="4848225"/>
    <mc:AlternateContent>
      <mc:Choice Requires="cx1">
        <xdr:graphicFrame>
          <xdr:nvGraphicFramePr>
            <xdr:cNvPr id="2" name="Chart 2" title="Gráfi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2"/>
            </a:graphicData>
          </a:graphic>
        </xdr:graphicFrame>
      </mc:Choice>
      <mc:Fallback>
        <xdr:sp>
          <xdr:nvSpPr>
            <xdr:cNvPr id="3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2</xdr:col>
      <xdr:colOff>1409700</xdr:colOff>
      <xdr:row>72</xdr:row>
      <xdr:rowOff>171450</xdr:rowOff>
    </xdr:from>
    <xdr:ext cx="9039225" cy="19431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1409700</xdr:colOff>
      <xdr:row>83</xdr:row>
      <xdr:rowOff>9525</xdr:rowOff>
    </xdr:from>
    <xdr:ext cx="4448175" cy="23336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>
        <v>45317.0</v>
      </c>
      <c r="C2" s="5">
        <v>9.5</v>
      </c>
      <c r="D2" s="5">
        <v>5.2</v>
      </c>
      <c r="E2" s="5">
        <v>11.76</v>
      </c>
      <c r="F2" s="5">
        <v>2.26</v>
      </c>
      <c r="G2" s="5">
        <v>2.26</v>
      </c>
      <c r="H2" s="5">
        <v>15.97</v>
      </c>
      <c r="I2" s="5">
        <v>9.18</v>
      </c>
      <c r="J2" s="5">
        <v>9.56</v>
      </c>
      <c r="K2" s="3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13</v>
      </c>
      <c r="B3" s="7">
        <v>45317.0</v>
      </c>
      <c r="C3" s="8">
        <v>6.82</v>
      </c>
      <c r="D3" s="8">
        <v>2.4</v>
      </c>
      <c r="E3" s="8">
        <v>2.4</v>
      </c>
      <c r="F3" s="8">
        <v>-12.11</v>
      </c>
      <c r="G3" s="8">
        <v>-12.11</v>
      </c>
      <c r="H3" s="8">
        <v>50.56</v>
      </c>
      <c r="I3" s="8">
        <v>6.66</v>
      </c>
      <c r="J3" s="8">
        <v>6.86</v>
      </c>
      <c r="K3" s="6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4">
        <v>45317.0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3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17</v>
      </c>
      <c r="B5" s="7">
        <v>45317.0</v>
      </c>
      <c r="C5" s="8">
        <v>52.91</v>
      </c>
      <c r="D5" s="8">
        <v>2.04</v>
      </c>
      <c r="E5" s="8">
        <v>2.14</v>
      </c>
      <c r="F5" s="8">
        <v>-4.89</v>
      </c>
      <c r="G5" s="8">
        <v>-4.89</v>
      </c>
      <c r="H5" s="8">
        <v>18.85</v>
      </c>
      <c r="I5" s="8">
        <v>51.89</v>
      </c>
      <c r="J5" s="8">
        <v>53.17</v>
      </c>
      <c r="K5" s="6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4">
        <v>45317.0</v>
      </c>
      <c r="C6" s="5">
        <v>37.1</v>
      </c>
      <c r="D6" s="5">
        <v>2.03</v>
      </c>
      <c r="E6" s="5">
        <v>2.49</v>
      </c>
      <c r="F6" s="5">
        <v>-3.66</v>
      </c>
      <c r="G6" s="5">
        <v>-3.66</v>
      </c>
      <c r="H6" s="5">
        <v>20.7</v>
      </c>
      <c r="I6" s="5">
        <v>36.37</v>
      </c>
      <c r="J6" s="5">
        <v>37.32</v>
      </c>
      <c r="K6" s="3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21</v>
      </c>
      <c r="B7" s="7">
        <v>45317.0</v>
      </c>
      <c r="C7" s="8">
        <v>45.69</v>
      </c>
      <c r="D7" s="8">
        <v>1.98</v>
      </c>
      <c r="E7" s="8">
        <v>2.42</v>
      </c>
      <c r="F7" s="8">
        <v>-0.78</v>
      </c>
      <c r="G7" s="8">
        <v>-0.78</v>
      </c>
      <c r="H7" s="8">
        <v>8.08</v>
      </c>
      <c r="I7" s="8">
        <v>44.25</v>
      </c>
      <c r="J7" s="8">
        <v>45.69</v>
      </c>
      <c r="K7" s="6" t="s">
        <v>22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4">
        <v>45317.0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38.91</v>
      </c>
      <c r="J8" s="5">
        <v>40.09</v>
      </c>
      <c r="K8" s="3" t="s">
        <v>24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7">
        <v>45317.0</v>
      </c>
      <c r="C9" s="8">
        <v>69.5</v>
      </c>
      <c r="D9" s="8">
        <v>1.66</v>
      </c>
      <c r="E9" s="8">
        <v>2.06</v>
      </c>
      <c r="F9" s="8">
        <v>-9.97</v>
      </c>
      <c r="G9" s="8">
        <v>-9.97</v>
      </c>
      <c r="H9" s="8">
        <v>-23.49</v>
      </c>
      <c r="I9" s="8">
        <v>67.5</v>
      </c>
      <c r="J9" s="8">
        <v>69.81</v>
      </c>
      <c r="K9" s="6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4">
        <v>45317.0</v>
      </c>
      <c r="C10" s="5">
        <v>28.19</v>
      </c>
      <c r="D10" s="5">
        <v>1.58</v>
      </c>
      <c r="E10" s="5">
        <v>2.03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3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29</v>
      </c>
      <c r="B11" s="7">
        <v>45317.0</v>
      </c>
      <c r="C11" s="8">
        <v>32.81</v>
      </c>
      <c r="D11" s="8">
        <v>1.48</v>
      </c>
      <c r="E11" s="8">
        <v>-0.39</v>
      </c>
      <c r="F11" s="8">
        <v>-3.36</v>
      </c>
      <c r="G11" s="8">
        <v>-3.36</v>
      </c>
      <c r="H11" s="8">
        <v>34.25</v>
      </c>
      <c r="I11" s="8">
        <v>32.35</v>
      </c>
      <c r="J11" s="8">
        <v>32.91</v>
      </c>
      <c r="K11" s="6" t="s">
        <v>30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4">
        <v>45317.0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3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33</v>
      </c>
      <c r="B13" s="7">
        <v>45317.0</v>
      </c>
      <c r="C13" s="8">
        <v>18.55</v>
      </c>
      <c r="D13" s="8">
        <v>1.42</v>
      </c>
      <c r="E13" s="8">
        <v>5.1</v>
      </c>
      <c r="F13" s="8">
        <v>-15.14</v>
      </c>
      <c r="G13" s="8">
        <v>-15.14</v>
      </c>
      <c r="H13" s="8">
        <v>-18.39</v>
      </c>
      <c r="I13" s="8">
        <v>18.29</v>
      </c>
      <c r="J13" s="8">
        <v>18.73</v>
      </c>
      <c r="K13" s="6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35</v>
      </c>
      <c r="B14" s="4">
        <v>45317.0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3" t="s">
        <v>36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37</v>
      </c>
      <c r="B15" s="7">
        <v>45317.0</v>
      </c>
      <c r="C15" s="8">
        <v>28.75</v>
      </c>
      <c r="D15" s="8">
        <v>1.41</v>
      </c>
      <c r="E15" s="8">
        <v>-2.71</v>
      </c>
      <c r="F15" s="8">
        <v>9.4</v>
      </c>
      <c r="G15" s="8">
        <v>9.4</v>
      </c>
      <c r="H15" s="8">
        <v>-37.7</v>
      </c>
      <c r="I15" s="8">
        <v>28.0</v>
      </c>
      <c r="J15" s="8">
        <v>28.75</v>
      </c>
      <c r="K15" s="6" t="s">
        <v>38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4">
        <v>45317.0</v>
      </c>
      <c r="C16" s="5">
        <v>35.32</v>
      </c>
      <c r="D16" s="5">
        <v>1.34</v>
      </c>
      <c r="E16" s="5">
        <v>2.76</v>
      </c>
      <c r="F16" s="5">
        <v>-1.12</v>
      </c>
      <c r="G16" s="5">
        <v>-1.12</v>
      </c>
      <c r="H16" s="5">
        <v>28.01</v>
      </c>
      <c r="I16" s="5">
        <v>34.85</v>
      </c>
      <c r="J16" s="5">
        <v>35.76</v>
      </c>
      <c r="K16" s="3" t="s">
        <v>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41</v>
      </c>
      <c r="B17" s="7">
        <v>45317.0</v>
      </c>
      <c r="C17" s="8">
        <v>18.16</v>
      </c>
      <c r="D17" s="8">
        <v>1.33</v>
      </c>
      <c r="E17" s="8">
        <v>4.79</v>
      </c>
      <c r="F17" s="8">
        <v>-7.63</v>
      </c>
      <c r="G17" s="8">
        <v>-7.63</v>
      </c>
      <c r="H17" s="8">
        <v>12.45</v>
      </c>
      <c r="I17" s="8">
        <v>18.0</v>
      </c>
      <c r="J17" s="8">
        <v>18.49</v>
      </c>
      <c r="K17" s="6" t="s">
        <v>42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</v>
      </c>
      <c r="B18" s="4">
        <v>45317.0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18.99</v>
      </c>
      <c r="J18" s="5">
        <v>19.78</v>
      </c>
      <c r="K18" s="3" t="s">
        <v>44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45</v>
      </c>
      <c r="B19" s="7">
        <v>45317.0</v>
      </c>
      <c r="C19" s="8">
        <v>28.31</v>
      </c>
      <c r="D19" s="8">
        <v>1.28</v>
      </c>
      <c r="E19" s="8">
        <v>2.35</v>
      </c>
      <c r="F19" s="8">
        <v>6.79</v>
      </c>
      <c r="G19" s="8">
        <v>6.79</v>
      </c>
      <c r="H19" s="8">
        <v>119.82</v>
      </c>
      <c r="I19" s="8">
        <v>27.84</v>
      </c>
      <c r="J19" s="8">
        <v>28.39</v>
      </c>
      <c r="K19" s="6" t="s">
        <v>46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47</v>
      </c>
      <c r="B20" s="4">
        <v>45317.0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3" t="s">
        <v>48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49</v>
      </c>
      <c r="B21" s="7">
        <v>45317.0</v>
      </c>
      <c r="C21" s="8">
        <v>57.91</v>
      </c>
      <c r="D21" s="8">
        <v>1.15</v>
      </c>
      <c r="E21" s="8">
        <v>-1.03</v>
      </c>
      <c r="F21" s="8">
        <v>-10.26</v>
      </c>
      <c r="G21" s="8">
        <v>-10.26</v>
      </c>
      <c r="H21" s="8">
        <v>-28.97</v>
      </c>
      <c r="I21" s="8">
        <v>56.22</v>
      </c>
      <c r="J21" s="8">
        <v>59.29</v>
      </c>
      <c r="K21" s="6" t="s">
        <v>50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51</v>
      </c>
      <c r="B22" s="4">
        <v>45317.0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3" t="s">
        <v>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53</v>
      </c>
      <c r="B23" s="7">
        <v>45317.0</v>
      </c>
      <c r="C23" s="8">
        <v>7.19</v>
      </c>
      <c r="D23" s="8">
        <v>0.98</v>
      </c>
      <c r="E23" s="8">
        <v>6.05</v>
      </c>
      <c r="F23" s="8">
        <v>-3.75</v>
      </c>
      <c r="G23" s="8">
        <v>-3.75</v>
      </c>
      <c r="H23" s="8">
        <v>-48.31</v>
      </c>
      <c r="I23" s="8">
        <v>7.11</v>
      </c>
      <c r="J23" s="8">
        <v>7.24</v>
      </c>
      <c r="K23" s="6" t="s">
        <v>54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55</v>
      </c>
      <c r="B24" s="4">
        <v>45317.0</v>
      </c>
      <c r="C24" s="5">
        <v>4.14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3" t="s">
        <v>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57</v>
      </c>
      <c r="B25" s="7">
        <v>45317.0</v>
      </c>
      <c r="C25" s="8">
        <v>14.61</v>
      </c>
      <c r="D25" s="8">
        <v>0.96</v>
      </c>
      <c r="E25" s="8">
        <v>12.38</v>
      </c>
      <c r="F25" s="8">
        <v>5.79</v>
      </c>
      <c r="G25" s="8">
        <v>5.79</v>
      </c>
      <c r="H25" s="8">
        <v>78.17</v>
      </c>
      <c r="I25" s="8">
        <v>14.46</v>
      </c>
      <c r="J25" s="8">
        <v>14.93</v>
      </c>
      <c r="K25" s="6" t="s">
        <v>58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59</v>
      </c>
      <c r="B26" s="4">
        <v>45317.0</v>
      </c>
      <c r="C26" s="5">
        <v>51.2</v>
      </c>
      <c r="D26" s="5">
        <v>0.88</v>
      </c>
      <c r="E26" s="5">
        <v>1.09</v>
      </c>
      <c r="F26" s="5">
        <v>-4.19</v>
      </c>
      <c r="G26" s="5">
        <v>-4.19</v>
      </c>
      <c r="H26" s="5">
        <v>32.78</v>
      </c>
      <c r="I26" s="5">
        <v>50.62</v>
      </c>
      <c r="J26" s="5">
        <v>51.26</v>
      </c>
      <c r="K26" s="3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61</v>
      </c>
      <c r="B27" s="7">
        <v>45317.0</v>
      </c>
      <c r="C27" s="8">
        <v>22.64</v>
      </c>
      <c r="D27" s="8">
        <v>0.84</v>
      </c>
      <c r="E27" s="8">
        <v>1.07</v>
      </c>
      <c r="F27" s="8">
        <v>-1.35</v>
      </c>
      <c r="G27" s="8">
        <v>-1.35</v>
      </c>
      <c r="H27" s="8">
        <v>20.93</v>
      </c>
      <c r="I27" s="8">
        <v>22.32</v>
      </c>
      <c r="J27" s="8">
        <v>22.83</v>
      </c>
      <c r="K27" s="6" t="s">
        <v>62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63</v>
      </c>
      <c r="B28" s="4">
        <v>45317.0</v>
      </c>
      <c r="C28" s="5">
        <v>4.9</v>
      </c>
      <c r="D28" s="5">
        <v>0.82</v>
      </c>
      <c r="E28" s="5">
        <v>9.38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3" t="s">
        <v>64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65</v>
      </c>
      <c r="B29" s="7">
        <v>45317.0</v>
      </c>
      <c r="C29" s="8">
        <v>7.81</v>
      </c>
      <c r="D29" s="8">
        <v>0.77</v>
      </c>
      <c r="E29" s="8">
        <v>3.17</v>
      </c>
      <c r="F29" s="8">
        <v>-3.22</v>
      </c>
      <c r="G29" s="8">
        <v>-3.22</v>
      </c>
      <c r="H29" s="8">
        <v>9.94</v>
      </c>
      <c r="I29" s="8">
        <v>7.7</v>
      </c>
      <c r="J29" s="8">
        <v>7.85</v>
      </c>
      <c r="K29" s="6" t="s">
        <v>66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67</v>
      </c>
      <c r="B30" s="4">
        <v>45317.0</v>
      </c>
      <c r="C30" s="5">
        <v>17.52</v>
      </c>
      <c r="D30" s="5">
        <v>0.74</v>
      </c>
      <c r="E30" s="5">
        <v>-0.57</v>
      </c>
      <c r="F30" s="5">
        <v>-2.29</v>
      </c>
      <c r="G30" s="5">
        <v>-2.29</v>
      </c>
      <c r="H30" s="5">
        <v>56.87</v>
      </c>
      <c r="I30" s="5">
        <v>17.36</v>
      </c>
      <c r="J30" s="5">
        <v>17.58</v>
      </c>
      <c r="K30" s="3" t="s">
        <v>68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69</v>
      </c>
      <c r="B31" s="7">
        <v>45317.0</v>
      </c>
      <c r="C31" s="8">
        <v>23.22</v>
      </c>
      <c r="D31" s="8">
        <v>0.73</v>
      </c>
      <c r="E31" s="8">
        <v>1.93</v>
      </c>
      <c r="F31" s="8">
        <v>-9.51</v>
      </c>
      <c r="G31" s="8">
        <v>-9.51</v>
      </c>
      <c r="H31" s="8">
        <v>-20.4</v>
      </c>
      <c r="I31" s="8">
        <v>22.69</v>
      </c>
      <c r="J31" s="8">
        <v>23.28</v>
      </c>
      <c r="K31" s="6" t="s">
        <v>70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71</v>
      </c>
      <c r="B32" s="4">
        <v>45317.0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3" t="s">
        <v>72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73</v>
      </c>
      <c r="B33" s="7">
        <v>45317.0</v>
      </c>
      <c r="C33" s="8">
        <v>23.83</v>
      </c>
      <c r="D33" s="8">
        <v>0.71</v>
      </c>
      <c r="E33" s="8">
        <v>1.49</v>
      </c>
      <c r="F33" s="8">
        <v>9.71</v>
      </c>
      <c r="G33" s="8">
        <v>9.71</v>
      </c>
      <c r="H33" s="8">
        <v>-26.61</v>
      </c>
      <c r="I33" s="8">
        <v>23.36</v>
      </c>
      <c r="J33" s="8">
        <v>23.99</v>
      </c>
      <c r="K33" s="6" t="s">
        <v>74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75</v>
      </c>
      <c r="B34" s="4">
        <v>45317.0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29.0</v>
      </c>
      <c r="I34" s="5">
        <v>9.93</v>
      </c>
      <c r="J34" s="5">
        <v>10.06</v>
      </c>
      <c r="K34" s="3" t="s">
        <v>76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77</v>
      </c>
      <c r="B35" s="7">
        <v>45317.0</v>
      </c>
      <c r="C35" s="8">
        <v>56.97</v>
      </c>
      <c r="D35" s="8">
        <v>0.68</v>
      </c>
      <c r="E35" s="8">
        <v>1.88</v>
      </c>
      <c r="F35" s="8">
        <v>2.85</v>
      </c>
      <c r="G35" s="8">
        <v>2.85</v>
      </c>
      <c r="H35" s="8">
        <v>52.87</v>
      </c>
      <c r="I35" s="8">
        <v>56.55</v>
      </c>
      <c r="J35" s="8">
        <v>56.99</v>
      </c>
      <c r="K35" s="6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79</v>
      </c>
      <c r="B36" s="4">
        <v>45317.0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3" t="s">
        <v>80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81</v>
      </c>
      <c r="B37" s="7">
        <v>45317.0</v>
      </c>
      <c r="C37" s="8">
        <v>10.08</v>
      </c>
      <c r="D37" s="8">
        <v>0.59</v>
      </c>
      <c r="E37" s="8">
        <v>3.28</v>
      </c>
      <c r="F37" s="8">
        <v>-7.18</v>
      </c>
      <c r="G37" s="8">
        <v>-7.18</v>
      </c>
      <c r="H37" s="8">
        <v>-21.14</v>
      </c>
      <c r="I37" s="8">
        <v>10.03</v>
      </c>
      <c r="J37" s="8">
        <v>10.14</v>
      </c>
      <c r="K37" s="6" t="s">
        <v>82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83</v>
      </c>
      <c r="B38" s="4">
        <v>45317.0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3" t="s">
        <v>84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85</v>
      </c>
      <c r="B39" s="7">
        <v>45317.0</v>
      </c>
      <c r="C39" s="8">
        <v>24.34</v>
      </c>
      <c r="D39" s="8">
        <v>0.57</v>
      </c>
      <c r="E39" s="8">
        <v>2.48</v>
      </c>
      <c r="F39" s="8">
        <v>-2.29</v>
      </c>
      <c r="G39" s="8">
        <v>-2.29</v>
      </c>
      <c r="H39" s="8">
        <v>17.29</v>
      </c>
      <c r="I39" s="8">
        <v>24.17</v>
      </c>
      <c r="J39" s="8">
        <v>24.56</v>
      </c>
      <c r="K39" s="6" t="s">
        <v>86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87</v>
      </c>
      <c r="B40" s="4">
        <v>45317.0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3" t="s">
        <v>88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89</v>
      </c>
      <c r="B41" s="7">
        <v>45317.0</v>
      </c>
      <c r="C41" s="8">
        <v>13.75</v>
      </c>
      <c r="D41" s="8">
        <v>0.36</v>
      </c>
      <c r="E41" s="8">
        <v>-0.72</v>
      </c>
      <c r="F41" s="8">
        <v>-9.95</v>
      </c>
      <c r="G41" s="8">
        <v>-9.95</v>
      </c>
      <c r="H41" s="8">
        <v>15.78</v>
      </c>
      <c r="I41" s="8">
        <v>13.67</v>
      </c>
      <c r="J41" s="8">
        <v>13.9</v>
      </c>
      <c r="K41" s="6" t="s">
        <v>90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91</v>
      </c>
      <c r="B42" s="4">
        <v>45317.0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3" t="s">
        <v>92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93</v>
      </c>
      <c r="B43" s="7">
        <v>45317.0</v>
      </c>
      <c r="C43" s="8">
        <v>3.74</v>
      </c>
      <c r="D43" s="8">
        <v>0.26</v>
      </c>
      <c r="E43" s="8">
        <v>0.0</v>
      </c>
      <c r="F43" s="8">
        <v>-7.2</v>
      </c>
      <c r="G43" s="8">
        <v>-7.2</v>
      </c>
      <c r="H43" s="8">
        <v>15.46</v>
      </c>
      <c r="I43" s="8">
        <v>3.71</v>
      </c>
      <c r="J43" s="8">
        <v>3.78</v>
      </c>
      <c r="K43" s="6" t="s">
        <v>94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95</v>
      </c>
      <c r="B44" s="4">
        <v>45317.0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</v>
      </c>
      <c r="J44" s="5">
        <v>10.13</v>
      </c>
      <c r="K44" s="3" t="s">
        <v>96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97</v>
      </c>
      <c r="B45" s="7">
        <v>45317.0</v>
      </c>
      <c r="C45" s="8">
        <v>8.18</v>
      </c>
      <c r="D45" s="8">
        <v>0.12</v>
      </c>
      <c r="E45" s="8">
        <v>-3.76</v>
      </c>
      <c r="F45" s="8">
        <v>-18.77</v>
      </c>
      <c r="G45" s="8">
        <v>-18.77</v>
      </c>
      <c r="H45" s="8">
        <v>-40.74</v>
      </c>
      <c r="I45" s="8">
        <v>8.11</v>
      </c>
      <c r="J45" s="8">
        <v>8.27</v>
      </c>
      <c r="K45" s="6" t="s">
        <v>98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99</v>
      </c>
      <c r="B46" s="4">
        <v>45317.0</v>
      </c>
      <c r="C46" s="5">
        <v>9.74</v>
      </c>
      <c r="D46" s="5">
        <v>0.0</v>
      </c>
      <c r="E46" s="5">
        <v>5.3</v>
      </c>
      <c r="F46" s="5">
        <v>0.41</v>
      </c>
      <c r="G46" s="5">
        <v>0.41</v>
      </c>
      <c r="H46" s="5">
        <v>17.99</v>
      </c>
      <c r="I46" s="5">
        <v>9.61</v>
      </c>
      <c r="J46" s="5">
        <v>9.86</v>
      </c>
      <c r="K46" s="3" t="s">
        <v>100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101</v>
      </c>
      <c r="B47" s="7">
        <v>45317.0</v>
      </c>
      <c r="C47" s="8">
        <v>13.2</v>
      </c>
      <c r="D47" s="8">
        <v>0.0</v>
      </c>
      <c r="E47" s="8">
        <v>-1.12</v>
      </c>
      <c r="F47" s="8">
        <v>-3.86</v>
      </c>
      <c r="G47" s="8">
        <v>-3.86</v>
      </c>
      <c r="H47" s="8">
        <v>0.3</v>
      </c>
      <c r="I47" s="8">
        <v>13.15</v>
      </c>
      <c r="J47" s="8">
        <v>13.29</v>
      </c>
      <c r="K47" s="6" t="s">
        <v>102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103</v>
      </c>
      <c r="B48" s="4">
        <v>45317.0</v>
      </c>
      <c r="C48" s="5">
        <v>33.73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33.73</v>
      </c>
      <c r="J48" s="5">
        <v>34.03</v>
      </c>
      <c r="K48" s="3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105</v>
      </c>
      <c r="B49" s="7">
        <v>45317.0</v>
      </c>
      <c r="C49" s="8">
        <v>77.04</v>
      </c>
      <c r="D49" s="8">
        <v>-0.06</v>
      </c>
      <c r="E49" s="8">
        <v>1.37</v>
      </c>
      <c r="F49" s="8">
        <v>2.22</v>
      </c>
      <c r="G49" s="8">
        <v>2.22</v>
      </c>
      <c r="H49" s="8">
        <v>45.92</v>
      </c>
      <c r="I49" s="8">
        <v>76.52</v>
      </c>
      <c r="J49" s="8">
        <v>77.69</v>
      </c>
      <c r="K49" s="6" t="s">
        <v>106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107</v>
      </c>
      <c r="B50" s="4">
        <v>45317.0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3" t="s">
        <v>108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109</v>
      </c>
      <c r="B51" s="7">
        <v>45317.0</v>
      </c>
      <c r="C51" s="8">
        <v>11.64</v>
      </c>
      <c r="D51" s="8">
        <v>-0.17</v>
      </c>
      <c r="E51" s="8">
        <v>0.95</v>
      </c>
      <c r="F51" s="8">
        <v>1.39</v>
      </c>
      <c r="G51" s="8">
        <v>1.39</v>
      </c>
      <c r="H51" s="8">
        <v>12.26</v>
      </c>
      <c r="I51" s="8">
        <v>11.64</v>
      </c>
      <c r="J51" s="8">
        <v>11.8</v>
      </c>
      <c r="K51" s="6" t="s">
        <v>110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111</v>
      </c>
      <c r="B52" s="4">
        <v>45317.0</v>
      </c>
      <c r="C52" s="5">
        <v>46.04</v>
      </c>
      <c r="D52" s="5">
        <v>-0.19</v>
      </c>
      <c r="E52" s="5">
        <v>-1.41</v>
      </c>
      <c r="F52" s="5">
        <v>-2.0</v>
      </c>
      <c r="G52" s="5">
        <v>-2.0</v>
      </c>
      <c r="H52" s="5">
        <v>7.43</v>
      </c>
      <c r="I52" s="5">
        <v>45.91</v>
      </c>
      <c r="J52" s="5">
        <v>46.42</v>
      </c>
      <c r="K52" s="3" t="s">
        <v>112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113</v>
      </c>
      <c r="B53" s="7">
        <v>45317.0</v>
      </c>
      <c r="C53" s="8">
        <v>12.87</v>
      </c>
      <c r="D53" s="8">
        <v>-0.23</v>
      </c>
      <c r="E53" s="8">
        <v>1.42</v>
      </c>
      <c r="F53" s="8">
        <v>-5.44</v>
      </c>
      <c r="G53" s="8">
        <v>-5.44</v>
      </c>
      <c r="H53" s="8">
        <v>6.36</v>
      </c>
      <c r="I53" s="8">
        <v>12.84</v>
      </c>
      <c r="J53" s="8">
        <v>13.09</v>
      </c>
      <c r="K53" s="6" t="s">
        <v>114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115</v>
      </c>
      <c r="B54" s="4">
        <v>45317.0</v>
      </c>
      <c r="C54" s="5">
        <v>33.17</v>
      </c>
      <c r="D54" s="5">
        <v>-0.24</v>
      </c>
      <c r="E54" s="5">
        <v>-0.93</v>
      </c>
      <c r="F54" s="5">
        <v>-10.13</v>
      </c>
      <c r="G54" s="5">
        <v>-10.13</v>
      </c>
      <c r="H54" s="5">
        <v>-11.84</v>
      </c>
      <c r="I54" s="5">
        <v>33.04</v>
      </c>
      <c r="J54" s="5">
        <v>33.5</v>
      </c>
      <c r="K54" s="3" t="s">
        <v>116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117</v>
      </c>
      <c r="B55" s="7">
        <v>45317.0</v>
      </c>
      <c r="C55" s="8">
        <v>19.3</v>
      </c>
      <c r="D55" s="8">
        <v>-0.25</v>
      </c>
      <c r="E55" s="8">
        <v>2.01</v>
      </c>
      <c r="F55" s="8">
        <v>2.55</v>
      </c>
      <c r="G55" s="8">
        <v>2.55</v>
      </c>
      <c r="H55" s="8">
        <v>-10.11</v>
      </c>
      <c r="I55" s="8">
        <v>19.1</v>
      </c>
      <c r="J55" s="8">
        <v>19.51</v>
      </c>
      <c r="K55" s="6" t="s">
        <v>118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119</v>
      </c>
      <c r="B56" s="4">
        <v>45317.0</v>
      </c>
      <c r="C56" s="5">
        <v>24.62</v>
      </c>
      <c r="D56" s="5">
        <v>-0.28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3" t="s">
        <v>120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121</v>
      </c>
      <c r="B57" s="7">
        <v>45317.0</v>
      </c>
      <c r="C57" s="8">
        <v>13.27</v>
      </c>
      <c r="D57" s="8">
        <v>-0.3</v>
      </c>
      <c r="E57" s="8">
        <v>-1.78</v>
      </c>
      <c r="F57" s="8">
        <v>-6.42</v>
      </c>
      <c r="G57" s="8">
        <v>-6.42</v>
      </c>
      <c r="H57" s="8">
        <v>13.59</v>
      </c>
      <c r="I57" s="8">
        <v>13.23</v>
      </c>
      <c r="J57" s="8">
        <v>13.41</v>
      </c>
      <c r="K57" s="6" t="s">
        <v>122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123</v>
      </c>
      <c r="B58" s="4">
        <v>45317.0</v>
      </c>
      <c r="C58" s="5">
        <v>3.03</v>
      </c>
      <c r="D58" s="5">
        <v>-0.32</v>
      </c>
      <c r="E58" s="5">
        <v>-5.02</v>
      </c>
      <c r="F58" s="5">
        <v>-13.18</v>
      </c>
      <c r="G58" s="5">
        <v>-13.18</v>
      </c>
      <c r="H58" s="5">
        <v>37.73</v>
      </c>
      <c r="I58" s="5">
        <v>2.97</v>
      </c>
      <c r="J58" s="5">
        <v>3.06</v>
      </c>
      <c r="K58" s="3" t="s">
        <v>124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125</v>
      </c>
      <c r="B59" s="7">
        <v>45317.0</v>
      </c>
      <c r="C59" s="8">
        <v>26.12</v>
      </c>
      <c r="D59" s="8">
        <v>-0.41</v>
      </c>
      <c r="E59" s="8">
        <v>-1.25</v>
      </c>
      <c r="F59" s="8">
        <v>-1.43</v>
      </c>
      <c r="G59" s="8">
        <v>-1.43</v>
      </c>
      <c r="H59" s="8">
        <v>22.81</v>
      </c>
      <c r="I59" s="8">
        <v>26.09</v>
      </c>
      <c r="J59" s="8">
        <v>26.4</v>
      </c>
      <c r="K59" s="6" t="s">
        <v>126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127</v>
      </c>
      <c r="B60" s="4">
        <v>45317.0</v>
      </c>
      <c r="C60" s="5">
        <v>41.04</v>
      </c>
      <c r="D60" s="5">
        <v>-0.46</v>
      </c>
      <c r="E60" s="5">
        <v>0.56</v>
      </c>
      <c r="F60" s="5">
        <v>-9.46</v>
      </c>
      <c r="G60" s="5">
        <v>-9.46</v>
      </c>
      <c r="H60" s="5">
        <v>13.41</v>
      </c>
      <c r="I60" s="5">
        <v>40.92</v>
      </c>
      <c r="J60" s="5">
        <v>41.59</v>
      </c>
      <c r="K60" s="3" t="s">
        <v>128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129</v>
      </c>
      <c r="B61" s="7">
        <v>45317.0</v>
      </c>
      <c r="C61" s="8">
        <v>23.23</v>
      </c>
      <c r="D61" s="8">
        <v>-0.47</v>
      </c>
      <c r="E61" s="8">
        <v>2.43</v>
      </c>
      <c r="F61" s="8">
        <v>2.07</v>
      </c>
      <c r="G61" s="8">
        <v>2.07</v>
      </c>
      <c r="H61" s="8">
        <v>50.65</v>
      </c>
      <c r="I61" s="8">
        <v>22.97</v>
      </c>
      <c r="J61" s="8">
        <v>23.4</v>
      </c>
      <c r="K61" s="6" t="s">
        <v>130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131</v>
      </c>
      <c r="B62" s="4">
        <v>45317.0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</v>
      </c>
      <c r="J62" s="5">
        <v>41.4</v>
      </c>
      <c r="K62" s="3" t="s">
        <v>132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133</v>
      </c>
      <c r="B63" s="7">
        <v>45317.0</v>
      </c>
      <c r="C63" s="8">
        <v>40.86</v>
      </c>
      <c r="D63" s="8">
        <v>-0.65</v>
      </c>
      <c r="E63" s="8">
        <v>-2.04</v>
      </c>
      <c r="F63" s="8">
        <v>-3.7</v>
      </c>
      <c r="G63" s="8">
        <v>-3.7</v>
      </c>
      <c r="H63" s="8">
        <v>-3.64</v>
      </c>
      <c r="I63" s="8">
        <v>40.86</v>
      </c>
      <c r="J63" s="8">
        <v>41.44</v>
      </c>
      <c r="K63" s="6" t="s">
        <v>134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135</v>
      </c>
      <c r="B64" s="4">
        <v>45317.0</v>
      </c>
      <c r="C64" s="5">
        <v>3.4</v>
      </c>
      <c r="D64" s="5">
        <v>-0.87</v>
      </c>
      <c r="E64" s="5">
        <v>-4.23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3" t="s">
        <v>136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137</v>
      </c>
      <c r="B65" s="7">
        <v>45317.0</v>
      </c>
      <c r="C65" s="8">
        <v>15.91</v>
      </c>
      <c r="D65" s="8">
        <v>-0.93</v>
      </c>
      <c r="E65" s="8">
        <v>-2.39</v>
      </c>
      <c r="F65" s="8">
        <v>-14.92</v>
      </c>
      <c r="G65" s="8">
        <v>-14.92</v>
      </c>
      <c r="H65" s="8">
        <v>8.93</v>
      </c>
      <c r="I65" s="8">
        <v>15.85</v>
      </c>
      <c r="J65" s="8">
        <v>16.31</v>
      </c>
      <c r="K65" s="6" t="s">
        <v>138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139</v>
      </c>
      <c r="B66" s="4">
        <v>45317.0</v>
      </c>
      <c r="C66" s="5">
        <v>16.49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16.4</v>
      </c>
      <c r="J66" s="5">
        <v>16.71</v>
      </c>
      <c r="K66" s="3" t="s">
        <v>82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140</v>
      </c>
      <c r="B67" s="7">
        <v>45317.0</v>
      </c>
      <c r="C67" s="8">
        <v>6.95</v>
      </c>
      <c r="D67" s="8">
        <v>-1.27</v>
      </c>
      <c r="E67" s="8">
        <v>-0.43</v>
      </c>
      <c r="F67" s="8">
        <v>-6.71</v>
      </c>
      <c r="G67" s="8">
        <v>-6.71</v>
      </c>
      <c r="H67" s="8">
        <v>-30.01</v>
      </c>
      <c r="I67" s="8">
        <v>6.87</v>
      </c>
      <c r="J67" s="8">
        <v>7.14</v>
      </c>
      <c r="K67" s="6" t="s">
        <v>141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142</v>
      </c>
      <c r="B68" s="4">
        <v>45317.0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</v>
      </c>
      <c r="I68" s="5">
        <v>8.62</v>
      </c>
      <c r="J68" s="5">
        <v>8.8</v>
      </c>
      <c r="K68" s="3" t="s">
        <v>143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144</v>
      </c>
      <c r="B69" s="7">
        <v>45317.0</v>
      </c>
      <c r="C69" s="8">
        <v>22.84</v>
      </c>
      <c r="D69" s="8">
        <v>-1.38</v>
      </c>
      <c r="E69" s="8">
        <v>2.38</v>
      </c>
      <c r="F69" s="8">
        <v>-5.15</v>
      </c>
      <c r="G69" s="8">
        <v>-5.15</v>
      </c>
      <c r="H69" s="8">
        <v>60.09</v>
      </c>
      <c r="I69" s="8">
        <v>22.62</v>
      </c>
      <c r="J69" s="8">
        <v>23.34</v>
      </c>
      <c r="K69" s="6" t="s">
        <v>145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146</v>
      </c>
      <c r="B70" s="4">
        <v>45317.0</v>
      </c>
      <c r="C70" s="5">
        <v>22.4</v>
      </c>
      <c r="D70" s="5">
        <v>-1.4</v>
      </c>
      <c r="E70" s="5">
        <v>5.02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3" t="s">
        <v>147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148</v>
      </c>
      <c r="B71" s="7">
        <v>45317.0</v>
      </c>
      <c r="C71" s="8">
        <v>15.97</v>
      </c>
      <c r="D71" s="8">
        <v>-1.41</v>
      </c>
      <c r="E71" s="8">
        <v>-7.37</v>
      </c>
      <c r="F71" s="8">
        <v>-5.45</v>
      </c>
      <c r="G71" s="8">
        <v>-5.45</v>
      </c>
      <c r="H71" s="8">
        <v>23.51</v>
      </c>
      <c r="I71" s="8">
        <v>15.84</v>
      </c>
      <c r="J71" s="8">
        <v>16.43</v>
      </c>
      <c r="K71" s="6" t="s">
        <v>149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150</v>
      </c>
      <c r="B72" s="4">
        <v>45317.0</v>
      </c>
      <c r="C72" s="5">
        <v>13.8</v>
      </c>
      <c r="D72" s="5">
        <v>-1.42</v>
      </c>
      <c r="E72" s="5">
        <v>-3.5</v>
      </c>
      <c r="F72" s="5">
        <v>2.0</v>
      </c>
      <c r="G72" s="5">
        <v>2.0</v>
      </c>
      <c r="H72" s="5">
        <v>-34.02</v>
      </c>
      <c r="I72" s="5">
        <v>13.63</v>
      </c>
      <c r="J72" s="5">
        <v>14.0</v>
      </c>
      <c r="K72" s="3" t="s">
        <v>151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152</v>
      </c>
      <c r="B73" s="7">
        <v>45317.0</v>
      </c>
      <c r="C73" s="8">
        <v>13.22</v>
      </c>
      <c r="D73" s="8">
        <v>-1.56</v>
      </c>
      <c r="E73" s="8">
        <v>-4.13</v>
      </c>
      <c r="F73" s="8">
        <v>-8.58</v>
      </c>
      <c r="G73" s="8">
        <v>-8.58</v>
      </c>
      <c r="H73" s="8">
        <v>3.88</v>
      </c>
      <c r="I73" s="8">
        <v>13.18</v>
      </c>
      <c r="J73" s="8">
        <v>13.42</v>
      </c>
      <c r="K73" s="6" t="s">
        <v>153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154</v>
      </c>
      <c r="B74" s="4">
        <v>45317.0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3" t="s">
        <v>155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156</v>
      </c>
      <c r="B75" s="7">
        <v>45317.0</v>
      </c>
      <c r="C75" s="8">
        <v>28.2</v>
      </c>
      <c r="D75" s="8">
        <v>-1.94</v>
      </c>
      <c r="E75" s="8">
        <v>0.36</v>
      </c>
      <c r="F75" s="8">
        <v>-3.79</v>
      </c>
      <c r="G75" s="8">
        <v>-3.79</v>
      </c>
      <c r="H75" s="8">
        <v>17.1</v>
      </c>
      <c r="I75" s="8">
        <v>28.13</v>
      </c>
      <c r="J75" s="8">
        <v>28.97</v>
      </c>
      <c r="K75" s="6" t="s">
        <v>157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158</v>
      </c>
      <c r="B76" s="4">
        <v>45317.0</v>
      </c>
      <c r="C76" s="5">
        <v>3.93</v>
      </c>
      <c r="D76" s="5">
        <v>-1.99</v>
      </c>
      <c r="E76" s="5">
        <v>-2.24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4.06</v>
      </c>
      <c r="K76" s="3" t="s">
        <v>159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160</v>
      </c>
      <c r="B77" s="7">
        <v>45317.0</v>
      </c>
      <c r="C77" s="8">
        <v>15.78</v>
      </c>
      <c r="D77" s="8">
        <v>-2.29</v>
      </c>
      <c r="E77" s="8">
        <v>-5.62</v>
      </c>
      <c r="F77" s="8">
        <v>-9.41</v>
      </c>
      <c r="G77" s="8">
        <v>-9.41</v>
      </c>
      <c r="H77" s="8">
        <v>-24.94</v>
      </c>
      <c r="I77" s="8">
        <v>15.7</v>
      </c>
      <c r="J77" s="8">
        <v>16.23</v>
      </c>
      <c r="K77" s="6" t="s">
        <v>161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162</v>
      </c>
      <c r="B78" s="4">
        <v>45317.0</v>
      </c>
      <c r="C78" s="5">
        <v>10.71</v>
      </c>
      <c r="D78" s="5">
        <v>-2.45</v>
      </c>
      <c r="E78" s="5">
        <v>-9.47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3" t="s">
        <v>163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164</v>
      </c>
      <c r="B79" s="7">
        <v>45317.0</v>
      </c>
      <c r="C79" s="8">
        <v>8.7</v>
      </c>
      <c r="D79" s="8">
        <v>-2.46</v>
      </c>
      <c r="E79" s="8">
        <v>-6.95</v>
      </c>
      <c r="F79" s="8">
        <v>-23.55</v>
      </c>
      <c r="G79" s="8">
        <v>-23.55</v>
      </c>
      <c r="H79" s="8">
        <v>-85.74</v>
      </c>
      <c r="I79" s="8">
        <v>8.67</v>
      </c>
      <c r="J79" s="8">
        <v>8.95</v>
      </c>
      <c r="K79" s="6" t="s">
        <v>165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166</v>
      </c>
      <c r="B80" s="4">
        <v>45317.0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3" t="s">
        <v>167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168</v>
      </c>
      <c r="B81" s="7">
        <v>45317.0</v>
      </c>
      <c r="C81" s="8">
        <v>3.07</v>
      </c>
      <c r="D81" s="8">
        <v>-4.36</v>
      </c>
      <c r="E81" s="8">
        <v>-5.54</v>
      </c>
      <c r="F81" s="8">
        <v>-12.29</v>
      </c>
      <c r="G81" s="8">
        <v>-12.29</v>
      </c>
      <c r="H81" s="8">
        <v>-36.83</v>
      </c>
      <c r="I81" s="8">
        <v>3.05</v>
      </c>
      <c r="J81" s="8">
        <v>3.23</v>
      </c>
      <c r="K81" s="6" t="s">
        <v>169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170</v>
      </c>
      <c r="B82" s="4">
        <v>45317.0</v>
      </c>
      <c r="C82" s="5">
        <v>5.92</v>
      </c>
      <c r="D82" s="5">
        <v>-8.07</v>
      </c>
      <c r="E82" s="5">
        <v>-15.91</v>
      </c>
      <c r="F82" s="5">
        <v>-34.0</v>
      </c>
      <c r="G82" s="5">
        <v>-34.0</v>
      </c>
      <c r="H82" s="5">
        <v>-25.44</v>
      </c>
      <c r="I82" s="5">
        <v>5.51</v>
      </c>
      <c r="J82" s="5">
        <v>6.02</v>
      </c>
      <c r="K82" s="3" t="s">
        <v>171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8.0"/>
    <col customWidth="1" min="3" max="3" width="22.0"/>
    <col customWidth="1" min="4" max="4" width="8.38"/>
    <col customWidth="1" min="5" max="5" width="19.0"/>
    <col customWidth="1" min="6" max="6" width="8.38"/>
    <col customWidth="1" min="7" max="7" width="15.88"/>
    <col customWidth="1" min="8" max="8" width="10.75"/>
    <col customWidth="1" min="9" max="9" width="11.0"/>
    <col customWidth="1" min="10" max="10" width="17.5"/>
    <col customWidth="1" min="11" max="11" width="12.5"/>
    <col customWidth="1" min="12" max="12" width="19.0"/>
    <col customWidth="1" min="13" max="13" width="11.75"/>
    <col customWidth="1" min="14" max="14" width="18.25"/>
    <col customWidth="1" min="15" max="15" width="11.75"/>
    <col customWidth="1" min="16" max="16" width="18.25"/>
    <col customWidth="1" min="17" max="17" width="11.75"/>
    <col customWidth="1" min="18" max="18" width="18.25"/>
    <col customWidth="1" min="19" max="19" width="8.75"/>
    <col customWidth="1" min="20" max="20" width="9.75"/>
    <col customWidth="1" min="21" max="21" width="9.63"/>
    <col customWidth="1" min="22" max="22" width="13.88"/>
    <col customWidth="1" min="23" max="24" width="17.13"/>
  </cols>
  <sheetData>
    <row r="1">
      <c r="A1" s="1" t="s">
        <v>0</v>
      </c>
      <c r="B1" s="9" t="s">
        <v>172</v>
      </c>
      <c r="C1" s="9" t="s">
        <v>173</v>
      </c>
      <c r="D1" s="10" t="s">
        <v>174</v>
      </c>
      <c r="E1" s="10" t="s">
        <v>175</v>
      </c>
      <c r="F1" s="1" t="s">
        <v>1</v>
      </c>
      <c r="G1" s="9" t="s">
        <v>176</v>
      </c>
      <c r="H1" s="11" t="s">
        <v>2</v>
      </c>
      <c r="I1" s="11" t="s">
        <v>3</v>
      </c>
      <c r="J1" s="12" t="s">
        <v>177</v>
      </c>
      <c r="K1" s="11" t="s">
        <v>4</v>
      </c>
      <c r="L1" s="12" t="s">
        <v>178</v>
      </c>
      <c r="M1" s="11" t="s">
        <v>5</v>
      </c>
      <c r="N1" s="12" t="s">
        <v>179</v>
      </c>
      <c r="O1" s="11" t="s">
        <v>6</v>
      </c>
      <c r="P1" s="12" t="s">
        <v>180</v>
      </c>
      <c r="Q1" s="11" t="s">
        <v>7</v>
      </c>
      <c r="R1" s="12" t="s">
        <v>181</v>
      </c>
      <c r="S1" s="11" t="s">
        <v>8</v>
      </c>
      <c r="T1" s="11" t="s">
        <v>9</v>
      </c>
      <c r="U1" s="1" t="s">
        <v>10</v>
      </c>
      <c r="V1" s="9" t="s">
        <v>182</v>
      </c>
      <c r="W1" s="13" t="s">
        <v>183</v>
      </c>
      <c r="X1" s="13" t="s">
        <v>184</v>
      </c>
    </row>
    <row r="2">
      <c r="A2" s="14" t="s">
        <v>11</v>
      </c>
      <c r="B2" s="15" t="str">
        <f>VLOOKUP(A2, Ticker!A:B, 2, 0)</f>
        <v>Usiminas</v>
      </c>
      <c r="C2" s="15" t="str">
        <f>VLOOKUP(B2, ChatGPT!A:B, 2, 0)</f>
        <v>Indústria / Metalurgia</v>
      </c>
      <c r="D2" s="16">
        <f>VLOOKUP(B2, ChatGPT!A:C, 3, 0)</f>
        <v>60</v>
      </c>
      <c r="E2" s="16" t="str">
        <f t="shared" ref="E2:E82" si="1">IF(D2 &gt; 100, "Mais de 100 anos", if(D2 &lt; 50, "Menos de 50 anos", "Entre 50 e 100 anos"))</f>
        <v>Entre 50 e 100 anos</v>
      </c>
      <c r="F2" s="17">
        <v>45317.0</v>
      </c>
      <c r="G2" s="18">
        <f t="shared" ref="G2:G82" si="2">H2/(1+J2)</f>
        <v>9.030418251</v>
      </c>
      <c r="H2" s="19">
        <v>9.5</v>
      </c>
      <c r="I2" s="19">
        <v>5.2</v>
      </c>
      <c r="J2" s="18">
        <f t="shared" ref="J2:J82" si="3">I2/100</f>
        <v>0.052</v>
      </c>
      <c r="K2" s="19">
        <v>11.76</v>
      </c>
      <c r="L2" s="18">
        <f t="shared" ref="L2:L82" si="4">K2/100</f>
        <v>0.1176</v>
      </c>
      <c r="M2" s="19">
        <v>2.26</v>
      </c>
      <c r="N2" s="18">
        <f t="shared" ref="N2:N82" si="5">M2/100</f>
        <v>0.0226</v>
      </c>
      <c r="O2" s="19">
        <v>2.26</v>
      </c>
      <c r="P2" s="18">
        <f t="shared" ref="P2:P82" si="6">O2/100</f>
        <v>0.0226</v>
      </c>
      <c r="Q2" s="19">
        <v>15.97</v>
      </c>
      <c r="R2" s="18">
        <f t="shared" ref="R2:R82" si="7">Q2/100</f>
        <v>0.1597</v>
      </c>
      <c r="S2" s="19">
        <v>9.18</v>
      </c>
      <c r="T2" s="19">
        <v>9.56</v>
      </c>
      <c r="U2" s="14" t="s">
        <v>12</v>
      </c>
      <c r="V2" s="20">
        <f>VLOOKUP(A2, Total_de_acoes!A:B, 2, 0)</f>
        <v>515117391</v>
      </c>
      <c r="W2" s="21">
        <f t="shared" ref="W2:W82" si="8"> (H2 - G2) * V2</f>
        <v>241889725.4</v>
      </c>
      <c r="X2" s="22" t="str">
        <f t="shared" ref="X2:X82" si="9">ifs(W2 &gt; 0, "Subiu", W2 &lt; 0, "Desceu", W2 = 0, "não houve variação")</f>
        <v>Subiu</v>
      </c>
    </row>
    <row r="3">
      <c r="A3" s="23" t="s">
        <v>13</v>
      </c>
      <c r="B3" s="15" t="str">
        <f>VLOOKUP(A3, Ticker!A:B, 2, 0)</f>
        <v>CSN Mineração</v>
      </c>
      <c r="C3" s="15" t="str">
        <f>VLOOKUP(B3, ChatGPT!A:B, 2, 0)</f>
        <v>Mineração</v>
      </c>
      <c r="D3" s="16">
        <f>VLOOKUP(B3, ChatGPT!A:C, 3, 0)</f>
        <v>30</v>
      </c>
      <c r="E3" s="16" t="str">
        <f t="shared" si="1"/>
        <v>Menos de 50 anos</v>
      </c>
      <c r="F3" s="24">
        <v>45317.0</v>
      </c>
      <c r="G3" s="18">
        <f t="shared" si="2"/>
        <v>6.66015625</v>
      </c>
      <c r="H3" s="25">
        <v>6.82</v>
      </c>
      <c r="I3" s="25">
        <v>2.4</v>
      </c>
      <c r="J3" s="18">
        <f t="shared" si="3"/>
        <v>0.024</v>
      </c>
      <c r="K3" s="25">
        <v>2.4</v>
      </c>
      <c r="L3" s="18">
        <f t="shared" si="4"/>
        <v>0.024</v>
      </c>
      <c r="M3" s="25">
        <v>-12.11</v>
      </c>
      <c r="N3" s="18">
        <f t="shared" si="5"/>
        <v>-0.1211</v>
      </c>
      <c r="O3" s="25">
        <v>-12.11</v>
      </c>
      <c r="P3" s="18">
        <f t="shared" si="6"/>
        <v>-0.1211</v>
      </c>
      <c r="Q3" s="25">
        <v>50.56</v>
      </c>
      <c r="R3" s="18">
        <f t="shared" si="7"/>
        <v>0.5056</v>
      </c>
      <c r="S3" s="25">
        <v>6.66</v>
      </c>
      <c r="T3" s="25">
        <v>6.86</v>
      </c>
      <c r="U3" s="23" t="s">
        <v>14</v>
      </c>
      <c r="V3" s="20">
        <f>VLOOKUP(A3, Total_de_acoes!A:B, 2, 0)</f>
        <v>1110559345</v>
      </c>
      <c r="W3" s="21">
        <f t="shared" si="8"/>
        <v>177515970.3</v>
      </c>
      <c r="X3" s="22" t="str">
        <f t="shared" si="9"/>
        <v>Subiu</v>
      </c>
    </row>
    <row r="4">
      <c r="A4" s="14" t="s">
        <v>15</v>
      </c>
      <c r="B4" s="15" t="str">
        <f>VLOOKUP(A4, Ticker!A:B, 2, 0)</f>
        <v>Petrobras</v>
      </c>
      <c r="C4" s="15" t="str">
        <f>VLOOKUP(B4, ChatGPT!A:B, 2, 0)</f>
        <v>Energia / Petróleo</v>
      </c>
      <c r="D4" s="16">
        <f>VLOOKUP(B4, ChatGPT!A:C, 3, 0)</f>
        <v>70</v>
      </c>
      <c r="E4" s="16" t="str">
        <f t="shared" si="1"/>
        <v>Entre 50 e 100 anos</v>
      </c>
      <c r="F4" s="17">
        <v>45317.0</v>
      </c>
      <c r="G4" s="18">
        <f t="shared" si="2"/>
        <v>41.06076916</v>
      </c>
      <c r="H4" s="19">
        <v>41.96</v>
      </c>
      <c r="I4" s="19">
        <v>2.19</v>
      </c>
      <c r="J4" s="18">
        <f t="shared" si="3"/>
        <v>0.0219</v>
      </c>
      <c r="K4" s="19">
        <v>7.73</v>
      </c>
      <c r="L4" s="18">
        <f t="shared" si="4"/>
        <v>0.0773</v>
      </c>
      <c r="M4" s="19">
        <v>7.64</v>
      </c>
      <c r="N4" s="18">
        <f t="shared" si="5"/>
        <v>0.0764</v>
      </c>
      <c r="O4" s="19">
        <v>7.64</v>
      </c>
      <c r="P4" s="18">
        <f t="shared" si="6"/>
        <v>0.0764</v>
      </c>
      <c r="Q4" s="19">
        <v>77.55</v>
      </c>
      <c r="R4" s="18">
        <f t="shared" si="7"/>
        <v>0.7755</v>
      </c>
      <c r="S4" s="19">
        <v>40.81</v>
      </c>
      <c r="T4" s="19">
        <v>42.34</v>
      </c>
      <c r="U4" s="14" t="s">
        <v>16</v>
      </c>
      <c r="V4" s="20">
        <f>VLOOKUP(A4, Total_de_acoes!A:B, 2, 0)</f>
        <v>2379877655</v>
      </c>
      <c r="W4" s="21">
        <f t="shared" si="8"/>
        <v>2140059394</v>
      </c>
      <c r="X4" s="22" t="str">
        <f t="shared" si="9"/>
        <v>Subiu</v>
      </c>
    </row>
    <row r="5">
      <c r="A5" s="23" t="s">
        <v>17</v>
      </c>
      <c r="B5" s="15" t="str">
        <f>VLOOKUP(A5, Ticker!A:B, 2, 0)</f>
        <v>Suzano</v>
      </c>
      <c r="C5" s="15" t="str">
        <f>VLOOKUP(B5, ChatGPT!A:B, 2, 0)</f>
        <v>Papel e Celulose</v>
      </c>
      <c r="D5" s="16">
        <f>VLOOKUP(B5, ChatGPT!A:C, 3, 0)</f>
        <v>100</v>
      </c>
      <c r="E5" s="16" t="str">
        <f t="shared" si="1"/>
        <v>Entre 50 e 100 anos</v>
      </c>
      <c r="F5" s="24">
        <v>45317.0</v>
      </c>
      <c r="G5" s="18">
        <f t="shared" si="2"/>
        <v>51.85221482</v>
      </c>
      <c r="H5" s="25">
        <v>52.91</v>
      </c>
      <c r="I5" s="25">
        <v>2.04</v>
      </c>
      <c r="J5" s="18">
        <f t="shared" si="3"/>
        <v>0.0204</v>
      </c>
      <c r="K5" s="25">
        <v>2.14</v>
      </c>
      <c r="L5" s="18">
        <f t="shared" si="4"/>
        <v>0.0214</v>
      </c>
      <c r="M5" s="25">
        <v>-4.89</v>
      </c>
      <c r="N5" s="18">
        <f t="shared" si="5"/>
        <v>-0.0489</v>
      </c>
      <c r="O5" s="25">
        <v>-4.89</v>
      </c>
      <c r="P5" s="18">
        <f t="shared" si="6"/>
        <v>-0.0489</v>
      </c>
      <c r="Q5" s="25">
        <v>18.85</v>
      </c>
      <c r="R5" s="18">
        <f t="shared" si="7"/>
        <v>0.1885</v>
      </c>
      <c r="S5" s="25">
        <v>51.89</v>
      </c>
      <c r="T5" s="25">
        <v>53.17</v>
      </c>
      <c r="U5" s="23" t="s">
        <v>18</v>
      </c>
      <c r="V5" s="20">
        <f>VLOOKUP(A5, Total_de_acoes!A:B, 2, 0)</f>
        <v>683452836</v>
      </c>
      <c r="W5" s="21">
        <f t="shared" si="8"/>
        <v>722946282.7</v>
      </c>
      <c r="X5" s="22" t="str">
        <f t="shared" si="9"/>
        <v>Subiu</v>
      </c>
    </row>
    <row r="6">
      <c r="A6" s="14" t="s">
        <v>19</v>
      </c>
      <c r="B6" s="15" t="str">
        <f>VLOOKUP(A6, Ticker!A:B, 2, 0)</f>
        <v>CPFL Energia</v>
      </c>
      <c r="C6" s="15" t="str">
        <f>VLOOKUP(B6, ChatGPT!A:B, 2, 0)</f>
        <v>Energia</v>
      </c>
      <c r="D6" s="16">
        <f>VLOOKUP(B6, ChatGPT!A:C, 3, 0)</f>
        <v>100</v>
      </c>
      <c r="E6" s="16" t="str">
        <f t="shared" si="1"/>
        <v>Entre 50 e 100 anos</v>
      </c>
      <c r="F6" s="17">
        <v>45317.0</v>
      </c>
      <c r="G6" s="18">
        <f t="shared" si="2"/>
        <v>36.36185436</v>
      </c>
      <c r="H6" s="19">
        <v>37.1</v>
      </c>
      <c r="I6" s="19">
        <v>2.03</v>
      </c>
      <c r="J6" s="18">
        <f t="shared" si="3"/>
        <v>0.0203</v>
      </c>
      <c r="K6" s="19">
        <v>2.49</v>
      </c>
      <c r="L6" s="18">
        <f t="shared" si="4"/>
        <v>0.0249</v>
      </c>
      <c r="M6" s="19">
        <v>-3.66</v>
      </c>
      <c r="N6" s="18">
        <f t="shared" si="5"/>
        <v>-0.0366</v>
      </c>
      <c r="O6" s="19">
        <v>-3.66</v>
      </c>
      <c r="P6" s="18">
        <f t="shared" si="6"/>
        <v>-0.0366</v>
      </c>
      <c r="Q6" s="19">
        <v>20.7</v>
      </c>
      <c r="R6" s="18">
        <f t="shared" si="7"/>
        <v>0.207</v>
      </c>
      <c r="S6" s="19">
        <v>36.37</v>
      </c>
      <c r="T6" s="19">
        <v>37.32</v>
      </c>
      <c r="U6" s="14" t="s">
        <v>20</v>
      </c>
      <c r="V6" s="20">
        <f>VLOOKUP(A6, Total_de_acoes!A:B, 2, 0)</f>
        <v>187732538</v>
      </c>
      <c r="W6" s="21">
        <f t="shared" si="8"/>
        <v>138573955.1</v>
      </c>
      <c r="X6" s="22" t="str">
        <f t="shared" si="9"/>
        <v>Subiu</v>
      </c>
    </row>
    <row r="7">
      <c r="A7" s="23" t="s">
        <v>21</v>
      </c>
      <c r="B7" s="15" t="str">
        <f>VLOOKUP(A7, Ticker!A:B, 2, 0)</f>
        <v>PetroRio</v>
      </c>
      <c r="C7" s="15" t="str">
        <f>VLOOKUP(B7, ChatGPT!A:B, 2, 0)</f>
        <v>Energia / Petróleo</v>
      </c>
      <c r="D7" s="16">
        <f>VLOOKUP(B7, ChatGPT!A:C, 3, 0)</f>
        <v>15</v>
      </c>
      <c r="E7" s="16" t="str">
        <f t="shared" si="1"/>
        <v>Menos de 50 anos</v>
      </c>
      <c r="F7" s="24">
        <v>45317.0</v>
      </c>
      <c r="G7" s="18">
        <f t="shared" si="2"/>
        <v>44.80290253</v>
      </c>
      <c r="H7" s="25">
        <v>45.69</v>
      </c>
      <c r="I7" s="25">
        <v>1.98</v>
      </c>
      <c r="J7" s="18">
        <f t="shared" si="3"/>
        <v>0.0198</v>
      </c>
      <c r="K7" s="25">
        <v>2.42</v>
      </c>
      <c r="L7" s="18">
        <f t="shared" si="4"/>
        <v>0.0242</v>
      </c>
      <c r="M7" s="25">
        <v>-0.78</v>
      </c>
      <c r="N7" s="18">
        <f t="shared" si="5"/>
        <v>-0.0078</v>
      </c>
      <c r="O7" s="25">
        <v>-0.78</v>
      </c>
      <c r="P7" s="18">
        <f t="shared" si="6"/>
        <v>-0.0078</v>
      </c>
      <c r="Q7" s="25">
        <v>8.08</v>
      </c>
      <c r="R7" s="18">
        <f t="shared" si="7"/>
        <v>0.0808</v>
      </c>
      <c r="S7" s="25">
        <v>44.25</v>
      </c>
      <c r="T7" s="25">
        <v>45.69</v>
      </c>
      <c r="U7" s="23" t="s">
        <v>22</v>
      </c>
      <c r="V7" s="20">
        <f>VLOOKUP(A7, Total_de_acoes!A:B, 2, 0)</f>
        <v>800010734</v>
      </c>
      <c r="W7" s="21">
        <f t="shared" si="8"/>
        <v>709687498.2</v>
      </c>
      <c r="X7" s="22" t="str">
        <f t="shared" si="9"/>
        <v>Subiu</v>
      </c>
    </row>
    <row r="8">
      <c r="A8" s="14" t="s">
        <v>23</v>
      </c>
      <c r="B8" s="15" t="str">
        <f>VLOOKUP(A8, Ticker!A:B, 2, 0)</f>
        <v>Petrobras</v>
      </c>
      <c r="C8" s="15" t="str">
        <f>VLOOKUP(B8, ChatGPT!A:B, 2, 0)</f>
        <v>Energia / Petróleo</v>
      </c>
      <c r="D8" s="16">
        <f>VLOOKUP(B8, ChatGPT!A:C, 3, 0)</f>
        <v>70</v>
      </c>
      <c r="E8" s="16" t="str">
        <f t="shared" si="1"/>
        <v>Entre 50 e 100 anos</v>
      </c>
      <c r="F8" s="17">
        <v>45317.0</v>
      </c>
      <c r="G8" s="18">
        <f t="shared" si="2"/>
        <v>39.28044825</v>
      </c>
      <c r="H8" s="19">
        <v>39.96</v>
      </c>
      <c r="I8" s="19">
        <v>1.73</v>
      </c>
      <c r="J8" s="18">
        <f t="shared" si="3"/>
        <v>0.0173</v>
      </c>
      <c r="K8" s="19">
        <v>6.47</v>
      </c>
      <c r="L8" s="18">
        <f t="shared" si="4"/>
        <v>0.0647</v>
      </c>
      <c r="M8" s="19">
        <v>7.3</v>
      </c>
      <c r="N8" s="18">
        <f t="shared" si="5"/>
        <v>0.073</v>
      </c>
      <c r="O8" s="19">
        <v>7.3</v>
      </c>
      <c r="P8" s="18">
        <f t="shared" si="6"/>
        <v>0.073</v>
      </c>
      <c r="Q8" s="19">
        <v>95.01</v>
      </c>
      <c r="R8" s="18">
        <f t="shared" si="7"/>
        <v>0.9501</v>
      </c>
      <c r="S8" s="19">
        <v>38.91</v>
      </c>
      <c r="T8" s="19">
        <v>40.09</v>
      </c>
      <c r="U8" s="14" t="s">
        <v>24</v>
      </c>
      <c r="V8" s="20">
        <f>VLOOKUP(A8, Total_de_acoes!A:B, 2, 0)</f>
        <v>4566445852</v>
      </c>
      <c r="W8" s="21">
        <f t="shared" si="8"/>
        <v>3103136291</v>
      </c>
      <c r="X8" s="22" t="str">
        <f t="shared" si="9"/>
        <v>Subiu</v>
      </c>
    </row>
    <row r="9">
      <c r="A9" s="23" t="s">
        <v>25</v>
      </c>
      <c r="B9" s="15" t="str">
        <f>VLOOKUP(A9, Ticker!A:B, 2, 0)</f>
        <v>Vale</v>
      </c>
      <c r="C9" s="15" t="str">
        <f>VLOOKUP(B9, ChatGPT!A:B, 2, 0)</f>
        <v>Mineração</v>
      </c>
      <c r="D9" s="16">
        <f>VLOOKUP(B9, ChatGPT!A:C, 3, 0)</f>
        <v>80</v>
      </c>
      <c r="E9" s="16" t="str">
        <f t="shared" si="1"/>
        <v>Entre 50 e 100 anos</v>
      </c>
      <c r="F9" s="24">
        <v>45317.0</v>
      </c>
      <c r="G9" s="18">
        <f t="shared" si="2"/>
        <v>68.3651387</v>
      </c>
      <c r="H9" s="25">
        <v>69.5</v>
      </c>
      <c r="I9" s="25">
        <v>1.66</v>
      </c>
      <c r="J9" s="18">
        <f t="shared" si="3"/>
        <v>0.0166</v>
      </c>
      <c r="K9" s="25">
        <v>2.06</v>
      </c>
      <c r="L9" s="18">
        <f t="shared" si="4"/>
        <v>0.0206</v>
      </c>
      <c r="M9" s="25">
        <v>-9.97</v>
      </c>
      <c r="N9" s="18">
        <f t="shared" si="5"/>
        <v>-0.0997</v>
      </c>
      <c r="O9" s="25">
        <v>-9.97</v>
      </c>
      <c r="P9" s="18">
        <f t="shared" si="6"/>
        <v>-0.0997</v>
      </c>
      <c r="Q9" s="25">
        <v>-23.49</v>
      </c>
      <c r="R9" s="18">
        <f t="shared" si="7"/>
        <v>-0.2349</v>
      </c>
      <c r="S9" s="25">
        <v>67.5</v>
      </c>
      <c r="T9" s="25">
        <v>69.81</v>
      </c>
      <c r="U9" s="23" t="s">
        <v>26</v>
      </c>
      <c r="V9" s="20">
        <f>VLOOKUP(A9, Total_de_acoes!A:B, 2, 0)</f>
        <v>4196924316</v>
      </c>
      <c r="W9" s="21">
        <f t="shared" si="8"/>
        <v>4762926995</v>
      </c>
      <c r="X9" s="22" t="str">
        <f t="shared" si="9"/>
        <v>Subiu</v>
      </c>
    </row>
    <row r="10">
      <c r="A10" s="14" t="s">
        <v>27</v>
      </c>
      <c r="B10" s="15" t="str">
        <f>VLOOKUP(A10, Ticker!A:B, 2, 0)</f>
        <v>Multiplan</v>
      </c>
      <c r="C10" s="15" t="str">
        <f>VLOOKUP(B10, ChatGPT!A:B, 2, 0)</f>
        <v>Imobiliário / Shoppings</v>
      </c>
      <c r="D10" s="16">
        <f>VLOOKUP(B10, ChatGPT!A:C, 3, 0)</f>
        <v>40</v>
      </c>
      <c r="E10" s="16" t="str">
        <f t="shared" si="1"/>
        <v>Menos de 50 anos</v>
      </c>
      <c r="F10" s="17">
        <v>45317.0</v>
      </c>
      <c r="G10" s="18">
        <f t="shared" si="2"/>
        <v>27.75152589</v>
      </c>
      <c r="H10" s="19">
        <v>28.19</v>
      </c>
      <c r="I10" s="19">
        <v>1.58</v>
      </c>
      <c r="J10" s="18">
        <f t="shared" si="3"/>
        <v>0.0158</v>
      </c>
      <c r="K10" s="19">
        <v>2.03</v>
      </c>
      <c r="L10" s="18">
        <f t="shared" si="4"/>
        <v>0.0203</v>
      </c>
      <c r="M10" s="19">
        <v>-0.81</v>
      </c>
      <c r="N10" s="18">
        <f t="shared" si="5"/>
        <v>-0.0081</v>
      </c>
      <c r="O10" s="19">
        <v>-0.81</v>
      </c>
      <c r="P10" s="18">
        <f t="shared" si="6"/>
        <v>-0.0081</v>
      </c>
      <c r="Q10" s="19">
        <v>24.02</v>
      </c>
      <c r="R10" s="18">
        <f t="shared" si="7"/>
        <v>0.2402</v>
      </c>
      <c r="S10" s="19">
        <v>27.71</v>
      </c>
      <c r="T10" s="19">
        <v>28.36</v>
      </c>
      <c r="U10" s="14" t="s">
        <v>28</v>
      </c>
      <c r="V10" s="20">
        <f>VLOOKUP(A10, Total_de_acoes!A:B, 2, 0)</f>
        <v>268505432</v>
      </c>
      <c r="W10" s="21">
        <f t="shared" si="8"/>
        <v>117732680.1</v>
      </c>
      <c r="X10" s="22" t="str">
        <f t="shared" si="9"/>
        <v>Subiu</v>
      </c>
    </row>
    <row r="11">
      <c r="A11" s="23" t="s">
        <v>29</v>
      </c>
      <c r="B11" s="15" t="str">
        <f>VLOOKUP(A11, Ticker!A:B, 2, 0)</f>
        <v>Itaú Unibanco</v>
      </c>
      <c r="C11" s="15" t="str">
        <f>VLOOKUP(B11, ChatGPT!A:B, 2, 0)</f>
        <v>Financeiro</v>
      </c>
      <c r="D11" s="16">
        <f>VLOOKUP(B11, ChatGPT!A:C, 3, 0)</f>
        <v>90</v>
      </c>
      <c r="E11" s="16" t="str">
        <f t="shared" si="1"/>
        <v>Entre 50 e 100 anos</v>
      </c>
      <c r="F11" s="24">
        <v>45317.0</v>
      </c>
      <c r="G11" s="18">
        <f t="shared" si="2"/>
        <v>32.33149389</v>
      </c>
      <c r="H11" s="25">
        <v>32.81</v>
      </c>
      <c r="I11" s="25">
        <v>1.48</v>
      </c>
      <c r="J11" s="18">
        <f t="shared" si="3"/>
        <v>0.0148</v>
      </c>
      <c r="K11" s="25">
        <v>-0.39</v>
      </c>
      <c r="L11" s="18">
        <f t="shared" si="4"/>
        <v>-0.0039</v>
      </c>
      <c r="M11" s="25">
        <v>-3.36</v>
      </c>
      <c r="N11" s="18">
        <f t="shared" si="5"/>
        <v>-0.0336</v>
      </c>
      <c r="O11" s="25">
        <v>-3.36</v>
      </c>
      <c r="P11" s="18">
        <f t="shared" si="6"/>
        <v>-0.0336</v>
      </c>
      <c r="Q11" s="25">
        <v>34.25</v>
      </c>
      <c r="R11" s="18">
        <f t="shared" si="7"/>
        <v>0.3425</v>
      </c>
      <c r="S11" s="25">
        <v>32.35</v>
      </c>
      <c r="T11" s="25">
        <v>32.91</v>
      </c>
      <c r="U11" s="23" t="s">
        <v>30</v>
      </c>
      <c r="V11" s="20">
        <f>VLOOKUP(A11, Total_de_acoes!A:B, 2, 0)</f>
        <v>4801593832</v>
      </c>
      <c r="W11" s="21">
        <f t="shared" si="8"/>
        <v>2297591984</v>
      </c>
      <c r="X11" s="22" t="str">
        <f t="shared" si="9"/>
        <v>Subiu</v>
      </c>
    </row>
    <row r="12">
      <c r="A12" s="14" t="s">
        <v>31</v>
      </c>
      <c r="B12" s="15" t="str">
        <f>VLOOKUP(A12, Ticker!A:B, 2, 0)</f>
        <v>Rede D'Or</v>
      </c>
      <c r="C12" s="15" t="str">
        <f>VLOOKUP(B12, ChatGPT!A:B, 2, 0)</f>
        <v>Saúde</v>
      </c>
      <c r="D12" s="16">
        <f>VLOOKUP(B12, ChatGPT!A:C, 3, 0)</f>
        <v>40</v>
      </c>
      <c r="E12" s="16" t="str">
        <f t="shared" si="1"/>
        <v>Menos de 50 anos</v>
      </c>
      <c r="F12" s="17">
        <v>45317.0</v>
      </c>
      <c r="G12" s="18">
        <f t="shared" si="2"/>
        <v>27.17144829</v>
      </c>
      <c r="H12" s="19">
        <v>27.56</v>
      </c>
      <c r="I12" s="19">
        <v>1.43</v>
      </c>
      <c r="J12" s="18">
        <f t="shared" si="3"/>
        <v>0.0143</v>
      </c>
      <c r="K12" s="19">
        <v>3.41</v>
      </c>
      <c r="L12" s="18">
        <f t="shared" si="4"/>
        <v>0.0341</v>
      </c>
      <c r="M12" s="19">
        <v>-4.17</v>
      </c>
      <c r="N12" s="18">
        <f t="shared" si="5"/>
        <v>-0.0417</v>
      </c>
      <c r="O12" s="19">
        <v>-4.17</v>
      </c>
      <c r="P12" s="18">
        <f t="shared" si="6"/>
        <v>-0.0417</v>
      </c>
      <c r="Q12" s="19">
        <v>-6.01</v>
      </c>
      <c r="R12" s="18">
        <f t="shared" si="7"/>
        <v>-0.0601</v>
      </c>
      <c r="S12" s="19">
        <v>26.9</v>
      </c>
      <c r="T12" s="19">
        <v>27.91</v>
      </c>
      <c r="U12" s="14" t="s">
        <v>32</v>
      </c>
      <c r="V12" s="20">
        <f>VLOOKUP(A12, Total_de_acoes!A:B, 2, 0)</f>
        <v>1168230366</v>
      </c>
      <c r="W12" s="21">
        <f t="shared" si="8"/>
        <v>453917907</v>
      </c>
      <c r="X12" s="22" t="str">
        <f t="shared" si="9"/>
        <v>Subiu</v>
      </c>
    </row>
    <row r="13">
      <c r="A13" s="23" t="s">
        <v>33</v>
      </c>
      <c r="B13" s="15" t="str">
        <f>VLOOKUP(A13, Ticker!A:B, 2, 0)</f>
        <v>Braskem</v>
      </c>
      <c r="C13" s="15" t="str">
        <f>VLOOKUP(B13, ChatGPT!A:B, 2, 0)</f>
        <v>Química e Petroquímica</v>
      </c>
      <c r="D13" s="16">
        <f>VLOOKUP(B13, ChatGPT!A:C, 3, 0)</f>
        <v>20</v>
      </c>
      <c r="E13" s="16" t="str">
        <f t="shared" si="1"/>
        <v>Menos de 50 anos</v>
      </c>
      <c r="F13" s="24">
        <v>45317.0</v>
      </c>
      <c r="G13" s="18">
        <f t="shared" si="2"/>
        <v>18.29027805</v>
      </c>
      <c r="H13" s="25">
        <v>18.55</v>
      </c>
      <c r="I13" s="25">
        <v>1.42</v>
      </c>
      <c r="J13" s="18">
        <f t="shared" si="3"/>
        <v>0.0142</v>
      </c>
      <c r="K13" s="25">
        <v>5.1</v>
      </c>
      <c r="L13" s="18">
        <f t="shared" si="4"/>
        <v>0.051</v>
      </c>
      <c r="M13" s="25">
        <v>-15.14</v>
      </c>
      <c r="N13" s="18">
        <f t="shared" si="5"/>
        <v>-0.1514</v>
      </c>
      <c r="O13" s="25">
        <v>-15.14</v>
      </c>
      <c r="P13" s="18">
        <f t="shared" si="6"/>
        <v>-0.1514</v>
      </c>
      <c r="Q13" s="25">
        <v>-18.39</v>
      </c>
      <c r="R13" s="18">
        <f t="shared" si="7"/>
        <v>-0.1839</v>
      </c>
      <c r="S13" s="25">
        <v>18.29</v>
      </c>
      <c r="T13" s="25">
        <v>18.73</v>
      </c>
      <c r="U13" s="23" t="s">
        <v>34</v>
      </c>
      <c r="V13" s="20">
        <f>VLOOKUP(A13, Total_de_acoes!A:B, 2, 0)</f>
        <v>265877867</v>
      </c>
      <c r="W13" s="21">
        <f t="shared" si="8"/>
        <v>69054317.64</v>
      </c>
      <c r="X13" s="22" t="str">
        <f t="shared" si="9"/>
        <v>Subiu</v>
      </c>
    </row>
    <row r="14">
      <c r="A14" s="14" t="s">
        <v>35</v>
      </c>
      <c r="B14" s="15" t="str">
        <f>VLOOKUP(A14, Ticker!A:B, 2, 0)</f>
        <v>Azul</v>
      </c>
      <c r="C14" s="15" t="str">
        <f>VLOOKUP(B14, ChatGPT!A:B, 2, 0)</f>
        <v>Transporte / Aéreo</v>
      </c>
      <c r="D14" s="16">
        <f>VLOOKUP(B14, ChatGPT!A:C, 3, 0)</f>
        <v>10</v>
      </c>
      <c r="E14" s="16" t="str">
        <f t="shared" si="1"/>
        <v>Menos de 50 anos</v>
      </c>
      <c r="F14" s="17">
        <v>45317.0</v>
      </c>
      <c r="G14" s="18">
        <f t="shared" si="2"/>
        <v>14.07020312</v>
      </c>
      <c r="H14" s="19">
        <v>14.27</v>
      </c>
      <c r="I14" s="19">
        <v>1.42</v>
      </c>
      <c r="J14" s="18">
        <f t="shared" si="3"/>
        <v>0.0142</v>
      </c>
      <c r="K14" s="19">
        <v>8.85</v>
      </c>
      <c r="L14" s="18">
        <f t="shared" si="4"/>
        <v>0.0885</v>
      </c>
      <c r="M14" s="19">
        <v>-10.87</v>
      </c>
      <c r="N14" s="18">
        <f t="shared" si="5"/>
        <v>-0.1087</v>
      </c>
      <c r="O14" s="19">
        <v>-10.87</v>
      </c>
      <c r="P14" s="18">
        <f t="shared" si="6"/>
        <v>-0.1087</v>
      </c>
      <c r="Q14" s="19">
        <v>18.52</v>
      </c>
      <c r="R14" s="18">
        <f t="shared" si="7"/>
        <v>0.1852</v>
      </c>
      <c r="S14" s="19">
        <v>13.8</v>
      </c>
      <c r="T14" s="19">
        <v>14.36</v>
      </c>
      <c r="U14" s="14" t="s">
        <v>36</v>
      </c>
      <c r="V14" s="20">
        <f>VLOOKUP(A14, Total_de_acoes!A:B, 2, 0)</f>
        <v>327593725</v>
      </c>
      <c r="W14" s="21">
        <f t="shared" si="8"/>
        <v>65452205.55</v>
      </c>
      <c r="X14" s="22" t="str">
        <f t="shared" si="9"/>
        <v>Subiu</v>
      </c>
    </row>
    <row r="15">
      <c r="A15" s="23" t="s">
        <v>37</v>
      </c>
      <c r="B15" s="15" t="str">
        <f>VLOOKUP(A15, Ticker!A:B, 2, 0)</f>
        <v>3R Petroleum</v>
      </c>
      <c r="C15" s="15" t="str">
        <f>VLOOKUP(B15, ChatGPT!A:B, 2, 0)</f>
        <v>Energia / Petróleo</v>
      </c>
      <c r="D15" s="16">
        <f>VLOOKUP(B15, ChatGPT!A:C, 3, 0)</f>
        <v>10</v>
      </c>
      <c r="E15" s="16" t="str">
        <f t="shared" si="1"/>
        <v>Menos de 50 anos</v>
      </c>
      <c r="F15" s="24">
        <v>45317.0</v>
      </c>
      <c r="G15" s="18">
        <f t="shared" si="2"/>
        <v>28.35026132</v>
      </c>
      <c r="H15" s="25">
        <v>28.75</v>
      </c>
      <c r="I15" s="25">
        <v>1.41</v>
      </c>
      <c r="J15" s="18">
        <f t="shared" si="3"/>
        <v>0.0141</v>
      </c>
      <c r="K15" s="25">
        <v>-2.71</v>
      </c>
      <c r="L15" s="18">
        <f t="shared" si="4"/>
        <v>-0.0271</v>
      </c>
      <c r="M15" s="25">
        <v>9.4</v>
      </c>
      <c r="N15" s="18">
        <f t="shared" si="5"/>
        <v>0.094</v>
      </c>
      <c r="O15" s="25">
        <v>9.4</v>
      </c>
      <c r="P15" s="18">
        <f t="shared" si="6"/>
        <v>0.094</v>
      </c>
      <c r="Q15" s="25">
        <v>-37.7</v>
      </c>
      <c r="R15" s="18">
        <f t="shared" si="7"/>
        <v>-0.377</v>
      </c>
      <c r="S15" s="25">
        <v>28.0</v>
      </c>
      <c r="T15" s="25">
        <v>28.75</v>
      </c>
      <c r="U15" s="23" t="s">
        <v>38</v>
      </c>
      <c r="V15" s="20">
        <f>VLOOKUP(A15, Total_de_acoes!A:B, 2, 0)</f>
        <v>235665566</v>
      </c>
      <c r="W15" s="21">
        <f t="shared" si="8"/>
        <v>94204643.35</v>
      </c>
      <c r="X15" s="22" t="str">
        <f t="shared" si="9"/>
        <v>Subiu</v>
      </c>
    </row>
    <row r="16">
      <c r="A16" s="14" t="s">
        <v>39</v>
      </c>
      <c r="B16" s="15" t="str">
        <f>VLOOKUP(A16, Ticker!A:B, 2, 0)</f>
        <v>Equatorial Energia</v>
      </c>
      <c r="C16" s="15" t="str">
        <f>VLOOKUP(B16, ChatGPT!A:B, 2, 0)</f>
        <v>Energia</v>
      </c>
      <c r="D16" s="16">
        <f>VLOOKUP(B16, ChatGPT!A:C, 3, 0)</f>
        <v>20</v>
      </c>
      <c r="E16" s="16" t="str">
        <f t="shared" si="1"/>
        <v>Menos de 50 anos</v>
      </c>
      <c r="F16" s="17">
        <v>45317.0</v>
      </c>
      <c r="G16" s="18">
        <f t="shared" si="2"/>
        <v>34.8529702</v>
      </c>
      <c r="H16" s="19">
        <v>35.32</v>
      </c>
      <c r="I16" s="19">
        <v>1.34</v>
      </c>
      <c r="J16" s="18">
        <f t="shared" si="3"/>
        <v>0.0134</v>
      </c>
      <c r="K16" s="19">
        <v>2.76</v>
      </c>
      <c r="L16" s="18">
        <f t="shared" si="4"/>
        <v>0.0276</v>
      </c>
      <c r="M16" s="19">
        <v>-1.12</v>
      </c>
      <c r="N16" s="18">
        <f t="shared" si="5"/>
        <v>-0.0112</v>
      </c>
      <c r="O16" s="19">
        <v>-1.12</v>
      </c>
      <c r="P16" s="18">
        <f t="shared" si="6"/>
        <v>-0.0112</v>
      </c>
      <c r="Q16" s="19">
        <v>28.01</v>
      </c>
      <c r="R16" s="18">
        <f t="shared" si="7"/>
        <v>0.2801</v>
      </c>
      <c r="S16" s="19">
        <v>34.85</v>
      </c>
      <c r="T16" s="19">
        <v>35.76</v>
      </c>
      <c r="U16" s="14" t="s">
        <v>40</v>
      </c>
      <c r="V16" s="20">
        <f>VLOOKUP(A16, Total_de_acoes!A:B, 2, 0)</f>
        <v>1095587251</v>
      </c>
      <c r="W16" s="21">
        <f t="shared" si="8"/>
        <v>511671895.5</v>
      </c>
      <c r="X16" s="22" t="str">
        <f t="shared" si="9"/>
        <v>Subiu</v>
      </c>
    </row>
    <row r="17">
      <c r="A17" s="23" t="s">
        <v>41</v>
      </c>
      <c r="B17" s="15" t="str">
        <f>VLOOKUP(A17, Ticker!A:B, 2, 0)</f>
        <v>Siderúrgica Nacional</v>
      </c>
      <c r="C17" s="15" t="str">
        <f>VLOOKUP(B17, ChatGPT!A:B, 2, 0)</f>
        <v>Indústria / Metalurgia</v>
      </c>
      <c r="D17" s="16">
        <f>VLOOKUP(B17, ChatGPT!A:C, 3, 0)</f>
        <v>70</v>
      </c>
      <c r="E17" s="16" t="str">
        <f t="shared" si="1"/>
        <v>Entre 50 e 100 anos</v>
      </c>
      <c r="F17" s="24">
        <v>45317.0</v>
      </c>
      <c r="G17" s="18">
        <f t="shared" si="2"/>
        <v>17.92164216</v>
      </c>
      <c r="H17" s="25">
        <v>18.16</v>
      </c>
      <c r="I17" s="25">
        <v>1.33</v>
      </c>
      <c r="J17" s="18">
        <f t="shared" si="3"/>
        <v>0.0133</v>
      </c>
      <c r="K17" s="25">
        <v>4.79</v>
      </c>
      <c r="L17" s="18">
        <f t="shared" si="4"/>
        <v>0.0479</v>
      </c>
      <c r="M17" s="25">
        <v>-7.63</v>
      </c>
      <c r="N17" s="18">
        <f t="shared" si="5"/>
        <v>-0.0763</v>
      </c>
      <c r="O17" s="25">
        <v>-7.63</v>
      </c>
      <c r="P17" s="18">
        <f t="shared" si="6"/>
        <v>-0.0763</v>
      </c>
      <c r="Q17" s="25">
        <v>12.45</v>
      </c>
      <c r="R17" s="18">
        <f t="shared" si="7"/>
        <v>0.1245</v>
      </c>
      <c r="S17" s="25">
        <v>18.0</v>
      </c>
      <c r="T17" s="25">
        <v>18.49</v>
      </c>
      <c r="U17" s="23" t="s">
        <v>42</v>
      </c>
      <c r="V17" s="20">
        <f>VLOOKUP(A17, Total_de_acoes!A:B, 2, 0)</f>
        <v>600865451</v>
      </c>
      <c r="W17" s="21">
        <f t="shared" si="8"/>
        <v>143220991.5</v>
      </c>
      <c r="X17" s="22" t="str">
        <f t="shared" si="9"/>
        <v>Subiu</v>
      </c>
    </row>
    <row r="18">
      <c r="A18" s="14" t="s">
        <v>43</v>
      </c>
      <c r="B18" s="15" t="str">
        <f>VLOOKUP(A18, Ticker!A:B, 2, 0)</f>
        <v>YDUQS</v>
      </c>
      <c r="C18" s="15" t="str">
        <f>VLOOKUP(B18, ChatGPT!A:B, 2, 0)</f>
        <v>Educação</v>
      </c>
      <c r="D18" s="16">
        <f>VLOOKUP(B18, ChatGPT!A:C, 3, 0)</f>
        <v>50</v>
      </c>
      <c r="E18" s="16" t="str">
        <f t="shared" si="1"/>
        <v>Entre 50 e 100 anos</v>
      </c>
      <c r="F18" s="17">
        <v>45317.0</v>
      </c>
      <c r="G18" s="18">
        <f t="shared" si="2"/>
        <v>19.52014218</v>
      </c>
      <c r="H18" s="19">
        <v>19.77</v>
      </c>
      <c r="I18" s="19">
        <v>1.28</v>
      </c>
      <c r="J18" s="18">
        <f t="shared" si="3"/>
        <v>0.0128</v>
      </c>
      <c r="K18" s="19">
        <v>-5.9</v>
      </c>
      <c r="L18" s="18">
        <f t="shared" si="4"/>
        <v>-0.059</v>
      </c>
      <c r="M18" s="19">
        <v>-11.82</v>
      </c>
      <c r="N18" s="18">
        <f t="shared" si="5"/>
        <v>-0.1182</v>
      </c>
      <c r="O18" s="19">
        <v>-11.82</v>
      </c>
      <c r="P18" s="18">
        <f t="shared" si="6"/>
        <v>-0.1182</v>
      </c>
      <c r="Q18" s="19">
        <v>108.45</v>
      </c>
      <c r="R18" s="18">
        <f t="shared" si="7"/>
        <v>1.0845</v>
      </c>
      <c r="S18" s="19">
        <v>18.99</v>
      </c>
      <c r="T18" s="19">
        <v>19.78</v>
      </c>
      <c r="U18" s="14" t="s">
        <v>44</v>
      </c>
      <c r="V18" s="20">
        <f>VLOOKUP(A18, Total_de_acoes!A:B, 2, 0)</f>
        <v>289347914</v>
      </c>
      <c r="W18" s="21">
        <f t="shared" si="8"/>
        <v>72295838.99</v>
      </c>
      <c r="X18" s="22" t="str">
        <f t="shared" si="9"/>
        <v>Subiu</v>
      </c>
    </row>
    <row r="19">
      <c r="A19" s="23" t="s">
        <v>45</v>
      </c>
      <c r="B19" s="15" t="str">
        <f>VLOOKUP(A19, Ticker!A:B, 2, 0)</f>
        <v>Ultrapar</v>
      </c>
      <c r="C19" s="15" t="str">
        <f>VLOOKUP(B19, ChatGPT!A:B, 2, 0)</f>
        <v>Energia / Distribuição</v>
      </c>
      <c r="D19" s="16">
        <f>VLOOKUP(B19, ChatGPT!A:C, 3, 0)</f>
        <v>80</v>
      </c>
      <c r="E19" s="16" t="str">
        <f t="shared" si="1"/>
        <v>Entre 50 e 100 anos</v>
      </c>
      <c r="F19" s="24">
        <v>45317.0</v>
      </c>
      <c r="G19" s="18">
        <f t="shared" si="2"/>
        <v>27.95221169</v>
      </c>
      <c r="H19" s="25">
        <v>28.31</v>
      </c>
      <c r="I19" s="25">
        <v>1.28</v>
      </c>
      <c r="J19" s="18">
        <f t="shared" si="3"/>
        <v>0.0128</v>
      </c>
      <c r="K19" s="25">
        <v>2.35</v>
      </c>
      <c r="L19" s="18">
        <f t="shared" si="4"/>
        <v>0.0235</v>
      </c>
      <c r="M19" s="25">
        <v>6.79</v>
      </c>
      <c r="N19" s="18">
        <f t="shared" si="5"/>
        <v>0.0679</v>
      </c>
      <c r="O19" s="25">
        <v>6.79</v>
      </c>
      <c r="P19" s="18">
        <f t="shared" si="6"/>
        <v>0.0679</v>
      </c>
      <c r="Q19" s="25">
        <v>119.82</v>
      </c>
      <c r="R19" s="18">
        <f t="shared" si="7"/>
        <v>1.1982</v>
      </c>
      <c r="S19" s="25">
        <v>27.84</v>
      </c>
      <c r="T19" s="25">
        <v>28.39</v>
      </c>
      <c r="U19" s="23" t="s">
        <v>46</v>
      </c>
      <c r="V19" s="20">
        <f>VLOOKUP(A19, Total_de_acoes!A:B, 2, 0)</f>
        <v>1086411192</v>
      </c>
      <c r="W19" s="21">
        <f t="shared" si="8"/>
        <v>388705224</v>
      </c>
      <c r="X19" s="22" t="str">
        <f t="shared" si="9"/>
        <v>Subiu</v>
      </c>
    </row>
    <row r="20">
      <c r="A20" s="14" t="s">
        <v>47</v>
      </c>
      <c r="B20" s="15" t="str">
        <f>VLOOKUP(A20, Ticker!A:B, 2, 0)</f>
        <v>MRV</v>
      </c>
      <c r="C20" s="15" t="str">
        <f>VLOOKUP(B20, ChatGPT!A:B, 2, 0)</f>
        <v>Construção Civil</v>
      </c>
      <c r="D20" s="16">
        <f>VLOOKUP(B20, ChatGPT!A:C, 3, 0)</f>
        <v>40</v>
      </c>
      <c r="E20" s="16" t="str">
        <f t="shared" si="1"/>
        <v>Menos de 50 anos</v>
      </c>
      <c r="F20" s="17">
        <v>45317.0</v>
      </c>
      <c r="G20" s="18">
        <f t="shared" si="2"/>
        <v>7.980246914</v>
      </c>
      <c r="H20" s="19">
        <v>8.08</v>
      </c>
      <c r="I20" s="19">
        <v>1.25</v>
      </c>
      <c r="J20" s="18">
        <f t="shared" si="3"/>
        <v>0.0125</v>
      </c>
      <c r="K20" s="19">
        <v>1.38</v>
      </c>
      <c r="L20" s="18">
        <f t="shared" si="4"/>
        <v>0.0138</v>
      </c>
      <c r="M20" s="19">
        <v>-28.05</v>
      </c>
      <c r="N20" s="18">
        <f t="shared" si="5"/>
        <v>-0.2805</v>
      </c>
      <c r="O20" s="19">
        <v>-28.05</v>
      </c>
      <c r="P20" s="18">
        <f t="shared" si="6"/>
        <v>-0.2805</v>
      </c>
      <c r="Q20" s="19">
        <v>14.12</v>
      </c>
      <c r="R20" s="18">
        <f t="shared" si="7"/>
        <v>0.1412</v>
      </c>
      <c r="S20" s="19">
        <v>7.93</v>
      </c>
      <c r="T20" s="19">
        <v>8.23</v>
      </c>
      <c r="U20" s="14" t="s">
        <v>48</v>
      </c>
      <c r="V20" s="20">
        <f>VLOOKUP(A20, Total_de_acoes!A:B, 2, 0)</f>
        <v>376187582</v>
      </c>
      <c r="W20" s="21">
        <f t="shared" si="8"/>
        <v>37525872.38</v>
      </c>
      <c r="X20" s="22" t="str">
        <f t="shared" si="9"/>
        <v>Subiu</v>
      </c>
    </row>
    <row r="21">
      <c r="A21" s="23" t="s">
        <v>49</v>
      </c>
      <c r="B21" s="15" t="str">
        <f>VLOOKUP(A21, Ticker!A:B, 2, 0)</f>
        <v>Arezzo</v>
      </c>
      <c r="C21" s="15" t="str">
        <f>VLOOKUP(B21, ChatGPT!A:B, 2, 0)</f>
        <v>Varejo / Moda</v>
      </c>
      <c r="D21" s="16">
        <f>VLOOKUP(B21, ChatGPT!A:C, 3, 0)</f>
        <v>50</v>
      </c>
      <c r="E21" s="16" t="str">
        <f t="shared" si="1"/>
        <v>Entre 50 e 100 anos</v>
      </c>
      <c r="F21" s="24">
        <v>45317.0</v>
      </c>
      <c r="G21" s="18">
        <f t="shared" si="2"/>
        <v>57.25160652</v>
      </c>
      <c r="H21" s="25">
        <v>57.91</v>
      </c>
      <c r="I21" s="25">
        <v>1.15</v>
      </c>
      <c r="J21" s="18">
        <f t="shared" si="3"/>
        <v>0.0115</v>
      </c>
      <c r="K21" s="25">
        <v>-1.03</v>
      </c>
      <c r="L21" s="18">
        <f t="shared" si="4"/>
        <v>-0.0103</v>
      </c>
      <c r="M21" s="25">
        <v>-10.26</v>
      </c>
      <c r="N21" s="18">
        <f t="shared" si="5"/>
        <v>-0.1026</v>
      </c>
      <c r="O21" s="25">
        <v>-10.26</v>
      </c>
      <c r="P21" s="18">
        <f t="shared" si="6"/>
        <v>-0.1026</v>
      </c>
      <c r="Q21" s="25">
        <v>-28.97</v>
      </c>
      <c r="R21" s="18">
        <f t="shared" si="7"/>
        <v>-0.2897</v>
      </c>
      <c r="S21" s="25">
        <v>56.22</v>
      </c>
      <c r="T21" s="25">
        <v>59.29</v>
      </c>
      <c r="U21" s="23" t="s">
        <v>50</v>
      </c>
      <c r="V21" s="20">
        <f>VLOOKUP(A21, Total_de_acoes!A:B, 2, 0)</f>
        <v>62305891</v>
      </c>
      <c r="W21" s="21">
        <f t="shared" si="8"/>
        <v>41021792.09</v>
      </c>
      <c r="X21" s="22" t="str">
        <f t="shared" si="9"/>
        <v>Subiu</v>
      </c>
    </row>
    <row r="22">
      <c r="A22" s="14" t="s">
        <v>51</v>
      </c>
      <c r="B22" s="15" t="str">
        <f>VLOOKUP(A22, Ticker!A:B, 2, 0)</f>
        <v>Banco Bradesco</v>
      </c>
      <c r="C22" s="15" t="str">
        <f>VLOOKUP(B22, ChatGPT!A:B, 2, 0)</f>
        <v>Financeiro</v>
      </c>
      <c r="D22" s="16">
        <f>VLOOKUP(B22, ChatGPT!A:C, 3, 0)</f>
        <v>80</v>
      </c>
      <c r="E22" s="16" t="str">
        <f t="shared" si="1"/>
        <v>Entre 50 e 100 anos</v>
      </c>
      <c r="F22" s="17">
        <v>45317.0</v>
      </c>
      <c r="G22" s="18">
        <f t="shared" si="2"/>
        <v>15.36025337</v>
      </c>
      <c r="H22" s="19">
        <v>15.52</v>
      </c>
      <c r="I22" s="19">
        <v>1.04</v>
      </c>
      <c r="J22" s="18">
        <f t="shared" si="3"/>
        <v>0.0104</v>
      </c>
      <c r="K22" s="19">
        <v>-0.77</v>
      </c>
      <c r="L22" s="18">
        <f t="shared" si="4"/>
        <v>-0.0077</v>
      </c>
      <c r="M22" s="19">
        <v>-9.08</v>
      </c>
      <c r="N22" s="18">
        <f t="shared" si="5"/>
        <v>-0.0908</v>
      </c>
      <c r="O22" s="19">
        <v>-9.08</v>
      </c>
      <c r="P22" s="18">
        <f t="shared" si="6"/>
        <v>-0.0908</v>
      </c>
      <c r="Q22" s="19">
        <v>16.11</v>
      </c>
      <c r="R22" s="18">
        <f t="shared" si="7"/>
        <v>0.1611</v>
      </c>
      <c r="S22" s="19">
        <v>15.35</v>
      </c>
      <c r="T22" s="19">
        <v>15.62</v>
      </c>
      <c r="U22" s="14" t="s">
        <v>52</v>
      </c>
      <c r="V22" s="20">
        <f>VLOOKUP(A22, Total_de_acoes!A:B, 2, 0)</f>
        <v>5146576868</v>
      </c>
      <c r="W22" s="21">
        <f t="shared" si="8"/>
        <v>822148336.4</v>
      </c>
      <c r="X22" s="22" t="str">
        <f t="shared" si="9"/>
        <v>Subiu</v>
      </c>
    </row>
    <row r="23">
      <c r="A23" s="23" t="s">
        <v>53</v>
      </c>
      <c r="B23" s="15" t="str">
        <f>VLOOKUP(A23, Ticker!A:B, 2, 0)</f>
        <v>Minerva</v>
      </c>
      <c r="C23" s="15" t="str">
        <f>VLOOKUP(B23, ChatGPT!A:B, 2, 0)</f>
        <v>Alimentos / Carnes</v>
      </c>
      <c r="D23" s="16">
        <f>VLOOKUP(B23, ChatGPT!A:C, 3, 0)</f>
        <v>25</v>
      </c>
      <c r="E23" s="16" t="str">
        <f t="shared" si="1"/>
        <v>Menos de 50 anos</v>
      </c>
      <c r="F23" s="24">
        <v>45317.0</v>
      </c>
      <c r="G23" s="18">
        <f t="shared" si="2"/>
        <v>7.120221826</v>
      </c>
      <c r="H23" s="25">
        <v>7.19</v>
      </c>
      <c r="I23" s="25">
        <v>0.98</v>
      </c>
      <c r="J23" s="18">
        <f t="shared" si="3"/>
        <v>0.0098</v>
      </c>
      <c r="K23" s="25">
        <v>6.05</v>
      </c>
      <c r="L23" s="18">
        <f t="shared" si="4"/>
        <v>0.0605</v>
      </c>
      <c r="M23" s="25">
        <v>-3.75</v>
      </c>
      <c r="N23" s="18">
        <f t="shared" si="5"/>
        <v>-0.0375</v>
      </c>
      <c r="O23" s="25">
        <v>-3.75</v>
      </c>
      <c r="P23" s="18">
        <f t="shared" si="6"/>
        <v>-0.0375</v>
      </c>
      <c r="Q23" s="25">
        <v>-48.31</v>
      </c>
      <c r="R23" s="18">
        <f t="shared" si="7"/>
        <v>-0.4831</v>
      </c>
      <c r="S23" s="25">
        <v>7.11</v>
      </c>
      <c r="T23" s="25">
        <v>7.24</v>
      </c>
      <c r="U23" s="23" t="s">
        <v>54</v>
      </c>
      <c r="V23" s="20">
        <f>VLOOKUP(A23, Total_de_acoes!A:B, 2, 0)</f>
        <v>261036182</v>
      </c>
      <c r="W23" s="21">
        <f t="shared" si="8"/>
        <v>18214628.1</v>
      </c>
      <c r="X23" s="22" t="str">
        <f t="shared" si="9"/>
        <v>Subiu</v>
      </c>
    </row>
    <row r="24">
      <c r="A24" s="14" t="s">
        <v>55</v>
      </c>
      <c r="B24" s="15" t="str">
        <f>VLOOKUP(A24, Ticker!A:B, 2, 0)</f>
        <v>Grupo Pão de Açúcar</v>
      </c>
      <c r="C24" s="15" t="str">
        <f>VLOOKUP(B24, ChatGPT!A:B, 2, 0)</f>
        <v>Varejo</v>
      </c>
      <c r="D24" s="16">
        <f>VLOOKUP(B24, ChatGPT!A:C, 3, 0)</f>
        <v>70</v>
      </c>
      <c r="E24" s="16" t="str">
        <f t="shared" si="1"/>
        <v>Entre 50 e 100 anos</v>
      </c>
      <c r="F24" s="17">
        <v>45317.0</v>
      </c>
      <c r="G24" s="18">
        <f t="shared" si="2"/>
        <v>4.10022779</v>
      </c>
      <c r="H24" s="19">
        <v>4.14</v>
      </c>
      <c r="I24" s="19">
        <v>0.97</v>
      </c>
      <c r="J24" s="18">
        <f t="shared" si="3"/>
        <v>0.0097</v>
      </c>
      <c r="K24" s="19">
        <v>-6.33</v>
      </c>
      <c r="L24" s="18">
        <f t="shared" si="4"/>
        <v>-0.0633</v>
      </c>
      <c r="M24" s="19">
        <v>1.97</v>
      </c>
      <c r="N24" s="18">
        <f t="shared" si="5"/>
        <v>0.0197</v>
      </c>
      <c r="O24" s="19">
        <v>1.97</v>
      </c>
      <c r="P24" s="18">
        <f t="shared" si="6"/>
        <v>0.0197</v>
      </c>
      <c r="Q24" s="19">
        <v>-51.18</v>
      </c>
      <c r="R24" s="18">
        <f t="shared" si="7"/>
        <v>-0.5118</v>
      </c>
      <c r="S24" s="19">
        <v>4.08</v>
      </c>
      <c r="T24" s="19">
        <v>4.2</v>
      </c>
      <c r="U24" s="14" t="s">
        <v>56</v>
      </c>
      <c r="V24" s="20">
        <f>VLOOKUP(A24, Total_de_acoes!A:B, 2, 0)</f>
        <v>159430826</v>
      </c>
      <c r="W24" s="21">
        <f t="shared" si="8"/>
        <v>6340916.223</v>
      </c>
      <c r="X24" s="22" t="str">
        <f t="shared" si="9"/>
        <v>Subiu</v>
      </c>
    </row>
    <row r="25">
      <c r="A25" s="23" t="s">
        <v>57</v>
      </c>
      <c r="B25" s="15" t="str">
        <f>VLOOKUP(A25, Ticker!A:B, 2, 0)</f>
        <v>BRF</v>
      </c>
      <c r="C25" s="15" t="str">
        <f>VLOOKUP(B25, ChatGPT!A:B, 2, 0)</f>
        <v>Alimentos</v>
      </c>
      <c r="D25" s="16">
        <f>VLOOKUP(B25, ChatGPT!A:C, 3, 0)</f>
        <v>80</v>
      </c>
      <c r="E25" s="16" t="str">
        <f t="shared" si="1"/>
        <v>Entre 50 e 100 anos</v>
      </c>
      <c r="F25" s="24">
        <v>45317.0</v>
      </c>
      <c r="G25" s="18">
        <f t="shared" si="2"/>
        <v>14.47107765</v>
      </c>
      <c r="H25" s="25">
        <v>14.61</v>
      </c>
      <c r="I25" s="25">
        <v>0.96</v>
      </c>
      <c r="J25" s="18">
        <f t="shared" si="3"/>
        <v>0.0096</v>
      </c>
      <c r="K25" s="25">
        <v>12.38</v>
      </c>
      <c r="L25" s="18">
        <f t="shared" si="4"/>
        <v>0.1238</v>
      </c>
      <c r="M25" s="25">
        <v>5.79</v>
      </c>
      <c r="N25" s="18">
        <f t="shared" si="5"/>
        <v>0.0579</v>
      </c>
      <c r="O25" s="25">
        <v>5.79</v>
      </c>
      <c r="P25" s="18">
        <f t="shared" si="6"/>
        <v>0.0579</v>
      </c>
      <c r="Q25" s="25">
        <v>78.17</v>
      </c>
      <c r="R25" s="18">
        <f t="shared" si="7"/>
        <v>0.7817</v>
      </c>
      <c r="S25" s="25">
        <v>14.46</v>
      </c>
      <c r="T25" s="25">
        <v>14.93</v>
      </c>
      <c r="U25" s="23" t="s">
        <v>58</v>
      </c>
      <c r="V25" s="20">
        <f>VLOOKUP(A25, Total_de_acoes!A:B, 2, 0)</f>
        <v>1677525446</v>
      </c>
      <c r="W25" s="21">
        <f t="shared" si="8"/>
        <v>233045769.6</v>
      </c>
      <c r="X25" s="22" t="str">
        <f t="shared" si="9"/>
        <v>Subiu</v>
      </c>
    </row>
    <row r="26">
      <c r="A26" s="14" t="s">
        <v>59</v>
      </c>
      <c r="B26" s="15" t="str">
        <f>VLOOKUP(A26, Ticker!A:B, 2, 0)</f>
        <v>Vivo</v>
      </c>
      <c r="C26" s="15" t="str">
        <f>VLOOKUP(B26, ChatGPT!A:B, 2, 0)</f>
        <v>Telecomunicações</v>
      </c>
      <c r="D26" s="16">
        <f>VLOOKUP(B26, ChatGPT!A:C, 3, 0)</f>
        <v>20</v>
      </c>
      <c r="E26" s="16" t="str">
        <f t="shared" si="1"/>
        <v>Menos de 50 anos</v>
      </c>
      <c r="F26" s="17">
        <v>45317.0</v>
      </c>
      <c r="G26" s="18">
        <f t="shared" si="2"/>
        <v>50.75337034</v>
      </c>
      <c r="H26" s="19">
        <v>51.2</v>
      </c>
      <c r="I26" s="19">
        <v>0.88</v>
      </c>
      <c r="J26" s="18">
        <f t="shared" si="3"/>
        <v>0.0088</v>
      </c>
      <c r="K26" s="19">
        <v>1.09</v>
      </c>
      <c r="L26" s="18">
        <f t="shared" si="4"/>
        <v>0.0109</v>
      </c>
      <c r="M26" s="19">
        <v>-4.19</v>
      </c>
      <c r="N26" s="18">
        <f t="shared" si="5"/>
        <v>-0.0419</v>
      </c>
      <c r="O26" s="19">
        <v>-4.19</v>
      </c>
      <c r="P26" s="18">
        <f t="shared" si="6"/>
        <v>-0.0419</v>
      </c>
      <c r="Q26" s="19">
        <v>32.78</v>
      </c>
      <c r="R26" s="18">
        <f t="shared" si="7"/>
        <v>0.3278</v>
      </c>
      <c r="S26" s="19">
        <v>50.62</v>
      </c>
      <c r="T26" s="19">
        <v>51.26</v>
      </c>
      <c r="U26" s="14" t="s">
        <v>60</v>
      </c>
      <c r="V26" s="20">
        <f>VLOOKUP(A26, Total_de_acoes!A:B, 2, 0)</f>
        <v>423091712</v>
      </c>
      <c r="W26" s="21">
        <f t="shared" si="8"/>
        <v>188965307.1</v>
      </c>
      <c r="X26" s="22" t="str">
        <f t="shared" si="9"/>
        <v>Subiu</v>
      </c>
    </row>
    <row r="27">
      <c r="A27" s="23" t="s">
        <v>61</v>
      </c>
      <c r="B27" s="15" t="str">
        <f>VLOOKUP(A27, Ticker!A:B, 2, 0)</f>
        <v>Rumo</v>
      </c>
      <c r="C27" s="15" t="str">
        <f>VLOOKUP(B27, ChatGPT!A:B, 2, 0)</f>
        <v>Logística / Transporte</v>
      </c>
      <c r="D27" s="16">
        <f>VLOOKUP(B27, ChatGPT!A:C, 3, 0)</f>
        <v>10</v>
      </c>
      <c r="E27" s="16" t="str">
        <f t="shared" si="1"/>
        <v>Menos de 50 anos</v>
      </c>
      <c r="F27" s="24">
        <v>45317.0</v>
      </c>
      <c r="G27" s="18">
        <f t="shared" si="2"/>
        <v>22.45140817</v>
      </c>
      <c r="H27" s="25">
        <v>22.64</v>
      </c>
      <c r="I27" s="25">
        <v>0.84</v>
      </c>
      <c r="J27" s="18">
        <f t="shared" si="3"/>
        <v>0.0084</v>
      </c>
      <c r="K27" s="25">
        <v>1.07</v>
      </c>
      <c r="L27" s="18">
        <f t="shared" si="4"/>
        <v>0.0107</v>
      </c>
      <c r="M27" s="25">
        <v>-1.35</v>
      </c>
      <c r="N27" s="18">
        <f t="shared" si="5"/>
        <v>-0.0135</v>
      </c>
      <c r="O27" s="25">
        <v>-1.35</v>
      </c>
      <c r="P27" s="18">
        <f t="shared" si="6"/>
        <v>-0.0135</v>
      </c>
      <c r="Q27" s="25">
        <v>20.93</v>
      </c>
      <c r="R27" s="18">
        <f t="shared" si="7"/>
        <v>0.2093</v>
      </c>
      <c r="S27" s="25">
        <v>22.32</v>
      </c>
      <c r="T27" s="25">
        <v>22.83</v>
      </c>
      <c r="U27" s="23" t="s">
        <v>62</v>
      </c>
      <c r="V27" s="20">
        <f>VLOOKUP(A27, Total_de_acoes!A:B, 2, 0)</f>
        <v>1218352541</v>
      </c>
      <c r="W27" s="21">
        <f t="shared" si="8"/>
        <v>229771333.6</v>
      </c>
      <c r="X27" s="22" t="str">
        <f t="shared" si="9"/>
        <v>Subiu</v>
      </c>
    </row>
    <row r="28">
      <c r="A28" s="14" t="s">
        <v>63</v>
      </c>
      <c r="B28" s="15" t="str">
        <f>VLOOKUP(A28, Ticker!A:B, 2, 0)</f>
        <v>Cielo</v>
      </c>
      <c r="C28" s="15" t="str">
        <f>VLOOKUP(B28, ChatGPT!A:B, 2, 0)</f>
        <v>Financeiro / Pagamentos</v>
      </c>
      <c r="D28" s="16">
        <f>VLOOKUP(B28, ChatGPT!A:C, 3, 0)</f>
        <v>20</v>
      </c>
      <c r="E28" s="16" t="str">
        <f t="shared" si="1"/>
        <v>Menos de 50 anos</v>
      </c>
      <c r="F28" s="17">
        <v>45317.0</v>
      </c>
      <c r="G28" s="18">
        <f t="shared" si="2"/>
        <v>4.860146796</v>
      </c>
      <c r="H28" s="19">
        <v>4.9</v>
      </c>
      <c r="I28" s="19">
        <v>0.82</v>
      </c>
      <c r="J28" s="18">
        <f t="shared" si="3"/>
        <v>0.0082</v>
      </c>
      <c r="K28" s="19">
        <v>9.38</v>
      </c>
      <c r="L28" s="18">
        <f t="shared" si="4"/>
        <v>0.0938</v>
      </c>
      <c r="M28" s="19">
        <v>5.83</v>
      </c>
      <c r="N28" s="18">
        <f t="shared" si="5"/>
        <v>0.0583</v>
      </c>
      <c r="O28" s="19">
        <v>5.83</v>
      </c>
      <c r="P28" s="18">
        <f t="shared" si="6"/>
        <v>0.0583</v>
      </c>
      <c r="Q28" s="19">
        <v>-2.19</v>
      </c>
      <c r="R28" s="18">
        <f t="shared" si="7"/>
        <v>-0.0219</v>
      </c>
      <c r="S28" s="19">
        <v>4.82</v>
      </c>
      <c r="T28" s="19">
        <v>4.97</v>
      </c>
      <c r="U28" s="14" t="s">
        <v>64</v>
      </c>
      <c r="V28" s="20">
        <f>VLOOKUP(A28, Total_de_acoes!A:B, 2, 0)</f>
        <v>1095462329</v>
      </c>
      <c r="W28" s="21">
        <f t="shared" si="8"/>
        <v>43657683.38</v>
      </c>
      <c r="X28" s="22" t="str">
        <f t="shared" si="9"/>
        <v>Subiu</v>
      </c>
    </row>
    <row r="29">
      <c r="A29" s="23" t="s">
        <v>65</v>
      </c>
      <c r="B29" s="15" t="str">
        <f>VLOOKUP(A29, Ticker!A:B, 2, 0)</f>
        <v>Dexco</v>
      </c>
      <c r="C29" s="15" t="str">
        <f>VLOOKUP(B29, ChatGPT!A:B, 2, 0)</f>
        <v>Construção / Materiais</v>
      </c>
      <c r="D29" s="16">
        <f>VLOOKUP(B29, ChatGPT!A:C, 3, 0)</f>
        <v>70</v>
      </c>
      <c r="E29" s="16" t="str">
        <f t="shared" si="1"/>
        <v>Entre 50 e 100 anos</v>
      </c>
      <c r="F29" s="24">
        <v>45317.0</v>
      </c>
      <c r="G29" s="18">
        <f t="shared" si="2"/>
        <v>7.750322517</v>
      </c>
      <c r="H29" s="25">
        <v>7.81</v>
      </c>
      <c r="I29" s="25">
        <v>0.77</v>
      </c>
      <c r="J29" s="18">
        <f t="shared" si="3"/>
        <v>0.0077</v>
      </c>
      <c r="K29" s="25">
        <v>3.17</v>
      </c>
      <c r="L29" s="18">
        <f t="shared" si="4"/>
        <v>0.0317</v>
      </c>
      <c r="M29" s="25">
        <v>-3.22</v>
      </c>
      <c r="N29" s="18">
        <f t="shared" si="5"/>
        <v>-0.0322</v>
      </c>
      <c r="O29" s="25">
        <v>-3.22</v>
      </c>
      <c r="P29" s="18">
        <f t="shared" si="6"/>
        <v>-0.0322</v>
      </c>
      <c r="Q29" s="25">
        <v>9.94</v>
      </c>
      <c r="R29" s="18">
        <f t="shared" si="7"/>
        <v>0.0994</v>
      </c>
      <c r="S29" s="25">
        <v>7.7</v>
      </c>
      <c r="T29" s="25">
        <v>7.85</v>
      </c>
      <c r="U29" s="23" t="s">
        <v>66</v>
      </c>
      <c r="V29" s="20">
        <f>VLOOKUP(A29, Total_de_acoes!A:B, 2, 0)</f>
        <v>302768240</v>
      </c>
      <c r="W29" s="21">
        <f t="shared" si="8"/>
        <v>18068446.61</v>
      </c>
      <c r="X29" s="22" t="str">
        <f t="shared" si="9"/>
        <v>Subiu</v>
      </c>
    </row>
    <row r="30">
      <c r="A30" s="14" t="s">
        <v>67</v>
      </c>
      <c r="B30" s="15" t="str">
        <f>VLOOKUP(A30, Ticker!A:B, 2, 0)</f>
        <v>TIM</v>
      </c>
      <c r="C30" s="15" t="str">
        <f>VLOOKUP(B30, ChatGPT!A:B, 2, 0)</f>
        <v>Telecomunicações</v>
      </c>
      <c r="D30" s="16">
        <f>VLOOKUP(B30, ChatGPT!A:C, 3, 0)</f>
        <v>20</v>
      </c>
      <c r="E30" s="16" t="str">
        <f t="shared" si="1"/>
        <v>Menos de 50 anos</v>
      </c>
      <c r="F30" s="17">
        <v>45317.0</v>
      </c>
      <c r="G30" s="18">
        <f t="shared" si="2"/>
        <v>17.39130435</v>
      </c>
      <c r="H30" s="19">
        <v>17.52</v>
      </c>
      <c r="I30" s="19">
        <v>0.74</v>
      </c>
      <c r="J30" s="18">
        <f t="shared" si="3"/>
        <v>0.0074</v>
      </c>
      <c r="K30" s="19">
        <v>-0.57</v>
      </c>
      <c r="L30" s="18">
        <f t="shared" si="4"/>
        <v>-0.0057</v>
      </c>
      <c r="M30" s="19">
        <v>-2.29</v>
      </c>
      <c r="N30" s="18">
        <f t="shared" si="5"/>
        <v>-0.0229</v>
      </c>
      <c r="O30" s="19">
        <v>-2.29</v>
      </c>
      <c r="P30" s="18">
        <f t="shared" si="6"/>
        <v>-0.0229</v>
      </c>
      <c r="Q30" s="19">
        <v>56.87</v>
      </c>
      <c r="R30" s="18">
        <f t="shared" si="7"/>
        <v>0.5687</v>
      </c>
      <c r="S30" s="19">
        <v>17.36</v>
      </c>
      <c r="T30" s="19">
        <v>17.58</v>
      </c>
      <c r="U30" s="14" t="s">
        <v>68</v>
      </c>
      <c r="V30" s="20">
        <f>VLOOKUP(A30, Total_de_acoes!A:B, 2, 0)</f>
        <v>807896814</v>
      </c>
      <c r="W30" s="21">
        <f t="shared" si="8"/>
        <v>103972807.4</v>
      </c>
      <c r="X30" s="22" t="str">
        <f t="shared" si="9"/>
        <v>Subiu</v>
      </c>
    </row>
    <row r="31">
      <c r="A31" s="23" t="s">
        <v>69</v>
      </c>
      <c r="B31" s="15" t="str">
        <f>VLOOKUP(A31, Ticker!A:B, 2, 0)</f>
        <v>Bradespar</v>
      </c>
      <c r="C31" s="15" t="str">
        <f>VLOOKUP(B31, ChatGPT!A:B, 2, 0)</f>
        <v>Financeiro / Investimentos</v>
      </c>
      <c r="D31" s="16">
        <f>VLOOKUP(B31, ChatGPT!A:C, 3, 0)</f>
        <v>20</v>
      </c>
      <c r="E31" s="16" t="str">
        <f t="shared" si="1"/>
        <v>Menos de 50 anos</v>
      </c>
      <c r="F31" s="24">
        <v>45317.0</v>
      </c>
      <c r="G31" s="18">
        <f t="shared" si="2"/>
        <v>23.05172243</v>
      </c>
      <c r="H31" s="25">
        <v>23.22</v>
      </c>
      <c r="I31" s="25">
        <v>0.73</v>
      </c>
      <c r="J31" s="18">
        <f t="shared" si="3"/>
        <v>0.0073</v>
      </c>
      <c r="K31" s="25">
        <v>1.93</v>
      </c>
      <c r="L31" s="18">
        <f t="shared" si="4"/>
        <v>0.0193</v>
      </c>
      <c r="M31" s="25">
        <v>-9.51</v>
      </c>
      <c r="N31" s="18">
        <f t="shared" si="5"/>
        <v>-0.0951</v>
      </c>
      <c r="O31" s="25">
        <v>-9.51</v>
      </c>
      <c r="P31" s="18">
        <f t="shared" si="6"/>
        <v>-0.0951</v>
      </c>
      <c r="Q31" s="25">
        <v>-20.4</v>
      </c>
      <c r="R31" s="18">
        <f t="shared" si="7"/>
        <v>-0.204</v>
      </c>
      <c r="S31" s="25">
        <v>22.69</v>
      </c>
      <c r="T31" s="25">
        <v>23.28</v>
      </c>
      <c r="U31" s="23" t="s">
        <v>70</v>
      </c>
      <c r="V31" s="20">
        <f>VLOOKUP(A31, Total_de_acoes!A:B, 2, 0)</f>
        <v>251003438</v>
      </c>
      <c r="W31" s="21">
        <f t="shared" si="8"/>
        <v>42238249.54</v>
      </c>
      <c r="X31" s="22" t="str">
        <f t="shared" si="9"/>
        <v>Subiu</v>
      </c>
    </row>
    <row r="32">
      <c r="A32" s="14" t="s">
        <v>71</v>
      </c>
      <c r="B32" s="15" t="str">
        <f>VLOOKUP(A32, Ticker!A:B, 2, 0)</f>
        <v>Locaweb</v>
      </c>
      <c r="C32" s="15" t="str">
        <f>VLOOKUP(B32, ChatGPT!A:B, 2, 0)</f>
        <v>Tecnologia / Internet</v>
      </c>
      <c r="D32" s="16">
        <f>VLOOKUP(B32, ChatGPT!A:C, 3, 0)</f>
        <v>20</v>
      </c>
      <c r="E32" s="16" t="str">
        <f t="shared" si="1"/>
        <v>Menos de 50 anos</v>
      </c>
      <c r="F32" s="17">
        <v>45317.0</v>
      </c>
      <c r="G32" s="18">
        <f t="shared" si="2"/>
        <v>5.510325655</v>
      </c>
      <c r="H32" s="19">
        <v>5.55</v>
      </c>
      <c r="I32" s="19">
        <v>0.72</v>
      </c>
      <c r="J32" s="18">
        <f t="shared" si="3"/>
        <v>0.0072</v>
      </c>
      <c r="K32" s="19">
        <v>-3.65</v>
      </c>
      <c r="L32" s="18">
        <f t="shared" si="4"/>
        <v>-0.0365</v>
      </c>
      <c r="M32" s="19">
        <v>-7.65</v>
      </c>
      <c r="N32" s="18">
        <f t="shared" si="5"/>
        <v>-0.0765</v>
      </c>
      <c r="O32" s="19">
        <v>-7.65</v>
      </c>
      <c r="P32" s="18">
        <f t="shared" si="6"/>
        <v>-0.0765</v>
      </c>
      <c r="Q32" s="19">
        <v>-14.03</v>
      </c>
      <c r="R32" s="18">
        <f t="shared" si="7"/>
        <v>-0.1403</v>
      </c>
      <c r="S32" s="19">
        <v>5.46</v>
      </c>
      <c r="T32" s="19">
        <v>5.6</v>
      </c>
      <c r="U32" s="14" t="s">
        <v>72</v>
      </c>
      <c r="V32" s="20">
        <f>VLOOKUP(A32, Total_de_acoes!A:B, 2, 0)</f>
        <v>393173139</v>
      </c>
      <c r="W32" s="21">
        <f t="shared" si="8"/>
        <v>15598886.65</v>
      </c>
      <c r="X32" s="22" t="str">
        <f t="shared" si="9"/>
        <v>Subiu</v>
      </c>
    </row>
    <row r="33">
      <c r="A33" s="23" t="s">
        <v>73</v>
      </c>
      <c r="B33" s="15" t="str">
        <f>VLOOKUP(A33, Ticker!A:B, 2, 0)</f>
        <v>PetroRecôncavo</v>
      </c>
      <c r="C33" s="15" t="str">
        <f>VLOOKUP(B33, ChatGPT!A:B, 2, 0)</f>
        <v>Energia / Petróleo</v>
      </c>
      <c r="D33" s="16">
        <f>VLOOKUP(B33, ChatGPT!A:C, 3, 0)</f>
        <v>20</v>
      </c>
      <c r="E33" s="16" t="str">
        <f t="shared" si="1"/>
        <v>Menos de 50 anos</v>
      </c>
      <c r="F33" s="24">
        <v>45317.0</v>
      </c>
      <c r="G33" s="18">
        <f t="shared" si="2"/>
        <v>23.6619998</v>
      </c>
      <c r="H33" s="25">
        <v>23.83</v>
      </c>
      <c r="I33" s="25">
        <v>0.71</v>
      </c>
      <c r="J33" s="18">
        <f t="shared" si="3"/>
        <v>0.0071</v>
      </c>
      <c r="K33" s="25">
        <v>1.49</v>
      </c>
      <c r="L33" s="18">
        <f t="shared" si="4"/>
        <v>0.0149</v>
      </c>
      <c r="M33" s="25">
        <v>9.71</v>
      </c>
      <c r="N33" s="18">
        <f t="shared" si="5"/>
        <v>0.0971</v>
      </c>
      <c r="O33" s="25">
        <v>9.71</v>
      </c>
      <c r="P33" s="18">
        <f t="shared" si="6"/>
        <v>0.0971</v>
      </c>
      <c r="Q33" s="25">
        <v>-26.61</v>
      </c>
      <c r="R33" s="18">
        <f t="shared" si="7"/>
        <v>-0.2661</v>
      </c>
      <c r="S33" s="25">
        <v>23.36</v>
      </c>
      <c r="T33" s="25">
        <v>23.99</v>
      </c>
      <c r="U33" s="23" t="s">
        <v>74</v>
      </c>
      <c r="V33" s="20">
        <f>VLOOKUP(A33, Total_de_acoes!A:B, 2, 0)</f>
        <v>275005663</v>
      </c>
      <c r="W33" s="21">
        <f t="shared" si="8"/>
        <v>46201006</v>
      </c>
      <c r="X33" s="22" t="str">
        <f t="shared" si="9"/>
        <v>Subiu</v>
      </c>
    </row>
    <row r="34">
      <c r="A34" s="14" t="s">
        <v>75</v>
      </c>
      <c r="B34" s="15" t="str">
        <f>VLOOKUP(A34, Ticker!A:B, 2, 0)</f>
        <v>Itaúsa</v>
      </c>
      <c r="C34" s="15" t="str">
        <f>VLOOKUP(B34, ChatGPT!A:B, 2, 0)</f>
        <v>Holding / Investimentos</v>
      </c>
      <c r="D34" s="16">
        <f>VLOOKUP(B34, ChatGPT!A:C, 3, 0)</f>
        <v>50</v>
      </c>
      <c r="E34" s="16" t="str">
        <f t="shared" si="1"/>
        <v>Entre 50 e 100 anos</v>
      </c>
      <c r="F34" s="17">
        <v>45317.0</v>
      </c>
      <c r="G34" s="18">
        <f t="shared" si="2"/>
        <v>9.94041708</v>
      </c>
      <c r="H34" s="19">
        <v>10.01</v>
      </c>
      <c r="I34" s="19">
        <v>0.7</v>
      </c>
      <c r="J34" s="18">
        <f t="shared" si="3"/>
        <v>0.007</v>
      </c>
      <c r="K34" s="19">
        <v>-0.3</v>
      </c>
      <c r="L34" s="18">
        <f t="shared" si="4"/>
        <v>-0.003</v>
      </c>
      <c r="M34" s="19">
        <v>-3.47</v>
      </c>
      <c r="N34" s="18">
        <f t="shared" si="5"/>
        <v>-0.0347</v>
      </c>
      <c r="O34" s="19">
        <v>-3.47</v>
      </c>
      <c r="P34" s="18">
        <f t="shared" si="6"/>
        <v>-0.0347</v>
      </c>
      <c r="Q34" s="19">
        <v>29.0</v>
      </c>
      <c r="R34" s="18">
        <f t="shared" si="7"/>
        <v>0.29</v>
      </c>
      <c r="S34" s="19">
        <v>9.93</v>
      </c>
      <c r="T34" s="19">
        <v>10.06</v>
      </c>
      <c r="U34" s="14" t="s">
        <v>76</v>
      </c>
      <c r="V34" s="20">
        <f>VLOOKUP(A34, Total_de_acoes!A:B, 2, 0)</f>
        <v>5372783971</v>
      </c>
      <c r="W34" s="21">
        <f t="shared" si="8"/>
        <v>373853994.9</v>
      </c>
      <c r="X34" s="22" t="str">
        <f t="shared" si="9"/>
        <v>Subiu</v>
      </c>
    </row>
    <row r="35">
      <c r="A35" s="23" t="s">
        <v>77</v>
      </c>
      <c r="B35" s="15" t="str">
        <f>VLOOKUP(A35, Ticker!A:B, 2, 0)</f>
        <v>Banco do Brasil</v>
      </c>
      <c r="C35" s="15" t="str">
        <f>VLOOKUP(B35, ChatGPT!A:B, 2, 0)</f>
        <v>Financeiro</v>
      </c>
      <c r="D35" s="16">
        <f>VLOOKUP(B35, ChatGPT!A:C, 3, 0)</f>
        <v>200</v>
      </c>
      <c r="E35" s="16" t="str">
        <f t="shared" si="1"/>
        <v>Mais de 100 anos</v>
      </c>
      <c r="F35" s="24">
        <v>45317.0</v>
      </c>
      <c r="G35" s="18">
        <f t="shared" si="2"/>
        <v>56.5852205</v>
      </c>
      <c r="H35" s="25">
        <v>56.97</v>
      </c>
      <c r="I35" s="25">
        <v>0.68</v>
      </c>
      <c r="J35" s="18">
        <f t="shared" si="3"/>
        <v>0.0068</v>
      </c>
      <c r="K35" s="25">
        <v>1.88</v>
      </c>
      <c r="L35" s="18">
        <f t="shared" si="4"/>
        <v>0.0188</v>
      </c>
      <c r="M35" s="25">
        <v>2.85</v>
      </c>
      <c r="N35" s="18">
        <f t="shared" si="5"/>
        <v>0.0285</v>
      </c>
      <c r="O35" s="25">
        <v>2.85</v>
      </c>
      <c r="P35" s="18">
        <f t="shared" si="6"/>
        <v>0.0285</v>
      </c>
      <c r="Q35" s="25">
        <v>52.87</v>
      </c>
      <c r="R35" s="18">
        <f t="shared" si="7"/>
        <v>0.5287</v>
      </c>
      <c r="S35" s="25">
        <v>56.55</v>
      </c>
      <c r="T35" s="25">
        <v>56.99</v>
      </c>
      <c r="U35" s="23" t="s">
        <v>78</v>
      </c>
      <c r="V35" s="20">
        <f>VLOOKUP(A35, Total_de_acoes!A:B, 2, 0)</f>
        <v>1420949112</v>
      </c>
      <c r="W35" s="21">
        <f t="shared" si="8"/>
        <v>546752088</v>
      </c>
      <c r="X35" s="22" t="str">
        <f t="shared" si="9"/>
        <v>Subiu</v>
      </c>
    </row>
    <row r="36">
      <c r="A36" s="14" t="s">
        <v>79</v>
      </c>
      <c r="B36" s="15" t="str">
        <f>VLOOKUP(A36, Ticker!A:B, 2, 0)</f>
        <v>RaiaDrogasil</v>
      </c>
      <c r="C36" s="15" t="str">
        <f>VLOOKUP(B36, ChatGPT!A:B, 2, 0)</f>
        <v>Saúde / Farmácia</v>
      </c>
      <c r="D36" s="16">
        <f>VLOOKUP(B36, ChatGPT!A:C, 3, 0)</f>
        <v>90</v>
      </c>
      <c r="E36" s="16" t="str">
        <f t="shared" si="1"/>
        <v>Entre 50 e 100 anos</v>
      </c>
      <c r="F36" s="17">
        <v>45317.0</v>
      </c>
      <c r="G36" s="18">
        <f t="shared" si="2"/>
        <v>26.00139151</v>
      </c>
      <c r="H36" s="19">
        <v>26.16</v>
      </c>
      <c r="I36" s="19">
        <v>0.61</v>
      </c>
      <c r="J36" s="18">
        <f t="shared" si="3"/>
        <v>0.0061</v>
      </c>
      <c r="K36" s="19">
        <v>-2.75</v>
      </c>
      <c r="L36" s="18">
        <f t="shared" si="4"/>
        <v>-0.0275</v>
      </c>
      <c r="M36" s="19">
        <v>-11.02</v>
      </c>
      <c r="N36" s="18">
        <f t="shared" si="5"/>
        <v>-0.1102</v>
      </c>
      <c r="O36" s="19">
        <v>-11.02</v>
      </c>
      <c r="P36" s="18">
        <f t="shared" si="6"/>
        <v>-0.1102</v>
      </c>
      <c r="Q36" s="19">
        <v>10.07</v>
      </c>
      <c r="R36" s="18">
        <f t="shared" si="7"/>
        <v>0.1007</v>
      </c>
      <c r="S36" s="19">
        <v>25.87</v>
      </c>
      <c r="T36" s="19">
        <v>26.38</v>
      </c>
      <c r="U36" s="14" t="s">
        <v>80</v>
      </c>
      <c r="V36" s="20">
        <f>VLOOKUP(A36, Total_de_acoes!A:B, 2, 0)</f>
        <v>1275798515</v>
      </c>
      <c r="W36" s="21">
        <f t="shared" si="8"/>
        <v>202352473.7</v>
      </c>
      <c r="X36" s="22" t="str">
        <f t="shared" si="9"/>
        <v>Subiu</v>
      </c>
    </row>
    <row r="37">
      <c r="A37" s="23" t="s">
        <v>81</v>
      </c>
      <c r="B37" s="15" t="str">
        <f>VLOOKUP(A37, Ticker!A:B, 2, 0)</f>
        <v>Metalúrgica Gerdau</v>
      </c>
      <c r="C37" s="15" t="str">
        <f>VLOOKUP(B37, ChatGPT!A:B, 2, 0)</f>
        <v>Indústria / Metalurgia</v>
      </c>
      <c r="D37" s="16">
        <f>VLOOKUP(B37, ChatGPT!A:C, 3, 0)</f>
        <v>120</v>
      </c>
      <c r="E37" s="16" t="str">
        <f t="shared" si="1"/>
        <v>Mais de 100 anos</v>
      </c>
      <c r="F37" s="24">
        <v>45317.0</v>
      </c>
      <c r="G37" s="18">
        <f t="shared" si="2"/>
        <v>10.02087683</v>
      </c>
      <c r="H37" s="25">
        <v>10.08</v>
      </c>
      <c r="I37" s="25">
        <v>0.59</v>
      </c>
      <c r="J37" s="18">
        <f t="shared" si="3"/>
        <v>0.0059</v>
      </c>
      <c r="K37" s="25">
        <v>3.28</v>
      </c>
      <c r="L37" s="18">
        <f t="shared" si="4"/>
        <v>0.0328</v>
      </c>
      <c r="M37" s="25">
        <v>-7.18</v>
      </c>
      <c r="N37" s="18">
        <f t="shared" si="5"/>
        <v>-0.0718</v>
      </c>
      <c r="O37" s="25">
        <v>-7.18</v>
      </c>
      <c r="P37" s="18">
        <f t="shared" si="6"/>
        <v>-0.0718</v>
      </c>
      <c r="Q37" s="25">
        <v>-21.14</v>
      </c>
      <c r="R37" s="18">
        <f t="shared" si="7"/>
        <v>-0.2114</v>
      </c>
      <c r="S37" s="25">
        <v>10.03</v>
      </c>
      <c r="T37" s="25">
        <v>10.14</v>
      </c>
      <c r="U37" s="23" t="s">
        <v>82</v>
      </c>
      <c r="V37" s="20">
        <f>VLOOKUP(A37, Total_de_acoes!A:B, 2, 0)</f>
        <v>660411219</v>
      </c>
      <c r="W37" s="21">
        <f t="shared" si="8"/>
        <v>39045606.94</v>
      </c>
      <c r="X37" s="22" t="str">
        <f t="shared" si="9"/>
        <v>Subiu</v>
      </c>
    </row>
    <row r="38">
      <c r="A38" s="14" t="s">
        <v>83</v>
      </c>
      <c r="B38" s="15" t="str">
        <f>VLOOKUP(A38, Ticker!A:B, 2, 0)</f>
        <v>Cosan</v>
      </c>
      <c r="C38" s="15" t="str">
        <f>VLOOKUP(B38, ChatGPT!A:B, 2, 0)</f>
        <v>Energia / Agronegócio</v>
      </c>
      <c r="D38" s="16">
        <f>VLOOKUP(B38, ChatGPT!A:C, 3, 0)</f>
        <v>80</v>
      </c>
      <c r="E38" s="16" t="str">
        <f t="shared" si="1"/>
        <v>Entre 50 e 100 anos</v>
      </c>
      <c r="F38" s="17">
        <v>45317.0</v>
      </c>
      <c r="G38" s="18">
        <f t="shared" si="2"/>
        <v>18.46107963</v>
      </c>
      <c r="H38" s="19">
        <v>18.57</v>
      </c>
      <c r="I38" s="19">
        <v>0.59</v>
      </c>
      <c r="J38" s="18">
        <f t="shared" si="3"/>
        <v>0.0059</v>
      </c>
      <c r="K38" s="19">
        <v>2.65</v>
      </c>
      <c r="L38" s="18">
        <f t="shared" si="4"/>
        <v>0.0265</v>
      </c>
      <c r="M38" s="19">
        <v>-4.08</v>
      </c>
      <c r="N38" s="18">
        <f t="shared" si="5"/>
        <v>-0.0408</v>
      </c>
      <c r="O38" s="19">
        <v>-4.08</v>
      </c>
      <c r="P38" s="18">
        <f t="shared" si="6"/>
        <v>-0.0408</v>
      </c>
      <c r="Q38" s="19">
        <v>13.35</v>
      </c>
      <c r="R38" s="18">
        <f t="shared" si="7"/>
        <v>0.1335</v>
      </c>
      <c r="S38" s="19">
        <v>18.3</v>
      </c>
      <c r="T38" s="19">
        <v>18.66</v>
      </c>
      <c r="U38" s="14" t="s">
        <v>84</v>
      </c>
      <c r="V38" s="20">
        <f>VLOOKUP(A38, Total_de_acoes!A:B, 2, 0)</f>
        <v>1168097881</v>
      </c>
      <c r="W38" s="21">
        <f t="shared" si="8"/>
        <v>127229653.2</v>
      </c>
      <c r="X38" s="22" t="str">
        <f t="shared" si="9"/>
        <v>Subiu</v>
      </c>
    </row>
    <row r="39">
      <c r="A39" s="23" t="s">
        <v>85</v>
      </c>
      <c r="B39" s="15" t="str">
        <f>VLOOKUP(A39, Ticker!A:B, 2, 0)</f>
        <v>JBS</v>
      </c>
      <c r="C39" s="15" t="str">
        <f>VLOOKUP(B39, ChatGPT!A:B, 2, 0)</f>
        <v>Alimentos / Carnes</v>
      </c>
      <c r="D39" s="16">
        <f>VLOOKUP(B39, ChatGPT!A:C, 3, 0)</f>
        <v>70</v>
      </c>
      <c r="E39" s="16" t="str">
        <f t="shared" si="1"/>
        <v>Entre 50 e 100 anos</v>
      </c>
      <c r="F39" s="24">
        <v>45317.0</v>
      </c>
      <c r="G39" s="18">
        <f t="shared" si="2"/>
        <v>24.20204832</v>
      </c>
      <c r="H39" s="25">
        <v>24.34</v>
      </c>
      <c r="I39" s="25">
        <v>0.57</v>
      </c>
      <c r="J39" s="18">
        <f t="shared" si="3"/>
        <v>0.0057</v>
      </c>
      <c r="K39" s="25">
        <v>2.48</v>
      </c>
      <c r="L39" s="18">
        <f t="shared" si="4"/>
        <v>0.0248</v>
      </c>
      <c r="M39" s="25">
        <v>-2.29</v>
      </c>
      <c r="N39" s="18">
        <f t="shared" si="5"/>
        <v>-0.0229</v>
      </c>
      <c r="O39" s="25">
        <v>-2.29</v>
      </c>
      <c r="P39" s="18">
        <f t="shared" si="6"/>
        <v>-0.0229</v>
      </c>
      <c r="Q39" s="25">
        <v>17.29</v>
      </c>
      <c r="R39" s="18">
        <f t="shared" si="7"/>
        <v>0.1729</v>
      </c>
      <c r="S39" s="25">
        <v>24.17</v>
      </c>
      <c r="T39" s="25">
        <v>24.56</v>
      </c>
      <c r="U39" s="23" t="s">
        <v>86</v>
      </c>
      <c r="V39" s="20">
        <f>VLOOKUP(A39, Total_de_acoes!A:B, 2, 0)</f>
        <v>1134986472</v>
      </c>
      <c r="W39" s="21">
        <f t="shared" si="8"/>
        <v>156573285.4</v>
      </c>
      <c r="X39" s="22" t="str">
        <f t="shared" si="9"/>
        <v>Subiu</v>
      </c>
    </row>
    <row r="40">
      <c r="A40" s="14" t="s">
        <v>87</v>
      </c>
      <c r="B40" s="15" t="str">
        <f>VLOOKUP(A40, Ticker!A:B, 2, 0)</f>
        <v>Magazine Luiza</v>
      </c>
      <c r="C40" s="15" t="str">
        <f>VLOOKUP(B40, ChatGPT!A:B, 2, 0)</f>
        <v>Varejo / E-commerce</v>
      </c>
      <c r="D40" s="16">
        <f>VLOOKUP(B40, ChatGPT!A:C, 3, 0)</f>
        <v>60</v>
      </c>
      <c r="E40" s="16" t="str">
        <f t="shared" si="1"/>
        <v>Entre 50 e 100 anos</v>
      </c>
      <c r="F40" s="17">
        <v>45317.0</v>
      </c>
      <c r="G40" s="18">
        <f t="shared" si="2"/>
        <v>2.070063694</v>
      </c>
      <c r="H40" s="19">
        <v>2.08</v>
      </c>
      <c r="I40" s="19">
        <v>0.48</v>
      </c>
      <c r="J40" s="18">
        <f t="shared" si="3"/>
        <v>0.0048</v>
      </c>
      <c r="K40" s="19">
        <v>2.46</v>
      </c>
      <c r="L40" s="18">
        <f t="shared" si="4"/>
        <v>0.0246</v>
      </c>
      <c r="M40" s="19">
        <v>-3.7</v>
      </c>
      <c r="N40" s="18">
        <f t="shared" si="5"/>
        <v>-0.037</v>
      </c>
      <c r="O40" s="19">
        <v>-3.7</v>
      </c>
      <c r="P40" s="18">
        <f t="shared" si="6"/>
        <v>-0.037</v>
      </c>
      <c r="Q40" s="19">
        <v>-51.4</v>
      </c>
      <c r="R40" s="18">
        <f t="shared" si="7"/>
        <v>-0.514</v>
      </c>
      <c r="S40" s="19">
        <v>2.02</v>
      </c>
      <c r="T40" s="19">
        <v>2.1</v>
      </c>
      <c r="U40" s="14" t="s">
        <v>88</v>
      </c>
      <c r="V40" s="20">
        <f>VLOOKUP(A40, Total_de_acoes!A:B, 2, 0)</f>
        <v>2867627068</v>
      </c>
      <c r="W40" s="21">
        <f t="shared" si="8"/>
        <v>28493619.27</v>
      </c>
      <c r="X40" s="22" t="str">
        <f t="shared" si="9"/>
        <v>Subiu</v>
      </c>
    </row>
    <row r="41">
      <c r="A41" s="23" t="s">
        <v>89</v>
      </c>
      <c r="B41" s="15" t="str">
        <f>VLOOKUP(A41, Ticker!A:B, 2, 0)</f>
        <v>Banco Bradesco</v>
      </c>
      <c r="C41" s="15" t="str">
        <f>VLOOKUP(B41, ChatGPT!A:B, 2, 0)</f>
        <v>Financeiro</v>
      </c>
      <c r="D41" s="16">
        <f>VLOOKUP(B41, ChatGPT!A:C, 3, 0)</f>
        <v>80</v>
      </c>
      <c r="E41" s="16" t="str">
        <f t="shared" si="1"/>
        <v>Entre 50 e 100 anos</v>
      </c>
      <c r="F41" s="24">
        <v>45317.0</v>
      </c>
      <c r="G41" s="18">
        <f t="shared" si="2"/>
        <v>13.70067756</v>
      </c>
      <c r="H41" s="25">
        <v>13.75</v>
      </c>
      <c r="I41" s="25">
        <v>0.36</v>
      </c>
      <c r="J41" s="18">
        <f t="shared" si="3"/>
        <v>0.0036</v>
      </c>
      <c r="K41" s="25">
        <v>-0.72</v>
      </c>
      <c r="L41" s="18">
        <f t="shared" si="4"/>
        <v>-0.0072</v>
      </c>
      <c r="M41" s="25">
        <v>-9.95</v>
      </c>
      <c r="N41" s="18">
        <f t="shared" si="5"/>
        <v>-0.0995</v>
      </c>
      <c r="O41" s="25">
        <v>-9.95</v>
      </c>
      <c r="P41" s="18">
        <f t="shared" si="6"/>
        <v>-0.0995</v>
      </c>
      <c r="Q41" s="25">
        <v>15.78</v>
      </c>
      <c r="R41" s="18">
        <f t="shared" si="7"/>
        <v>0.1578</v>
      </c>
      <c r="S41" s="25">
        <v>13.67</v>
      </c>
      <c r="T41" s="25">
        <v>13.9</v>
      </c>
      <c r="U41" s="23" t="s">
        <v>90</v>
      </c>
      <c r="V41" s="20">
        <f>VLOOKUP(A41, Total_de_acoes!A:B, 2, 0)</f>
        <v>1500728902</v>
      </c>
      <c r="W41" s="21">
        <f t="shared" si="8"/>
        <v>74019610.05</v>
      </c>
      <c r="X41" s="22" t="str">
        <f t="shared" si="9"/>
        <v>Subiu</v>
      </c>
    </row>
    <row r="42">
      <c r="A42" s="14" t="s">
        <v>91</v>
      </c>
      <c r="B42" s="15" t="str">
        <f>VLOOKUP(A42, Ticker!A:B, 2, 0)</f>
        <v>Gerdau</v>
      </c>
      <c r="C42" s="15" t="str">
        <f>VLOOKUP(B42, ChatGPT!A:B, 2, 0)</f>
        <v>Indústria / Metalurgia</v>
      </c>
      <c r="D42" s="16">
        <f>VLOOKUP(B42, ChatGPT!A:C, 3, 0)</f>
        <v>120</v>
      </c>
      <c r="E42" s="16" t="str">
        <f t="shared" si="1"/>
        <v>Mais de 100 anos</v>
      </c>
      <c r="F42" s="17">
        <v>45317.0</v>
      </c>
      <c r="G42" s="18">
        <f t="shared" si="2"/>
        <v>21.78119078</v>
      </c>
      <c r="H42" s="19">
        <v>21.84</v>
      </c>
      <c r="I42" s="19">
        <v>0.27</v>
      </c>
      <c r="J42" s="18">
        <f t="shared" si="3"/>
        <v>0.0027</v>
      </c>
      <c r="K42" s="19">
        <v>3.65</v>
      </c>
      <c r="L42" s="18">
        <f t="shared" si="4"/>
        <v>0.0365</v>
      </c>
      <c r="M42" s="19">
        <v>-8.08</v>
      </c>
      <c r="N42" s="18">
        <f t="shared" si="5"/>
        <v>-0.0808</v>
      </c>
      <c r="O42" s="19">
        <v>-8.08</v>
      </c>
      <c r="P42" s="18">
        <f t="shared" si="6"/>
        <v>-0.0808</v>
      </c>
      <c r="Q42" s="19">
        <v>-26.1</v>
      </c>
      <c r="R42" s="18">
        <f t="shared" si="7"/>
        <v>-0.261</v>
      </c>
      <c r="S42" s="19">
        <v>21.7</v>
      </c>
      <c r="T42" s="19">
        <v>21.94</v>
      </c>
      <c r="U42" s="14" t="s">
        <v>92</v>
      </c>
      <c r="V42" s="20">
        <f>VLOOKUP(A42, Total_de_acoes!A:B, 2, 0)</f>
        <v>1118525506</v>
      </c>
      <c r="W42" s="21">
        <f t="shared" si="8"/>
        <v>65779607.1</v>
      </c>
      <c r="X42" s="22" t="str">
        <f t="shared" si="9"/>
        <v>Subiu</v>
      </c>
    </row>
    <row r="43">
      <c r="A43" s="23" t="s">
        <v>93</v>
      </c>
      <c r="B43" s="15" t="str">
        <f>VLOOKUP(A43, Ticker!A:B, 2, 0)</f>
        <v>Raízen</v>
      </c>
      <c r="C43" s="15" t="str">
        <f>VLOOKUP(B43, ChatGPT!A:B, 2, 0)</f>
        <v>Energia / Biocombustíveis</v>
      </c>
      <c r="D43" s="16">
        <f>VLOOKUP(B43, ChatGPT!A:C, 3, 0)</f>
        <v>10</v>
      </c>
      <c r="E43" s="16" t="str">
        <f t="shared" si="1"/>
        <v>Menos de 50 anos</v>
      </c>
      <c r="F43" s="24">
        <v>45317.0</v>
      </c>
      <c r="G43" s="18">
        <f t="shared" si="2"/>
        <v>3.730301217</v>
      </c>
      <c r="H43" s="25">
        <v>3.74</v>
      </c>
      <c r="I43" s="25">
        <v>0.26</v>
      </c>
      <c r="J43" s="18">
        <f t="shared" si="3"/>
        <v>0.0026</v>
      </c>
      <c r="K43" s="25">
        <v>0.0</v>
      </c>
      <c r="L43" s="18">
        <f t="shared" si="4"/>
        <v>0</v>
      </c>
      <c r="M43" s="25">
        <v>-7.2</v>
      </c>
      <c r="N43" s="18">
        <f t="shared" si="5"/>
        <v>-0.072</v>
      </c>
      <c r="O43" s="25">
        <v>-7.2</v>
      </c>
      <c r="P43" s="18">
        <f t="shared" si="6"/>
        <v>-0.072</v>
      </c>
      <c r="Q43" s="25">
        <v>15.46</v>
      </c>
      <c r="R43" s="18">
        <f t="shared" si="7"/>
        <v>0.1546</v>
      </c>
      <c r="S43" s="25">
        <v>3.71</v>
      </c>
      <c r="T43" s="25">
        <v>3.78</v>
      </c>
      <c r="U43" s="23" t="s">
        <v>94</v>
      </c>
      <c r="V43" s="20">
        <f>VLOOKUP(A43, Total_de_acoes!A:B, 2, 0)</f>
        <v>1193047233</v>
      </c>
      <c r="W43" s="21">
        <f t="shared" si="8"/>
        <v>11571106.42</v>
      </c>
      <c r="X43" s="22" t="str">
        <f t="shared" si="9"/>
        <v>Subiu</v>
      </c>
    </row>
    <row r="44">
      <c r="A44" s="14" t="s">
        <v>95</v>
      </c>
      <c r="B44" s="15" t="str">
        <f>VLOOKUP(A44, Ticker!A:B, 2, 0)</f>
        <v>Copel</v>
      </c>
      <c r="C44" s="15" t="str">
        <f>VLOOKUP(B44, ChatGPT!A:B, 2, 0)</f>
        <v>Energia</v>
      </c>
      <c r="D44" s="16">
        <f>VLOOKUP(B44, ChatGPT!A:C, 3, 0)</f>
        <v>60</v>
      </c>
      <c r="E44" s="16" t="str">
        <f t="shared" si="1"/>
        <v>Entre 50 e 100 anos</v>
      </c>
      <c r="F44" s="17">
        <v>45317.0</v>
      </c>
      <c r="G44" s="18">
        <f t="shared" si="2"/>
        <v>10.05090328</v>
      </c>
      <c r="H44" s="19">
        <v>10.07</v>
      </c>
      <c r="I44" s="19">
        <v>0.19</v>
      </c>
      <c r="J44" s="18">
        <f t="shared" si="3"/>
        <v>0.0019</v>
      </c>
      <c r="K44" s="19">
        <v>0.9</v>
      </c>
      <c r="L44" s="18">
        <f t="shared" si="4"/>
        <v>0.009</v>
      </c>
      <c r="M44" s="19">
        <v>-2.8</v>
      </c>
      <c r="N44" s="18">
        <f t="shared" si="5"/>
        <v>-0.028</v>
      </c>
      <c r="O44" s="19">
        <v>-2.8</v>
      </c>
      <c r="P44" s="18">
        <f t="shared" si="6"/>
        <v>-0.028</v>
      </c>
      <c r="Q44" s="19">
        <v>32.08</v>
      </c>
      <c r="R44" s="18">
        <f t="shared" si="7"/>
        <v>0.3208</v>
      </c>
      <c r="S44" s="19">
        <v>9.96</v>
      </c>
      <c r="T44" s="19">
        <v>10.13</v>
      </c>
      <c r="U44" s="14" t="s">
        <v>96</v>
      </c>
      <c r="V44" s="20">
        <f>VLOOKUP(A44, Total_de_acoes!A:B, 2, 0)</f>
        <v>1679335290</v>
      </c>
      <c r="W44" s="21">
        <f t="shared" si="8"/>
        <v>32069789.5</v>
      </c>
      <c r="X44" s="22" t="str">
        <f t="shared" si="9"/>
        <v>Subiu</v>
      </c>
    </row>
    <row r="45">
      <c r="A45" s="23" t="s">
        <v>97</v>
      </c>
      <c r="B45" s="15" t="str">
        <f>VLOOKUP(A45, Ticker!A:B, 2, 0)</f>
        <v>Grupo Vamos</v>
      </c>
      <c r="C45" s="15" t="str">
        <f>VLOOKUP(B45, ChatGPT!A:B, 2, 0)</f>
        <v>Logística / Transporte</v>
      </c>
      <c r="D45" s="16">
        <f>VLOOKUP(B45, ChatGPT!A:C, 3, 0)</f>
        <v>10</v>
      </c>
      <c r="E45" s="16" t="str">
        <f t="shared" si="1"/>
        <v>Menos de 50 anos</v>
      </c>
      <c r="F45" s="24">
        <v>45317.0</v>
      </c>
      <c r="G45" s="18">
        <f t="shared" si="2"/>
        <v>8.170195765</v>
      </c>
      <c r="H45" s="25">
        <v>8.18</v>
      </c>
      <c r="I45" s="25">
        <v>0.12</v>
      </c>
      <c r="J45" s="18">
        <f t="shared" si="3"/>
        <v>0.0012</v>
      </c>
      <c r="K45" s="25">
        <v>-3.76</v>
      </c>
      <c r="L45" s="18">
        <f t="shared" si="4"/>
        <v>-0.0376</v>
      </c>
      <c r="M45" s="25">
        <v>-18.77</v>
      </c>
      <c r="N45" s="18">
        <f t="shared" si="5"/>
        <v>-0.1877</v>
      </c>
      <c r="O45" s="25">
        <v>-18.77</v>
      </c>
      <c r="P45" s="18">
        <f t="shared" si="6"/>
        <v>-0.1877</v>
      </c>
      <c r="Q45" s="25">
        <v>-40.74</v>
      </c>
      <c r="R45" s="18">
        <f t="shared" si="7"/>
        <v>-0.4074</v>
      </c>
      <c r="S45" s="25">
        <v>8.11</v>
      </c>
      <c r="T45" s="25">
        <v>8.27</v>
      </c>
      <c r="U45" s="23" t="s">
        <v>98</v>
      </c>
      <c r="V45" s="20">
        <f>VLOOKUP(A45, Total_de_acoes!A:B, 2, 0)</f>
        <v>421383330</v>
      </c>
      <c r="W45" s="21">
        <f t="shared" si="8"/>
        <v>4131341.158</v>
      </c>
      <c r="X45" s="22" t="str">
        <f t="shared" si="9"/>
        <v>Subiu</v>
      </c>
    </row>
    <row r="46">
      <c r="A46" s="14" t="s">
        <v>99</v>
      </c>
      <c r="B46" s="15" t="str">
        <f>VLOOKUP(A46, Ticker!A:B, 2, 0)</f>
        <v>Marfrig</v>
      </c>
      <c r="C46" s="15" t="str">
        <f>VLOOKUP(B46, ChatGPT!A:B, 2, 0)</f>
        <v>Alimentos / Carnes</v>
      </c>
      <c r="D46" s="16">
        <f>VLOOKUP(B46, ChatGPT!A:C, 3, 0)</f>
        <v>30</v>
      </c>
      <c r="E46" s="16" t="str">
        <f t="shared" si="1"/>
        <v>Menos de 50 anos</v>
      </c>
      <c r="F46" s="17">
        <v>45317.0</v>
      </c>
      <c r="G46" s="18">
        <f t="shared" si="2"/>
        <v>9.74</v>
      </c>
      <c r="H46" s="19">
        <v>9.74</v>
      </c>
      <c r="I46" s="19">
        <v>0.0</v>
      </c>
      <c r="J46" s="18">
        <f t="shared" si="3"/>
        <v>0</v>
      </c>
      <c r="K46" s="19">
        <v>5.3</v>
      </c>
      <c r="L46" s="18">
        <f t="shared" si="4"/>
        <v>0.053</v>
      </c>
      <c r="M46" s="19">
        <v>0.41</v>
      </c>
      <c r="N46" s="18">
        <f t="shared" si="5"/>
        <v>0.0041</v>
      </c>
      <c r="O46" s="19">
        <v>0.41</v>
      </c>
      <c r="P46" s="18">
        <f t="shared" si="6"/>
        <v>0.0041</v>
      </c>
      <c r="Q46" s="19">
        <v>17.99</v>
      </c>
      <c r="R46" s="18">
        <f t="shared" si="7"/>
        <v>0.1799</v>
      </c>
      <c r="S46" s="19">
        <v>9.61</v>
      </c>
      <c r="T46" s="19">
        <v>9.86</v>
      </c>
      <c r="U46" s="14" t="s">
        <v>100</v>
      </c>
      <c r="V46" s="20">
        <f>VLOOKUP(A46, Total_de_acoes!A:B, 2, 0)</f>
        <v>331799687</v>
      </c>
      <c r="W46" s="21">
        <f t="shared" si="8"/>
        <v>0</v>
      </c>
      <c r="X46" s="22" t="str">
        <f t="shared" si="9"/>
        <v>não houve variação</v>
      </c>
    </row>
    <row r="47">
      <c r="A47" s="23" t="s">
        <v>101</v>
      </c>
      <c r="B47" s="15" t="str">
        <f>VLOOKUP(A47, Ticker!A:B, 2, 0)</f>
        <v>Ambev</v>
      </c>
      <c r="C47" s="15" t="str">
        <f>VLOOKUP(B47, ChatGPT!A:B, 2, 0)</f>
        <v>Alimentos e Bebidas</v>
      </c>
      <c r="D47" s="16">
        <f>VLOOKUP(B47, ChatGPT!A:C, 3, 0)</f>
        <v>20</v>
      </c>
      <c r="E47" s="16" t="str">
        <f t="shared" si="1"/>
        <v>Menos de 50 anos</v>
      </c>
      <c r="F47" s="24">
        <v>45317.0</v>
      </c>
      <c r="G47" s="18">
        <f t="shared" si="2"/>
        <v>13.2</v>
      </c>
      <c r="H47" s="25">
        <v>13.2</v>
      </c>
      <c r="I47" s="25">
        <v>0.0</v>
      </c>
      <c r="J47" s="18">
        <f t="shared" si="3"/>
        <v>0</v>
      </c>
      <c r="K47" s="25">
        <v>-1.12</v>
      </c>
      <c r="L47" s="18">
        <f t="shared" si="4"/>
        <v>-0.0112</v>
      </c>
      <c r="M47" s="25">
        <v>-3.86</v>
      </c>
      <c r="N47" s="18">
        <f t="shared" si="5"/>
        <v>-0.0386</v>
      </c>
      <c r="O47" s="25">
        <v>-3.86</v>
      </c>
      <c r="P47" s="18">
        <f t="shared" si="6"/>
        <v>-0.0386</v>
      </c>
      <c r="Q47" s="25">
        <v>0.3</v>
      </c>
      <c r="R47" s="18">
        <f t="shared" si="7"/>
        <v>0.003</v>
      </c>
      <c r="S47" s="25">
        <v>13.15</v>
      </c>
      <c r="T47" s="25">
        <v>13.29</v>
      </c>
      <c r="U47" s="23" t="s">
        <v>102</v>
      </c>
      <c r="V47" s="20">
        <f>VLOOKUP(A47, Total_de_acoes!A:B, 2, 0)</f>
        <v>4394245879</v>
      </c>
      <c r="W47" s="21">
        <f t="shared" si="8"/>
        <v>0</v>
      </c>
      <c r="X47" s="22" t="str">
        <f t="shared" si="9"/>
        <v>não houve variação</v>
      </c>
    </row>
    <row r="48">
      <c r="A48" s="14" t="s">
        <v>103</v>
      </c>
      <c r="B48" s="15" t="str">
        <f>VLOOKUP(A48, Ticker!A:B, 2, 0)</f>
        <v>BB Seguridade</v>
      </c>
      <c r="C48" s="15" t="str">
        <f>VLOOKUP(B48, ChatGPT!A:B, 2, 0)</f>
        <v>Financeiro / Seguros</v>
      </c>
      <c r="D48" s="16">
        <f>VLOOKUP(B48, ChatGPT!A:C, 3, 0)</f>
        <v>10</v>
      </c>
      <c r="E48" s="16" t="str">
        <f t="shared" si="1"/>
        <v>Menos de 50 anos</v>
      </c>
      <c r="F48" s="17">
        <v>45317.0</v>
      </c>
      <c r="G48" s="18">
        <f t="shared" si="2"/>
        <v>33.73674735</v>
      </c>
      <c r="H48" s="19">
        <v>33.73</v>
      </c>
      <c r="I48" s="19">
        <v>-0.02</v>
      </c>
      <c r="J48" s="18">
        <f t="shared" si="3"/>
        <v>-0.0002</v>
      </c>
      <c r="K48" s="19">
        <v>-2.37</v>
      </c>
      <c r="L48" s="18">
        <f t="shared" si="4"/>
        <v>-0.0237</v>
      </c>
      <c r="M48" s="19">
        <v>0.24</v>
      </c>
      <c r="N48" s="18">
        <f t="shared" si="5"/>
        <v>0.0024</v>
      </c>
      <c r="O48" s="19">
        <v>0.24</v>
      </c>
      <c r="P48" s="18">
        <f t="shared" si="6"/>
        <v>0.0024</v>
      </c>
      <c r="Q48" s="19">
        <v>0.91</v>
      </c>
      <c r="R48" s="18">
        <f t="shared" si="7"/>
        <v>0.0091</v>
      </c>
      <c r="S48" s="19">
        <v>33.73</v>
      </c>
      <c r="T48" s="19">
        <v>34.03</v>
      </c>
      <c r="U48" s="14" t="s">
        <v>104</v>
      </c>
      <c r="V48" s="20">
        <f>VLOOKUP(A48, Total_de_acoes!A:B, 2, 0)</f>
        <v>671750768</v>
      </c>
      <c r="W48" s="21">
        <f t="shared" si="8"/>
        <v>-4532537.188</v>
      </c>
      <c r="X48" s="22" t="str">
        <f t="shared" si="9"/>
        <v>Desceu</v>
      </c>
    </row>
    <row r="49">
      <c r="A49" s="23" t="s">
        <v>105</v>
      </c>
      <c r="B49" s="15" t="str">
        <f>VLOOKUP(A49, Ticker!A:B, 2, 0)</f>
        <v>Sabesp</v>
      </c>
      <c r="C49" s="15" t="str">
        <f>VLOOKUP(B49, ChatGPT!A:B, 2, 0)</f>
        <v>Saneamento</v>
      </c>
      <c r="D49" s="16">
        <f>VLOOKUP(B49, ChatGPT!A:C, 3, 0)</f>
        <v>40</v>
      </c>
      <c r="E49" s="16" t="str">
        <f t="shared" si="1"/>
        <v>Menos de 50 anos</v>
      </c>
      <c r="F49" s="24">
        <v>45317.0</v>
      </c>
      <c r="G49" s="18">
        <f t="shared" si="2"/>
        <v>77.08625175</v>
      </c>
      <c r="H49" s="25">
        <v>77.04</v>
      </c>
      <c r="I49" s="25">
        <v>-0.06</v>
      </c>
      <c r="J49" s="18">
        <f t="shared" si="3"/>
        <v>-0.0006</v>
      </c>
      <c r="K49" s="25">
        <v>1.37</v>
      </c>
      <c r="L49" s="18">
        <f t="shared" si="4"/>
        <v>0.0137</v>
      </c>
      <c r="M49" s="25">
        <v>2.22</v>
      </c>
      <c r="N49" s="18">
        <f t="shared" si="5"/>
        <v>0.0222</v>
      </c>
      <c r="O49" s="25">
        <v>2.22</v>
      </c>
      <c r="P49" s="18">
        <f t="shared" si="6"/>
        <v>0.0222</v>
      </c>
      <c r="Q49" s="25">
        <v>45.92</v>
      </c>
      <c r="R49" s="18">
        <f t="shared" si="7"/>
        <v>0.4592</v>
      </c>
      <c r="S49" s="25">
        <v>76.52</v>
      </c>
      <c r="T49" s="25">
        <v>77.69</v>
      </c>
      <c r="U49" s="23" t="s">
        <v>106</v>
      </c>
      <c r="V49" s="20">
        <f>VLOOKUP(A49, Total_de_acoes!A:B, 2, 0)</f>
        <v>340001799</v>
      </c>
      <c r="W49" s="21">
        <f t="shared" si="8"/>
        <v>-15725678.56</v>
      </c>
      <c r="X49" s="22" t="str">
        <f t="shared" si="9"/>
        <v>Desceu</v>
      </c>
    </row>
    <row r="50">
      <c r="A50" s="14" t="s">
        <v>107</v>
      </c>
      <c r="B50" s="15" t="str">
        <f>VLOOKUP(A50, Ticker!A:B, 2, 0)</f>
        <v>Totvs</v>
      </c>
      <c r="C50" s="15" t="str">
        <f>VLOOKUP(B50, ChatGPT!A:B, 2, 0)</f>
        <v>Tecnologia / Software</v>
      </c>
      <c r="D50" s="16">
        <f>VLOOKUP(B50, ChatGPT!A:C, 3, 0)</f>
        <v>30</v>
      </c>
      <c r="E50" s="16" t="str">
        <f t="shared" si="1"/>
        <v>Menos de 50 anos</v>
      </c>
      <c r="F50" s="17">
        <v>45317.0</v>
      </c>
      <c r="G50" s="18">
        <f t="shared" si="2"/>
        <v>30.89853912</v>
      </c>
      <c r="H50" s="19">
        <v>30.88</v>
      </c>
      <c r="I50" s="19">
        <v>-0.06</v>
      </c>
      <c r="J50" s="18">
        <f t="shared" si="3"/>
        <v>-0.0006</v>
      </c>
      <c r="K50" s="19">
        <v>-2.65</v>
      </c>
      <c r="L50" s="18">
        <f t="shared" si="4"/>
        <v>-0.0265</v>
      </c>
      <c r="M50" s="19">
        <v>-8.34</v>
      </c>
      <c r="N50" s="18">
        <f t="shared" si="5"/>
        <v>-0.0834</v>
      </c>
      <c r="O50" s="19">
        <v>-8.34</v>
      </c>
      <c r="P50" s="18">
        <f t="shared" si="6"/>
        <v>-0.0834</v>
      </c>
      <c r="Q50" s="19">
        <v>5.89</v>
      </c>
      <c r="R50" s="18">
        <f t="shared" si="7"/>
        <v>0.0589</v>
      </c>
      <c r="S50" s="19">
        <v>30.65</v>
      </c>
      <c r="T50" s="19">
        <v>31.34</v>
      </c>
      <c r="U50" s="14" t="s">
        <v>108</v>
      </c>
      <c r="V50" s="20">
        <f>VLOOKUP(A50, Total_de_acoes!A:B, 2, 0)</f>
        <v>514122351</v>
      </c>
      <c r="W50" s="21">
        <f t="shared" si="8"/>
        <v>-9531377.746</v>
      </c>
      <c r="X50" s="22" t="str">
        <f t="shared" si="9"/>
        <v>Desceu</v>
      </c>
    </row>
    <row r="51">
      <c r="A51" s="23" t="s">
        <v>109</v>
      </c>
      <c r="B51" s="15" t="str">
        <f>VLOOKUP(A51, Ticker!A:B, 2, 0)</f>
        <v>CEMIG</v>
      </c>
      <c r="C51" s="15" t="str">
        <f>VLOOKUP(B51, ChatGPT!A:B, 2, 0)</f>
        <v>Energia</v>
      </c>
      <c r="D51" s="16">
        <f>VLOOKUP(B51, ChatGPT!A:C, 3, 0)</f>
        <v>70</v>
      </c>
      <c r="E51" s="16" t="str">
        <f t="shared" si="1"/>
        <v>Entre 50 e 100 anos</v>
      </c>
      <c r="F51" s="24">
        <v>45317.0</v>
      </c>
      <c r="G51" s="18">
        <f t="shared" si="2"/>
        <v>11.6598217</v>
      </c>
      <c r="H51" s="25">
        <v>11.64</v>
      </c>
      <c r="I51" s="25">
        <v>-0.17</v>
      </c>
      <c r="J51" s="18">
        <f t="shared" si="3"/>
        <v>-0.0017</v>
      </c>
      <c r="K51" s="25">
        <v>0.95</v>
      </c>
      <c r="L51" s="18">
        <f t="shared" si="4"/>
        <v>0.0095</v>
      </c>
      <c r="M51" s="25">
        <v>1.39</v>
      </c>
      <c r="N51" s="18">
        <f t="shared" si="5"/>
        <v>0.0139</v>
      </c>
      <c r="O51" s="25">
        <v>1.39</v>
      </c>
      <c r="P51" s="18">
        <f t="shared" si="6"/>
        <v>0.0139</v>
      </c>
      <c r="Q51" s="25">
        <v>12.26</v>
      </c>
      <c r="R51" s="18">
        <f t="shared" si="7"/>
        <v>0.1226</v>
      </c>
      <c r="S51" s="25">
        <v>11.64</v>
      </c>
      <c r="T51" s="25">
        <v>11.8</v>
      </c>
      <c r="U51" s="23" t="s">
        <v>110</v>
      </c>
      <c r="V51" s="20">
        <f>VLOOKUP(A51, Total_de_acoes!A:B, 2, 0)</f>
        <v>1437415777</v>
      </c>
      <c r="W51" s="21">
        <f t="shared" si="8"/>
        <v>-28492019.83</v>
      </c>
      <c r="X51" s="22" t="str">
        <f t="shared" si="9"/>
        <v>Desceu</v>
      </c>
    </row>
    <row r="52">
      <c r="A52" s="14" t="s">
        <v>111</v>
      </c>
      <c r="B52" s="15" t="str">
        <f>VLOOKUP(A52, Ticker!A:B, 2, 0)</f>
        <v>Eletrobras</v>
      </c>
      <c r="C52" s="15" t="str">
        <f>VLOOKUP(B52, ChatGPT!A:B, 2, 0)</f>
        <v>Energia</v>
      </c>
      <c r="D52" s="16">
        <f>VLOOKUP(B52, ChatGPT!A:C, 3, 0)</f>
        <v>60</v>
      </c>
      <c r="E52" s="16" t="str">
        <f t="shared" si="1"/>
        <v>Entre 50 e 100 anos</v>
      </c>
      <c r="F52" s="17">
        <v>45317.0</v>
      </c>
      <c r="G52" s="18">
        <f t="shared" si="2"/>
        <v>46.12764252</v>
      </c>
      <c r="H52" s="19">
        <v>46.04</v>
      </c>
      <c r="I52" s="19">
        <v>-0.19</v>
      </c>
      <c r="J52" s="18">
        <f t="shared" si="3"/>
        <v>-0.0019</v>
      </c>
      <c r="K52" s="19">
        <v>-1.41</v>
      </c>
      <c r="L52" s="18">
        <f t="shared" si="4"/>
        <v>-0.0141</v>
      </c>
      <c r="M52" s="19">
        <v>-2.0</v>
      </c>
      <c r="N52" s="18">
        <f t="shared" si="5"/>
        <v>-0.02</v>
      </c>
      <c r="O52" s="19">
        <v>-2.0</v>
      </c>
      <c r="P52" s="18">
        <f t="shared" si="6"/>
        <v>-0.02</v>
      </c>
      <c r="Q52" s="19">
        <v>7.43</v>
      </c>
      <c r="R52" s="18">
        <f t="shared" si="7"/>
        <v>0.0743</v>
      </c>
      <c r="S52" s="19">
        <v>45.91</v>
      </c>
      <c r="T52" s="19">
        <v>46.42</v>
      </c>
      <c r="U52" s="14" t="s">
        <v>112</v>
      </c>
      <c r="V52" s="20">
        <f>VLOOKUP(A52, Total_de_acoes!A:B, 2, 0)</f>
        <v>268544014</v>
      </c>
      <c r="W52" s="21">
        <f t="shared" si="8"/>
        <v>-23535874.33</v>
      </c>
      <c r="X52" s="22" t="str">
        <f t="shared" si="9"/>
        <v>Desceu</v>
      </c>
    </row>
    <row r="53">
      <c r="A53" s="23" t="s">
        <v>113</v>
      </c>
      <c r="B53" s="15" t="str">
        <f>VLOOKUP(A53, Ticker!A:B, 2, 0)</f>
        <v>Eneva</v>
      </c>
      <c r="C53" s="15" t="str">
        <f>VLOOKUP(B53, ChatGPT!A:B, 2, 0)</f>
        <v>Energia</v>
      </c>
      <c r="D53" s="16">
        <f>VLOOKUP(B53, ChatGPT!A:C, 3, 0)</f>
        <v>15</v>
      </c>
      <c r="E53" s="16" t="str">
        <f t="shared" si="1"/>
        <v>Menos de 50 anos</v>
      </c>
      <c r="F53" s="24">
        <v>45317.0</v>
      </c>
      <c r="G53" s="18">
        <f t="shared" si="2"/>
        <v>12.89966924</v>
      </c>
      <c r="H53" s="25">
        <v>12.87</v>
      </c>
      <c r="I53" s="25">
        <v>-0.23</v>
      </c>
      <c r="J53" s="18">
        <f t="shared" si="3"/>
        <v>-0.0023</v>
      </c>
      <c r="K53" s="25">
        <v>1.42</v>
      </c>
      <c r="L53" s="18">
        <f t="shared" si="4"/>
        <v>0.0142</v>
      </c>
      <c r="M53" s="25">
        <v>-5.44</v>
      </c>
      <c r="N53" s="18">
        <f t="shared" si="5"/>
        <v>-0.0544</v>
      </c>
      <c r="O53" s="25">
        <v>-5.44</v>
      </c>
      <c r="P53" s="18">
        <f t="shared" si="6"/>
        <v>-0.0544</v>
      </c>
      <c r="Q53" s="25">
        <v>6.36</v>
      </c>
      <c r="R53" s="18">
        <f t="shared" si="7"/>
        <v>0.0636</v>
      </c>
      <c r="S53" s="25">
        <v>12.84</v>
      </c>
      <c r="T53" s="25">
        <v>13.09</v>
      </c>
      <c r="U53" s="23" t="s">
        <v>114</v>
      </c>
      <c r="V53" s="20">
        <f>VLOOKUP(A53, Total_de_acoes!A:B, 2, 0)</f>
        <v>1579130168</v>
      </c>
      <c r="W53" s="21">
        <f t="shared" si="8"/>
        <v>-46851590.76</v>
      </c>
      <c r="X53" s="22" t="str">
        <f t="shared" si="9"/>
        <v>Desceu</v>
      </c>
    </row>
    <row r="54">
      <c r="A54" s="14" t="s">
        <v>115</v>
      </c>
      <c r="B54" s="15" t="str">
        <f>VLOOKUP(A54, Ticker!A:B, 2, 0)</f>
        <v>WEG</v>
      </c>
      <c r="C54" s="15" t="str">
        <f>VLOOKUP(B54, ChatGPT!A:B, 2, 0)</f>
        <v>Indústria / Equipamentos</v>
      </c>
      <c r="D54" s="16">
        <f>VLOOKUP(B54, ChatGPT!A:C, 3, 0)</f>
        <v>60</v>
      </c>
      <c r="E54" s="16" t="str">
        <f t="shared" si="1"/>
        <v>Entre 50 e 100 anos</v>
      </c>
      <c r="F54" s="17">
        <v>45317.0</v>
      </c>
      <c r="G54" s="18">
        <f t="shared" si="2"/>
        <v>33.24979952</v>
      </c>
      <c r="H54" s="19">
        <v>33.17</v>
      </c>
      <c r="I54" s="19">
        <v>-0.24</v>
      </c>
      <c r="J54" s="18">
        <f t="shared" si="3"/>
        <v>-0.0024</v>
      </c>
      <c r="K54" s="19">
        <v>-0.93</v>
      </c>
      <c r="L54" s="18">
        <f t="shared" si="4"/>
        <v>-0.0093</v>
      </c>
      <c r="M54" s="19">
        <v>-10.13</v>
      </c>
      <c r="N54" s="18">
        <f t="shared" si="5"/>
        <v>-0.1013</v>
      </c>
      <c r="O54" s="19">
        <v>-10.13</v>
      </c>
      <c r="P54" s="18">
        <f t="shared" si="6"/>
        <v>-0.1013</v>
      </c>
      <c r="Q54" s="19">
        <v>-11.84</v>
      </c>
      <c r="R54" s="18">
        <f t="shared" si="7"/>
        <v>-0.1184</v>
      </c>
      <c r="S54" s="19">
        <v>33.04</v>
      </c>
      <c r="T54" s="19">
        <v>33.5</v>
      </c>
      <c r="U54" s="14" t="s">
        <v>116</v>
      </c>
      <c r="V54" s="20">
        <f>VLOOKUP(A54, Total_de_acoes!A:B, 2, 0)</f>
        <v>1481593024</v>
      </c>
      <c r="W54" s="21">
        <f t="shared" si="8"/>
        <v>-118230410.4</v>
      </c>
      <c r="X54" s="22" t="str">
        <f t="shared" si="9"/>
        <v>Desceu</v>
      </c>
    </row>
    <row r="55">
      <c r="A55" s="23" t="s">
        <v>117</v>
      </c>
      <c r="B55" s="15" t="str">
        <f>VLOOKUP(A55, Ticker!A:B, 2, 0)</f>
        <v>SLC Agrícola</v>
      </c>
      <c r="C55" s="15" t="str">
        <f>VLOOKUP(B55, ChatGPT!A:B, 2, 0)</f>
        <v>Agronegócio</v>
      </c>
      <c r="D55" s="16">
        <f>VLOOKUP(B55, ChatGPT!A:C, 3, 0)</f>
        <v>40</v>
      </c>
      <c r="E55" s="16" t="str">
        <f t="shared" si="1"/>
        <v>Menos de 50 anos</v>
      </c>
      <c r="F55" s="24">
        <v>45317.0</v>
      </c>
      <c r="G55" s="18">
        <f t="shared" si="2"/>
        <v>19.34837093</v>
      </c>
      <c r="H55" s="25">
        <v>19.3</v>
      </c>
      <c r="I55" s="25">
        <v>-0.25</v>
      </c>
      <c r="J55" s="18">
        <f t="shared" si="3"/>
        <v>-0.0025</v>
      </c>
      <c r="K55" s="25">
        <v>2.01</v>
      </c>
      <c r="L55" s="18">
        <f t="shared" si="4"/>
        <v>0.0201</v>
      </c>
      <c r="M55" s="25">
        <v>2.55</v>
      </c>
      <c r="N55" s="18">
        <f t="shared" si="5"/>
        <v>0.0255</v>
      </c>
      <c r="O55" s="25">
        <v>2.55</v>
      </c>
      <c r="P55" s="18">
        <f t="shared" si="6"/>
        <v>0.0255</v>
      </c>
      <c r="Q55" s="25">
        <v>-10.11</v>
      </c>
      <c r="R55" s="18">
        <f t="shared" si="7"/>
        <v>-0.1011</v>
      </c>
      <c r="S55" s="25">
        <v>19.1</v>
      </c>
      <c r="T55" s="25">
        <v>19.51</v>
      </c>
      <c r="U55" s="23" t="s">
        <v>118</v>
      </c>
      <c r="V55" s="20">
        <f>VLOOKUP(A55, Total_de_acoes!A:B, 2, 0)</f>
        <v>195751130</v>
      </c>
      <c r="W55" s="21">
        <f t="shared" si="8"/>
        <v>-9468663.682</v>
      </c>
      <c r="X55" s="22" t="str">
        <f t="shared" si="9"/>
        <v>Desceu</v>
      </c>
    </row>
    <row r="56">
      <c r="A56" s="14" t="s">
        <v>119</v>
      </c>
      <c r="B56" s="15" t="str">
        <f>VLOOKUP(A56, Ticker!A:B, 2, 0)</f>
        <v>ALOS3</v>
      </c>
      <c r="C56" s="26" t="s">
        <v>185</v>
      </c>
      <c r="D56" s="16"/>
      <c r="E56" s="16" t="str">
        <f t="shared" si="1"/>
        <v>Menos de 50 anos</v>
      </c>
      <c r="F56" s="17">
        <v>45317.0</v>
      </c>
      <c r="G56" s="18">
        <f t="shared" si="2"/>
        <v>24.68912956</v>
      </c>
      <c r="H56" s="19">
        <v>24.62</v>
      </c>
      <c r="I56" s="19">
        <v>-0.28</v>
      </c>
      <c r="J56" s="18">
        <f t="shared" si="3"/>
        <v>-0.0028</v>
      </c>
      <c r="K56" s="19">
        <v>0.53</v>
      </c>
      <c r="L56" s="18">
        <f t="shared" si="4"/>
        <v>0.0053</v>
      </c>
      <c r="M56" s="19">
        <v>-7.27</v>
      </c>
      <c r="N56" s="18">
        <f t="shared" si="5"/>
        <v>-0.0727</v>
      </c>
      <c r="O56" s="19">
        <v>-7.27</v>
      </c>
      <c r="P56" s="18">
        <f t="shared" si="6"/>
        <v>-0.0727</v>
      </c>
      <c r="Q56" s="19">
        <v>39.82</v>
      </c>
      <c r="R56" s="18">
        <f t="shared" si="7"/>
        <v>0.3982</v>
      </c>
      <c r="S56" s="19">
        <v>24.53</v>
      </c>
      <c r="T56" s="19">
        <v>24.92</v>
      </c>
      <c r="U56" s="14" t="s">
        <v>120</v>
      </c>
      <c r="V56" s="20">
        <f>VLOOKUP(A56, Total_de_acoes!A:B, 2, 0)</f>
        <v>532616595</v>
      </c>
      <c r="W56" s="21">
        <f t="shared" si="8"/>
        <v>-36819552.34</v>
      </c>
      <c r="X56" s="22" t="str">
        <f t="shared" si="9"/>
        <v>Desceu</v>
      </c>
    </row>
    <row r="57">
      <c r="A57" s="23" t="s">
        <v>121</v>
      </c>
      <c r="B57" s="15" t="str">
        <f>VLOOKUP(A57, Ticker!A:B, 2, 0)</f>
        <v>Grupo CCR</v>
      </c>
      <c r="C57" s="15" t="str">
        <f>VLOOKUP(B57, ChatGPT!A:B, 2, 0)</f>
        <v>Logística / Infraestrutura</v>
      </c>
      <c r="D57" s="16">
        <f>VLOOKUP(B57, ChatGPT!A:C, 3, 0)</f>
        <v>20</v>
      </c>
      <c r="E57" s="16" t="str">
        <f t="shared" si="1"/>
        <v>Menos de 50 anos</v>
      </c>
      <c r="F57" s="24">
        <v>45317.0</v>
      </c>
      <c r="G57" s="18">
        <f t="shared" si="2"/>
        <v>13.30992979</v>
      </c>
      <c r="H57" s="25">
        <v>13.27</v>
      </c>
      <c r="I57" s="25">
        <v>-0.3</v>
      </c>
      <c r="J57" s="18">
        <f t="shared" si="3"/>
        <v>-0.003</v>
      </c>
      <c r="K57" s="25">
        <v>-1.78</v>
      </c>
      <c r="L57" s="18">
        <f t="shared" si="4"/>
        <v>-0.0178</v>
      </c>
      <c r="M57" s="25">
        <v>-6.42</v>
      </c>
      <c r="N57" s="18">
        <f t="shared" si="5"/>
        <v>-0.0642</v>
      </c>
      <c r="O57" s="25">
        <v>-6.42</v>
      </c>
      <c r="P57" s="18">
        <f t="shared" si="6"/>
        <v>-0.0642</v>
      </c>
      <c r="Q57" s="25">
        <v>13.59</v>
      </c>
      <c r="R57" s="18">
        <f t="shared" si="7"/>
        <v>0.1359</v>
      </c>
      <c r="S57" s="25">
        <v>13.23</v>
      </c>
      <c r="T57" s="25">
        <v>13.41</v>
      </c>
      <c r="U57" s="23" t="s">
        <v>122</v>
      </c>
      <c r="V57" s="20">
        <f>VLOOKUP(A57, Total_de_acoes!A:B, 2, 0)</f>
        <v>995335937</v>
      </c>
      <c r="W57" s="21">
        <f t="shared" si="8"/>
        <v>-39743554.31</v>
      </c>
      <c r="X57" s="22" t="str">
        <f t="shared" si="9"/>
        <v>Desceu</v>
      </c>
    </row>
    <row r="58">
      <c r="A58" s="14" t="s">
        <v>123</v>
      </c>
      <c r="B58" s="15" t="str">
        <f>VLOOKUP(A58, Ticker!A:B, 2, 0)</f>
        <v>Cogna</v>
      </c>
      <c r="C58" s="15" t="str">
        <f>VLOOKUP(B58, ChatGPT!A:B, 2, 0)</f>
        <v>Educação</v>
      </c>
      <c r="D58" s="16">
        <f>VLOOKUP(B58, ChatGPT!A:C, 3, 0)</f>
        <v>50</v>
      </c>
      <c r="E58" s="16" t="str">
        <f t="shared" si="1"/>
        <v>Entre 50 e 100 anos</v>
      </c>
      <c r="F58" s="17">
        <v>45317.0</v>
      </c>
      <c r="G58" s="18">
        <f t="shared" si="2"/>
        <v>3.039727127</v>
      </c>
      <c r="H58" s="19">
        <v>3.03</v>
      </c>
      <c r="I58" s="19">
        <v>-0.32</v>
      </c>
      <c r="J58" s="18">
        <f t="shared" si="3"/>
        <v>-0.0032</v>
      </c>
      <c r="K58" s="19">
        <v>-5.02</v>
      </c>
      <c r="L58" s="18">
        <f t="shared" si="4"/>
        <v>-0.0502</v>
      </c>
      <c r="M58" s="19">
        <v>-13.18</v>
      </c>
      <c r="N58" s="18">
        <f t="shared" si="5"/>
        <v>-0.1318</v>
      </c>
      <c r="O58" s="19">
        <v>-13.18</v>
      </c>
      <c r="P58" s="18">
        <f t="shared" si="6"/>
        <v>-0.1318</v>
      </c>
      <c r="Q58" s="19">
        <v>37.73</v>
      </c>
      <c r="R58" s="18">
        <f t="shared" si="7"/>
        <v>0.3773</v>
      </c>
      <c r="S58" s="19">
        <v>2.97</v>
      </c>
      <c r="T58" s="19">
        <v>3.06</v>
      </c>
      <c r="U58" s="14" t="s">
        <v>124</v>
      </c>
      <c r="V58" s="20">
        <f>VLOOKUP(A58, Total_de_acoes!A:B, 2, 0)</f>
        <v>1814920980</v>
      </c>
      <c r="W58" s="21">
        <f t="shared" si="8"/>
        <v>-17653966.51</v>
      </c>
      <c r="X58" s="22" t="str">
        <f t="shared" si="9"/>
        <v>Desceu</v>
      </c>
    </row>
    <row r="59">
      <c r="A59" s="23" t="s">
        <v>125</v>
      </c>
      <c r="B59" s="15" t="str">
        <f>VLOOKUP(A59, Ticker!A:B, 2, 0)</f>
        <v>Transmissão Paulista</v>
      </c>
      <c r="C59" s="15" t="str">
        <f>VLOOKUP(B59, ChatGPT!A:B, 2, 0)</f>
        <v>Energia / Transmissão</v>
      </c>
      <c r="D59" s="16">
        <f>VLOOKUP(B59, ChatGPT!A:C, 3, 0)</f>
        <v>20</v>
      </c>
      <c r="E59" s="16" t="str">
        <f t="shared" si="1"/>
        <v>Menos de 50 anos</v>
      </c>
      <c r="F59" s="24">
        <v>45317.0</v>
      </c>
      <c r="G59" s="18">
        <f t="shared" si="2"/>
        <v>26.22753288</v>
      </c>
      <c r="H59" s="25">
        <v>26.12</v>
      </c>
      <c r="I59" s="25">
        <v>-0.41</v>
      </c>
      <c r="J59" s="18">
        <f t="shared" si="3"/>
        <v>-0.0041</v>
      </c>
      <c r="K59" s="25">
        <v>-1.25</v>
      </c>
      <c r="L59" s="18">
        <f t="shared" si="4"/>
        <v>-0.0125</v>
      </c>
      <c r="M59" s="25">
        <v>-1.43</v>
      </c>
      <c r="N59" s="18">
        <f t="shared" si="5"/>
        <v>-0.0143</v>
      </c>
      <c r="O59" s="25">
        <v>-1.43</v>
      </c>
      <c r="P59" s="18">
        <f t="shared" si="6"/>
        <v>-0.0143</v>
      </c>
      <c r="Q59" s="25">
        <v>22.81</v>
      </c>
      <c r="R59" s="18">
        <f t="shared" si="7"/>
        <v>0.2281</v>
      </c>
      <c r="S59" s="25">
        <v>26.09</v>
      </c>
      <c r="T59" s="25">
        <v>26.4</v>
      </c>
      <c r="U59" s="23" t="s">
        <v>126</v>
      </c>
      <c r="V59" s="20">
        <f>VLOOKUP(A59, Total_de_acoes!A:B, 2, 0)</f>
        <v>395801044</v>
      </c>
      <c r="W59" s="21">
        <f t="shared" si="8"/>
        <v>-42561628.08</v>
      </c>
      <c r="X59" s="22" t="str">
        <f t="shared" si="9"/>
        <v>Desceu</v>
      </c>
    </row>
    <row r="60">
      <c r="A60" s="14" t="s">
        <v>127</v>
      </c>
      <c r="B60" s="15" t="str">
        <f>VLOOKUP(A60, Ticker!A:B, 2, 0)</f>
        <v>Engie</v>
      </c>
      <c r="C60" s="15" t="str">
        <f>VLOOKUP(B60, ChatGPT!A:B, 2, 0)</f>
        <v>Energia</v>
      </c>
      <c r="D60" s="16">
        <f>VLOOKUP(B60, ChatGPT!A:C, 3, 0)</f>
        <v>25</v>
      </c>
      <c r="E60" s="16" t="str">
        <f t="shared" si="1"/>
        <v>Menos de 50 anos</v>
      </c>
      <c r="F60" s="17">
        <v>45317.0</v>
      </c>
      <c r="G60" s="18">
        <f t="shared" si="2"/>
        <v>41.22965642</v>
      </c>
      <c r="H60" s="19">
        <v>41.04</v>
      </c>
      <c r="I60" s="19">
        <v>-0.46</v>
      </c>
      <c r="J60" s="18">
        <f t="shared" si="3"/>
        <v>-0.0046</v>
      </c>
      <c r="K60" s="19">
        <v>0.56</v>
      </c>
      <c r="L60" s="18">
        <f t="shared" si="4"/>
        <v>0.0056</v>
      </c>
      <c r="M60" s="19">
        <v>-9.46</v>
      </c>
      <c r="N60" s="18">
        <f t="shared" si="5"/>
        <v>-0.0946</v>
      </c>
      <c r="O60" s="19">
        <v>-9.46</v>
      </c>
      <c r="P60" s="18">
        <f t="shared" si="6"/>
        <v>-0.0946</v>
      </c>
      <c r="Q60" s="19">
        <v>13.41</v>
      </c>
      <c r="R60" s="18">
        <f t="shared" si="7"/>
        <v>0.1341</v>
      </c>
      <c r="S60" s="19">
        <v>40.92</v>
      </c>
      <c r="T60" s="19">
        <v>41.59</v>
      </c>
      <c r="U60" s="14" t="s">
        <v>128</v>
      </c>
      <c r="V60" s="20">
        <f>VLOOKUP(A60, Total_de_acoes!A:B, 2, 0)</f>
        <v>255236961</v>
      </c>
      <c r="W60" s="21">
        <f t="shared" si="8"/>
        <v>-48407328.15</v>
      </c>
      <c r="X60" s="22" t="str">
        <f t="shared" si="9"/>
        <v>Desceu</v>
      </c>
    </row>
    <row r="61">
      <c r="A61" s="23" t="s">
        <v>129</v>
      </c>
      <c r="B61" s="15" t="str">
        <f>VLOOKUP(A61, Ticker!A:B, 2, 0)</f>
        <v>Vibra Energia</v>
      </c>
      <c r="C61" s="15" t="str">
        <f>VLOOKUP(B61, ChatGPT!A:B, 2, 0)</f>
        <v>Energia / Petróleo e Gás</v>
      </c>
      <c r="D61" s="16">
        <f>VLOOKUP(B61, ChatGPT!A:C, 3, 0)</f>
        <v>10</v>
      </c>
      <c r="E61" s="16" t="str">
        <f t="shared" si="1"/>
        <v>Menos de 50 anos</v>
      </c>
      <c r="F61" s="24">
        <v>45317.0</v>
      </c>
      <c r="G61" s="18">
        <f t="shared" si="2"/>
        <v>23.33969657</v>
      </c>
      <c r="H61" s="25">
        <v>23.23</v>
      </c>
      <c r="I61" s="25">
        <v>-0.47</v>
      </c>
      <c r="J61" s="18">
        <f t="shared" si="3"/>
        <v>-0.0047</v>
      </c>
      <c r="K61" s="25">
        <v>2.43</v>
      </c>
      <c r="L61" s="18">
        <f t="shared" si="4"/>
        <v>0.0243</v>
      </c>
      <c r="M61" s="25">
        <v>2.07</v>
      </c>
      <c r="N61" s="18">
        <f t="shared" si="5"/>
        <v>0.0207</v>
      </c>
      <c r="O61" s="25">
        <v>2.07</v>
      </c>
      <c r="P61" s="18">
        <f t="shared" si="6"/>
        <v>0.0207</v>
      </c>
      <c r="Q61" s="25">
        <v>50.65</v>
      </c>
      <c r="R61" s="18">
        <f t="shared" si="7"/>
        <v>0.5065</v>
      </c>
      <c r="S61" s="25">
        <v>22.97</v>
      </c>
      <c r="T61" s="25">
        <v>23.4</v>
      </c>
      <c r="U61" s="23" t="s">
        <v>130</v>
      </c>
      <c r="V61" s="20">
        <f>VLOOKUP(A61, Total_de_acoes!A:B, 2, 0)</f>
        <v>1114412532</v>
      </c>
      <c r="W61" s="21">
        <f t="shared" si="8"/>
        <v>-122247236.7</v>
      </c>
      <c r="X61" s="22" t="str">
        <f t="shared" si="9"/>
        <v>Desceu</v>
      </c>
    </row>
    <row r="62">
      <c r="A62" s="14" t="s">
        <v>131</v>
      </c>
      <c r="B62" s="15" t="str">
        <f>VLOOKUP(A62, Ticker!A:B, 2, 0)</f>
        <v>IRB Brasil RE</v>
      </c>
      <c r="C62" s="15" t="str">
        <f>VLOOKUP(B62, ChatGPT!A:B, 2, 0)</f>
        <v>Financeiro / Seguros</v>
      </c>
      <c r="D62" s="16">
        <f>VLOOKUP(B62, ChatGPT!A:C, 3, 0)</f>
        <v>85</v>
      </c>
      <c r="E62" s="16" t="str">
        <f t="shared" si="1"/>
        <v>Entre 50 e 100 anos</v>
      </c>
      <c r="F62" s="17">
        <v>45317.0</v>
      </c>
      <c r="G62" s="18">
        <f t="shared" si="2"/>
        <v>40.9159537</v>
      </c>
      <c r="H62" s="19">
        <v>40.65</v>
      </c>
      <c r="I62" s="19">
        <v>-0.65</v>
      </c>
      <c r="J62" s="18">
        <f t="shared" si="3"/>
        <v>-0.0065</v>
      </c>
      <c r="K62" s="19">
        <v>5.45</v>
      </c>
      <c r="L62" s="18">
        <f t="shared" si="4"/>
        <v>0.0545</v>
      </c>
      <c r="M62" s="19">
        <v>-8.24</v>
      </c>
      <c r="N62" s="18">
        <f t="shared" si="5"/>
        <v>-0.0824</v>
      </c>
      <c r="O62" s="19">
        <v>-8.24</v>
      </c>
      <c r="P62" s="18">
        <f t="shared" si="6"/>
        <v>-0.0824</v>
      </c>
      <c r="Q62" s="19">
        <v>73.5</v>
      </c>
      <c r="R62" s="18">
        <f t="shared" si="7"/>
        <v>0.735</v>
      </c>
      <c r="S62" s="19">
        <v>40.09</v>
      </c>
      <c r="T62" s="19">
        <v>41.4</v>
      </c>
      <c r="U62" s="14" t="s">
        <v>132</v>
      </c>
      <c r="V62" s="20">
        <f>VLOOKUP(A62, Total_de_acoes!A:B, 2, 0)</f>
        <v>81838843</v>
      </c>
      <c r="W62" s="21">
        <f t="shared" si="8"/>
        <v>-21765343.02</v>
      </c>
      <c r="X62" s="22" t="str">
        <f t="shared" si="9"/>
        <v>Desceu</v>
      </c>
    </row>
    <row r="63">
      <c r="A63" s="23" t="s">
        <v>133</v>
      </c>
      <c r="B63" s="15" t="str">
        <f>VLOOKUP(A63, Ticker!A:B, 2, 0)</f>
        <v>Eletrobras</v>
      </c>
      <c r="C63" s="15" t="str">
        <f>VLOOKUP(B63, ChatGPT!A:B, 2, 0)</f>
        <v>Energia</v>
      </c>
      <c r="D63" s="16">
        <f>VLOOKUP(B63, ChatGPT!A:C, 3, 0)</f>
        <v>60</v>
      </c>
      <c r="E63" s="16" t="str">
        <f t="shared" si="1"/>
        <v>Entre 50 e 100 anos</v>
      </c>
      <c r="F63" s="24">
        <v>45317.0</v>
      </c>
      <c r="G63" s="18">
        <f t="shared" si="2"/>
        <v>41.12732763</v>
      </c>
      <c r="H63" s="25">
        <v>40.86</v>
      </c>
      <c r="I63" s="25">
        <v>-0.65</v>
      </c>
      <c r="J63" s="18">
        <f t="shared" si="3"/>
        <v>-0.0065</v>
      </c>
      <c r="K63" s="25">
        <v>-2.04</v>
      </c>
      <c r="L63" s="18">
        <f t="shared" si="4"/>
        <v>-0.0204</v>
      </c>
      <c r="M63" s="25">
        <v>-3.7</v>
      </c>
      <c r="N63" s="18">
        <f t="shared" si="5"/>
        <v>-0.037</v>
      </c>
      <c r="O63" s="25">
        <v>-3.7</v>
      </c>
      <c r="P63" s="18">
        <f t="shared" si="6"/>
        <v>-0.037</v>
      </c>
      <c r="Q63" s="25">
        <v>-3.64</v>
      </c>
      <c r="R63" s="18">
        <f t="shared" si="7"/>
        <v>-0.0364</v>
      </c>
      <c r="S63" s="25">
        <v>40.86</v>
      </c>
      <c r="T63" s="25">
        <v>41.44</v>
      </c>
      <c r="U63" s="23" t="s">
        <v>134</v>
      </c>
      <c r="V63" s="20">
        <f>VLOOKUP(A63, Total_de_acoes!A:B, 2, 0)</f>
        <v>1980568384</v>
      </c>
      <c r="W63" s="21">
        <f t="shared" si="8"/>
        <v>-529460651.3</v>
      </c>
      <c r="X63" s="22" t="str">
        <f t="shared" si="9"/>
        <v>Desceu</v>
      </c>
    </row>
    <row r="64">
      <c r="A64" s="14" t="s">
        <v>135</v>
      </c>
      <c r="B64" s="15" t="str">
        <f>VLOOKUP(A64, Ticker!A:B, 2, 0)</f>
        <v>Petz</v>
      </c>
      <c r="C64" s="15" t="str">
        <f>VLOOKUP(B64, ChatGPT!A:B, 2, 0)</f>
        <v>Varejo / Pet Shop</v>
      </c>
      <c r="D64" s="16">
        <f>VLOOKUP(B64, ChatGPT!A:C, 3, 0)</f>
        <v>15</v>
      </c>
      <c r="E64" s="16" t="str">
        <f t="shared" si="1"/>
        <v>Menos de 50 anos</v>
      </c>
      <c r="F64" s="17">
        <v>45317.0</v>
      </c>
      <c r="G64" s="18">
        <f t="shared" si="2"/>
        <v>3.429839605</v>
      </c>
      <c r="H64" s="19">
        <v>3.4</v>
      </c>
      <c r="I64" s="19">
        <v>-0.87</v>
      </c>
      <c r="J64" s="18">
        <f t="shared" si="3"/>
        <v>-0.0087</v>
      </c>
      <c r="K64" s="19">
        <v>-4.23</v>
      </c>
      <c r="L64" s="18">
        <f t="shared" si="4"/>
        <v>-0.0423</v>
      </c>
      <c r="M64" s="19">
        <v>-13.92</v>
      </c>
      <c r="N64" s="18">
        <f t="shared" si="5"/>
        <v>-0.1392</v>
      </c>
      <c r="O64" s="19">
        <v>-13.92</v>
      </c>
      <c r="P64" s="18">
        <f t="shared" si="6"/>
        <v>-0.1392</v>
      </c>
      <c r="Q64" s="19">
        <v>-46.63</v>
      </c>
      <c r="R64" s="18">
        <f t="shared" si="7"/>
        <v>-0.4663</v>
      </c>
      <c r="S64" s="19">
        <v>3.35</v>
      </c>
      <c r="T64" s="19">
        <v>3.47</v>
      </c>
      <c r="U64" s="14" t="s">
        <v>136</v>
      </c>
      <c r="V64" s="20">
        <f>VLOOKUP(A64, Total_de_acoes!A:B, 2, 0)</f>
        <v>309729428</v>
      </c>
      <c r="W64" s="21">
        <f t="shared" si="8"/>
        <v>-9242203.652</v>
      </c>
      <c r="X64" s="22" t="str">
        <f t="shared" si="9"/>
        <v>Desceu</v>
      </c>
    </row>
    <row r="65">
      <c r="A65" s="23" t="s">
        <v>137</v>
      </c>
      <c r="B65" s="15" t="str">
        <f>VLOOKUP(A65, Ticker!A:B, 2, 0)</f>
        <v>EZTEC</v>
      </c>
      <c r="C65" s="15" t="str">
        <f>VLOOKUP(B65, ChatGPT!A:B, 2, 0)</f>
        <v>Imobiliário / Construção</v>
      </c>
      <c r="D65" s="16">
        <f>VLOOKUP(B65, ChatGPT!A:C, 3, 0)</f>
        <v>40</v>
      </c>
      <c r="E65" s="16" t="str">
        <f t="shared" si="1"/>
        <v>Menos de 50 anos</v>
      </c>
      <c r="F65" s="24">
        <v>45317.0</v>
      </c>
      <c r="G65" s="18">
        <f t="shared" si="2"/>
        <v>16.05935197</v>
      </c>
      <c r="H65" s="25">
        <v>15.91</v>
      </c>
      <c r="I65" s="25">
        <v>-0.93</v>
      </c>
      <c r="J65" s="18">
        <f t="shared" si="3"/>
        <v>-0.0093</v>
      </c>
      <c r="K65" s="25">
        <v>-2.39</v>
      </c>
      <c r="L65" s="18">
        <f t="shared" si="4"/>
        <v>-0.0239</v>
      </c>
      <c r="M65" s="25">
        <v>-14.92</v>
      </c>
      <c r="N65" s="18">
        <f t="shared" si="5"/>
        <v>-0.1492</v>
      </c>
      <c r="O65" s="25">
        <v>-14.92</v>
      </c>
      <c r="P65" s="18">
        <f t="shared" si="6"/>
        <v>-0.1492</v>
      </c>
      <c r="Q65" s="25">
        <v>8.93</v>
      </c>
      <c r="R65" s="18">
        <f t="shared" si="7"/>
        <v>0.0893</v>
      </c>
      <c r="S65" s="25">
        <v>15.85</v>
      </c>
      <c r="T65" s="25">
        <v>16.31</v>
      </c>
      <c r="U65" s="23" t="s">
        <v>138</v>
      </c>
      <c r="V65" s="20">
        <f>VLOOKUP(A65, Total_de_acoes!A:B, 2, 0)</f>
        <v>91514307</v>
      </c>
      <c r="W65" s="21">
        <f t="shared" si="8"/>
        <v>-13667842.34</v>
      </c>
      <c r="X65" s="22" t="str">
        <f t="shared" si="9"/>
        <v>Desceu</v>
      </c>
    </row>
    <row r="66">
      <c r="A66" s="14" t="s">
        <v>139</v>
      </c>
      <c r="B66" s="15" t="str">
        <f>VLOOKUP(A66, Ticker!A:B, 2, 0)</f>
        <v>Fleury</v>
      </c>
      <c r="C66" s="15" t="str">
        <f>VLOOKUP(B66, ChatGPT!A:B, 2, 0)</f>
        <v>Saúde / Diagnósticos</v>
      </c>
      <c r="D66" s="16">
        <f>VLOOKUP(B66, ChatGPT!A:C, 3, 0)</f>
        <v>95</v>
      </c>
      <c r="E66" s="16" t="str">
        <f t="shared" si="1"/>
        <v>Entre 50 e 100 anos</v>
      </c>
      <c r="F66" s="17">
        <v>45317.0</v>
      </c>
      <c r="G66" s="18">
        <f t="shared" si="2"/>
        <v>16.66835136</v>
      </c>
      <c r="H66" s="19">
        <v>16.49</v>
      </c>
      <c r="I66" s="19">
        <v>-1.07</v>
      </c>
      <c r="J66" s="18">
        <f t="shared" si="3"/>
        <v>-0.0107</v>
      </c>
      <c r="K66" s="19">
        <v>1.04</v>
      </c>
      <c r="L66" s="18">
        <f t="shared" si="4"/>
        <v>0.0104</v>
      </c>
      <c r="M66" s="19">
        <v>-8.59</v>
      </c>
      <c r="N66" s="18">
        <f t="shared" si="5"/>
        <v>-0.0859</v>
      </c>
      <c r="O66" s="19">
        <v>-8.59</v>
      </c>
      <c r="P66" s="18">
        <f t="shared" si="6"/>
        <v>-0.0859</v>
      </c>
      <c r="Q66" s="19">
        <v>17.16</v>
      </c>
      <c r="R66" s="18">
        <f t="shared" si="7"/>
        <v>0.1716</v>
      </c>
      <c r="S66" s="19">
        <v>16.4</v>
      </c>
      <c r="T66" s="19">
        <v>16.71</v>
      </c>
      <c r="U66" s="14" t="s">
        <v>82</v>
      </c>
      <c r="V66" s="20">
        <f>VLOOKUP(A66, Total_de_acoes!A:B, 2, 0)</f>
        <v>240822651</v>
      </c>
      <c r="W66" s="21">
        <f t="shared" si="8"/>
        <v>-42951047.22</v>
      </c>
      <c r="X66" s="22" t="str">
        <f t="shared" si="9"/>
        <v>Desceu</v>
      </c>
    </row>
    <row r="67">
      <c r="A67" s="23" t="s">
        <v>140</v>
      </c>
      <c r="B67" s="15" t="str">
        <f>VLOOKUP(A67, Ticker!A:B, 2, 0)</f>
        <v>Grupo Soma</v>
      </c>
      <c r="C67" s="15" t="str">
        <f>VLOOKUP(B67, ChatGPT!A:B, 2, 0)</f>
        <v>Varejo / Moda</v>
      </c>
      <c r="D67" s="16">
        <f>VLOOKUP(B67, ChatGPT!A:C, 3, 0)</f>
        <v>10</v>
      </c>
      <c r="E67" s="16" t="str">
        <f t="shared" si="1"/>
        <v>Menos de 50 anos</v>
      </c>
      <c r="F67" s="24">
        <v>45317.0</v>
      </c>
      <c r="G67" s="18">
        <f t="shared" si="2"/>
        <v>7.039400385</v>
      </c>
      <c r="H67" s="25">
        <v>6.95</v>
      </c>
      <c r="I67" s="25">
        <v>-1.27</v>
      </c>
      <c r="J67" s="18">
        <f t="shared" si="3"/>
        <v>-0.0127</v>
      </c>
      <c r="K67" s="25">
        <v>-0.43</v>
      </c>
      <c r="L67" s="18">
        <f t="shared" si="4"/>
        <v>-0.0043</v>
      </c>
      <c r="M67" s="25">
        <v>-6.71</v>
      </c>
      <c r="N67" s="18">
        <f t="shared" si="5"/>
        <v>-0.0671</v>
      </c>
      <c r="O67" s="25">
        <v>-6.71</v>
      </c>
      <c r="P67" s="18">
        <f t="shared" si="6"/>
        <v>-0.0671</v>
      </c>
      <c r="Q67" s="25">
        <v>-30.01</v>
      </c>
      <c r="R67" s="18">
        <f t="shared" si="7"/>
        <v>-0.3001</v>
      </c>
      <c r="S67" s="25">
        <v>6.87</v>
      </c>
      <c r="T67" s="25">
        <v>7.14</v>
      </c>
      <c r="U67" s="23" t="s">
        <v>141</v>
      </c>
      <c r="V67" s="20">
        <f>VLOOKUP(A67, Total_de_acoes!A:B, 2, 0)</f>
        <v>496029967</v>
      </c>
      <c r="W67" s="21">
        <f t="shared" si="8"/>
        <v>-44345269.97</v>
      </c>
      <c r="X67" s="22" t="str">
        <f t="shared" si="9"/>
        <v>Desceu</v>
      </c>
    </row>
    <row r="68">
      <c r="A68" s="14" t="s">
        <v>142</v>
      </c>
      <c r="B68" s="15" t="str">
        <f>VLOOKUP(A68, Ticker!A:B, 2, 0)</f>
        <v>Alpargatas</v>
      </c>
      <c r="C68" s="15" t="str">
        <f>VLOOKUP(B68, ChatGPT!A:B, 2, 0)</f>
        <v>Varejo / Calçados</v>
      </c>
      <c r="D68" s="16">
        <f>VLOOKUP(B68, ChatGPT!A:C, 3, 0)</f>
        <v>115</v>
      </c>
      <c r="E68" s="16" t="str">
        <f t="shared" si="1"/>
        <v>Mais de 100 anos</v>
      </c>
      <c r="F68" s="17">
        <v>45317.0</v>
      </c>
      <c r="G68" s="18">
        <f t="shared" si="2"/>
        <v>8.789537713</v>
      </c>
      <c r="H68" s="19">
        <v>8.67</v>
      </c>
      <c r="I68" s="19">
        <v>-1.36</v>
      </c>
      <c r="J68" s="18">
        <f t="shared" si="3"/>
        <v>-0.0136</v>
      </c>
      <c r="K68" s="19">
        <v>4.08</v>
      </c>
      <c r="L68" s="18">
        <f t="shared" si="4"/>
        <v>0.0408</v>
      </c>
      <c r="M68" s="19">
        <v>-14.33</v>
      </c>
      <c r="N68" s="18">
        <f t="shared" si="5"/>
        <v>-0.1433</v>
      </c>
      <c r="O68" s="19">
        <v>-14.33</v>
      </c>
      <c r="P68" s="18">
        <f t="shared" si="6"/>
        <v>-0.1433</v>
      </c>
      <c r="Q68" s="19">
        <v>-34.52</v>
      </c>
      <c r="R68" s="18">
        <f t="shared" si="7"/>
        <v>-0.3452</v>
      </c>
      <c r="S68" s="19">
        <v>8.62</v>
      </c>
      <c r="T68" s="19">
        <v>8.8</v>
      </c>
      <c r="U68" s="14" t="s">
        <v>143</v>
      </c>
      <c r="V68" s="20">
        <f>VLOOKUP(A68, Total_de_acoes!A:B, 2, 0)</f>
        <v>176733968</v>
      </c>
      <c r="W68" s="21">
        <f t="shared" si="8"/>
        <v>-21126374.33</v>
      </c>
      <c r="X68" s="22" t="str">
        <f t="shared" si="9"/>
        <v>Desceu</v>
      </c>
    </row>
    <row r="69">
      <c r="A69" s="23" t="s">
        <v>144</v>
      </c>
      <c r="B69" s="15" t="str">
        <f>VLOOKUP(A69, Ticker!A:B, 2, 0)</f>
        <v>Cyrela</v>
      </c>
      <c r="C69" s="15" t="str">
        <f>VLOOKUP(B69, ChatGPT!A:B, 2, 0)</f>
        <v>Imobiliário / Construção</v>
      </c>
      <c r="D69" s="16">
        <f>VLOOKUP(B69, ChatGPT!A:C, 3, 0)</f>
        <v>60</v>
      </c>
      <c r="E69" s="16" t="str">
        <f t="shared" si="1"/>
        <v>Entre 50 e 100 anos</v>
      </c>
      <c r="F69" s="24">
        <v>45317.0</v>
      </c>
      <c r="G69" s="18">
        <f t="shared" si="2"/>
        <v>23.15960251</v>
      </c>
      <c r="H69" s="25">
        <v>22.84</v>
      </c>
      <c r="I69" s="25">
        <v>-1.38</v>
      </c>
      <c r="J69" s="18">
        <f t="shared" si="3"/>
        <v>-0.0138</v>
      </c>
      <c r="K69" s="25">
        <v>2.38</v>
      </c>
      <c r="L69" s="18">
        <f t="shared" si="4"/>
        <v>0.0238</v>
      </c>
      <c r="M69" s="25">
        <v>-5.15</v>
      </c>
      <c r="N69" s="18">
        <f t="shared" si="5"/>
        <v>-0.0515</v>
      </c>
      <c r="O69" s="25">
        <v>-5.15</v>
      </c>
      <c r="P69" s="18">
        <f t="shared" si="6"/>
        <v>-0.0515</v>
      </c>
      <c r="Q69" s="25">
        <v>60.09</v>
      </c>
      <c r="R69" s="18">
        <f t="shared" si="7"/>
        <v>0.6009</v>
      </c>
      <c r="S69" s="25">
        <v>22.62</v>
      </c>
      <c r="T69" s="25">
        <v>23.34</v>
      </c>
      <c r="U69" s="23" t="s">
        <v>145</v>
      </c>
      <c r="V69" s="20">
        <f>VLOOKUP(A69, Total_de_acoes!A:B, 2, 0)</f>
        <v>265784616</v>
      </c>
      <c r="W69" s="21">
        <f t="shared" si="8"/>
        <v>-84945431.64</v>
      </c>
      <c r="X69" s="22" t="str">
        <f t="shared" si="9"/>
        <v>Desceu</v>
      </c>
    </row>
    <row r="70">
      <c r="A70" s="14" t="s">
        <v>146</v>
      </c>
      <c r="B70" s="15" t="str">
        <f>VLOOKUP(A70, Ticker!A:B, 2, 0)</f>
        <v>Embraer</v>
      </c>
      <c r="C70" s="15" t="str">
        <f>VLOOKUP(B70, ChatGPT!A:B, 2, 0)</f>
        <v>Indústria / Aeronáutica</v>
      </c>
      <c r="D70" s="16">
        <f>VLOOKUP(B70, ChatGPT!A:C, 3, 0)</f>
        <v>50</v>
      </c>
      <c r="E70" s="16" t="str">
        <f t="shared" si="1"/>
        <v>Entre 50 e 100 anos</v>
      </c>
      <c r="F70" s="17">
        <v>45317.0</v>
      </c>
      <c r="G70" s="18">
        <f t="shared" si="2"/>
        <v>22.71805274</v>
      </c>
      <c r="H70" s="19">
        <v>22.4</v>
      </c>
      <c r="I70" s="19">
        <v>-1.4</v>
      </c>
      <c r="J70" s="18">
        <f t="shared" si="3"/>
        <v>-0.014</v>
      </c>
      <c r="K70" s="19">
        <v>5.02</v>
      </c>
      <c r="L70" s="18">
        <f t="shared" si="4"/>
        <v>0.0502</v>
      </c>
      <c r="M70" s="19">
        <v>0.04</v>
      </c>
      <c r="N70" s="18">
        <f t="shared" si="5"/>
        <v>0.0004</v>
      </c>
      <c r="O70" s="19">
        <v>0.04</v>
      </c>
      <c r="P70" s="18">
        <f t="shared" si="6"/>
        <v>0.0004</v>
      </c>
      <c r="Q70" s="19">
        <v>34.29</v>
      </c>
      <c r="R70" s="18">
        <f t="shared" si="7"/>
        <v>0.3429</v>
      </c>
      <c r="S70" s="19">
        <v>22.26</v>
      </c>
      <c r="T70" s="19">
        <v>22.92</v>
      </c>
      <c r="U70" s="14" t="s">
        <v>147</v>
      </c>
      <c r="V70" s="20">
        <f>VLOOKUP(A70, Total_de_acoes!A:B, 2, 0)</f>
        <v>734632705</v>
      </c>
      <c r="W70" s="21">
        <f t="shared" si="8"/>
        <v>-233651943.5</v>
      </c>
      <c r="X70" s="22" t="str">
        <f t="shared" si="9"/>
        <v>Desceu</v>
      </c>
    </row>
    <row r="71">
      <c r="A71" s="23" t="s">
        <v>148</v>
      </c>
      <c r="B71" s="15" t="str">
        <f>VLOOKUP(A71, Ticker!A:B, 2, 0)</f>
        <v>Natura</v>
      </c>
      <c r="C71" s="15" t="str">
        <f>VLOOKUP(B71, ChatGPT!A:B, 2, 0)</f>
        <v>Varejo / Cosméticos</v>
      </c>
      <c r="D71" s="16">
        <f>VLOOKUP(B71, ChatGPT!A:C, 3, 0)</f>
        <v>50</v>
      </c>
      <c r="E71" s="16" t="str">
        <f t="shared" si="1"/>
        <v>Entre 50 e 100 anos</v>
      </c>
      <c r="F71" s="24">
        <v>45317.0</v>
      </c>
      <c r="G71" s="18">
        <f t="shared" si="2"/>
        <v>16.1983974</v>
      </c>
      <c r="H71" s="25">
        <v>15.97</v>
      </c>
      <c r="I71" s="25">
        <v>-1.41</v>
      </c>
      <c r="J71" s="18">
        <f t="shared" si="3"/>
        <v>-0.0141</v>
      </c>
      <c r="K71" s="25">
        <v>-7.37</v>
      </c>
      <c r="L71" s="18">
        <f t="shared" si="4"/>
        <v>-0.0737</v>
      </c>
      <c r="M71" s="25">
        <v>-5.45</v>
      </c>
      <c r="N71" s="18">
        <f t="shared" si="5"/>
        <v>-0.0545</v>
      </c>
      <c r="O71" s="25">
        <v>-5.45</v>
      </c>
      <c r="P71" s="18">
        <f t="shared" si="6"/>
        <v>-0.0545</v>
      </c>
      <c r="Q71" s="25">
        <v>23.51</v>
      </c>
      <c r="R71" s="18">
        <f t="shared" si="7"/>
        <v>0.2351</v>
      </c>
      <c r="S71" s="25">
        <v>15.84</v>
      </c>
      <c r="T71" s="25">
        <v>16.43</v>
      </c>
      <c r="U71" s="23" t="s">
        <v>149</v>
      </c>
      <c r="V71" s="20">
        <f>VLOOKUP(A71, Total_de_acoes!A:B, 2, 0)</f>
        <v>846244302</v>
      </c>
      <c r="W71" s="21">
        <f t="shared" si="8"/>
        <v>-193280001.2</v>
      </c>
      <c r="X71" s="22" t="str">
        <f t="shared" si="9"/>
        <v>Desceu</v>
      </c>
    </row>
    <row r="72">
      <c r="A72" s="14" t="s">
        <v>150</v>
      </c>
      <c r="B72" s="15" t="str">
        <f>VLOOKUP(A72, Ticker!A:B, 2, 0)</f>
        <v>Assaí</v>
      </c>
      <c r="C72" s="15" t="str">
        <f>VLOOKUP(B72, ChatGPT!A:B, 2, 0)</f>
        <v>Varejo / Atacarejo</v>
      </c>
      <c r="D72" s="16">
        <f>VLOOKUP(B72, ChatGPT!A:C, 3, 0)</f>
        <v>45</v>
      </c>
      <c r="E72" s="16" t="str">
        <f t="shared" si="1"/>
        <v>Menos de 50 anos</v>
      </c>
      <c r="F72" s="17">
        <v>45317.0</v>
      </c>
      <c r="G72" s="18">
        <f t="shared" si="2"/>
        <v>13.99878271</v>
      </c>
      <c r="H72" s="19">
        <v>13.8</v>
      </c>
      <c r="I72" s="19">
        <v>-1.42</v>
      </c>
      <c r="J72" s="18">
        <f t="shared" si="3"/>
        <v>-0.0142</v>
      </c>
      <c r="K72" s="19">
        <v>-3.5</v>
      </c>
      <c r="L72" s="18">
        <f t="shared" si="4"/>
        <v>-0.035</v>
      </c>
      <c r="M72" s="19">
        <v>2.0</v>
      </c>
      <c r="N72" s="18">
        <f t="shared" si="5"/>
        <v>0.02</v>
      </c>
      <c r="O72" s="19">
        <v>2.0</v>
      </c>
      <c r="P72" s="18">
        <f t="shared" si="6"/>
        <v>0.02</v>
      </c>
      <c r="Q72" s="19">
        <v>-34.02</v>
      </c>
      <c r="R72" s="18">
        <f t="shared" si="7"/>
        <v>-0.3402</v>
      </c>
      <c r="S72" s="19">
        <v>13.63</v>
      </c>
      <c r="T72" s="19">
        <v>14.0</v>
      </c>
      <c r="U72" s="14" t="s">
        <v>151</v>
      </c>
      <c r="V72" s="20">
        <f>VLOOKUP(A72, Total_de_acoes!A:B, 2, 0)</f>
        <v>1349217892</v>
      </c>
      <c r="W72" s="21">
        <f t="shared" si="8"/>
        <v>-268201195.1</v>
      </c>
      <c r="X72" s="22" t="str">
        <f t="shared" si="9"/>
        <v>Desceu</v>
      </c>
    </row>
    <row r="73">
      <c r="A73" s="23" t="s">
        <v>152</v>
      </c>
      <c r="B73" s="15" t="str">
        <f>VLOOKUP(A73, Ticker!A:B, 2, 0)</f>
        <v>B3</v>
      </c>
      <c r="C73" s="15" t="str">
        <f>VLOOKUP(B73, ChatGPT!A:B, 2, 0)</f>
        <v>Financeiro / Bolsa de Valores</v>
      </c>
      <c r="D73" s="16">
        <f>VLOOKUP(B73, ChatGPT!A:C, 3, 0)</f>
        <v>19</v>
      </c>
      <c r="E73" s="16" t="str">
        <f t="shared" si="1"/>
        <v>Menos de 50 anos</v>
      </c>
      <c r="F73" s="24">
        <v>45317.0</v>
      </c>
      <c r="G73" s="18">
        <f t="shared" si="2"/>
        <v>13.4295002</v>
      </c>
      <c r="H73" s="25">
        <v>13.22</v>
      </c>
      <c r="I73" s="25">
        <v>-1.56</v>
      </c>
      <c r="J73" s="18">
        <f t="shared" si="3"/>
        <v>-0.0156</v>
      </c>
      <c r="K73" s="25">
        <v>-4.13</v>
      </c>
      <c r="L73" s="18">
        <f t="shared" si="4"/>
        <v>-0.0413</v>
      </c>
      <c r="M73" s="25">
        <v>-8.58</v>
      </c>
      <c r="N73" s="18">
        <f t="shared" si="5"/>
        <v>-0.0858</v>
      </c>
      <c r="O73" s="25">
        <v>-8.58</v>
      </c>
      <c r="P73" s="18">
        <f t="shared" si="6"/>
        <v>-0.0858</v>
      </c>
      <c r="Q73" s="25">
        <v>3.88</v>
      </c>
      <c r="R73" s="18">
        <f t="shared" si="7"/>
        <v>0.0388</v>
      </c>
      <c r="S73" s="25">
        <v>13.18</v>
      </c>
      <c r="T73" s="25">
        <v>13.42</v>
      </c>
      <c r="U73" s="23" t="s">
        <v>153</v>
      </c>
      <c r="V73" s="20">
        <f>VLOOKUP(A73, Total_de_acoes!A:B, 2, 0)</f>
        <v>5602790110</v>
      </c>
      <c r="W73" s="21">
        <f t="shared" si="8"/>
        <v>-1173785666</v>
      </c>
      <c r="X73" s="22" t="str">
        <f t="shared" si="9"/>
        <v>Desceu</v>
      </c>
    </row>
    <row r="74">
      <c r="A74" s="14" t="s">
        <v>154</v>
      </c>
      <c r="B74" s="15" t="str">
        <f>VLOOKUP(A74, Ticker!A:B, 2, 0)</f>
        <v>Hypera</v>
      </c>
      <c r="C74" s="15" t="str">
        <f>VLOOKUP(B74, ChatGPT!A:B, 2, 0)</f>
        <v>Saúde / Farmacêutica</v>
      </c>
      <c r="D74" s="16">
        <f>VLOOKUP(B74, ChatGPT!A:C, 3, 0)</f>
        <v>20</v>
      </c>
      <c r="E74" s="16" t="str">
        <f t="shared" si="1"/>
        <v>Menos de 50 anos</v>
      </c>
      <c r="F74" s="17">
        <v>45317.0</v>
      </c>
      <c r="G74" s="18">
        <f t="shared" si="2"/>
        <v>31.58857607</v>
      </c>
      <c r="H74" s="19">
        <v>31.08</v>
      </c>
      <c r="I74" s="19">
        <v>-1.61</v>
      </c>
      <c r="J74" s="18">
        <f t="shared" si="3"/>
        <v>-0.0161</v>
      </c>
      <c r="K74" s="19">
        <v>-5.27</v>
      </c>
      <c r="L74" s="18">
        <f t="shared" si="4"/>
        <v>-0.0527</v>
      </c>
      <c r="M74" s="19">
        <v>-13.06</v>
      </c>
      <c r="N74" s="18">
        <f t="shared" si="5"/>
        <v>-0.1306</v>
      </c>
      <c r="O74" s="19">
        <v>-13.06</v>
      </c>
      <c r="P74" s="18">
        <f t="shared" si="6"/>
        <v>-0.1306</v>
      </c>
      <c r="Q74" s="19">
        <v>-27.52</v>
      </c>
      <c r="R74" s="18">
        <f t="shared" si="7"/>
        <v>-0.2752</v>
      </c>
      <c r="S74" s="19">
        <v>30.91</v>
      </c>
      <c r="T74" s="19">
        <v>31.72</v>
      </c>
      <c r="U74" s="14" t="s">
        <v>155</v>
      </c>
      <c r="V74" s="20">
        <f>VLOOKUP(A74, Total_de_acoes!A:B, 2, 0)</f>
        <v>409490388</v>
      </c>
      <c r="W74" s="21">
        <f t="shared" si="8"/>
        <v>-208257014.2</v>
      </c>
      <c r="X74" s="22" t="str">
        <f t="shared" si="9"/>
        <v>Desceu</v>
      </c>
    </row>
    <row r="75">
      <c r="A75" s="23" t="s">
        <v>156</v>
      </c>
      <c r="B75" s="15" t="str">
        <f>VLOOKUP(A75, Ticker!A:B, 2, 0)</f>
        <v>São Martinho</v>
      </c>
      <c r="C75" s="15" t="str">
        <f>VLOOKUP(B75, ChatGPT!A:B, 2, 0)</f>
        <v>Agronegócio / Açúcar e Etanol</v>
      </c>
      <c r="D75" s="16">
        <f>VLOOKUP(B75, ChatGPT!A:C, 3, 0)</f>
        <v>15</v>
      </c>
      <c r="E75" s="16" t="str">
        <f t="shared" si="1"/>
        <v>Menos de 50 anos</v>
      </c>
      <c r="F75" s="24">
        <v>45317.0</v>
      </c>
      <c r="G75" s="18">
        <f t="shared" si="2"/>
        <v>28.75790332</v>
      </c>
      <c r="H75" s="25">
        <v>28.2</v>
      </c>
      <c r="I75" s="25">
        <v>-1.94</v>
      </c>
      <c r="J75" s="18">
        <f t="shared" si="3"/>
        <v>-0.0194</v>
      </c>
      <c r="K75" s="25">
        <v>0.36</v>
      </c>
      <c r="L75" s="18">
        <f t="shared" si="4"/>
        <v>0.0036</v>
      </c>
      <c r="M75" s="25">
        <v>-3.79</v>
      </c>
      <c r="N75" s="18">
        <f t="shared" si="5"/>
        <v>-0.0379</v>
      </c>
      <c r="O75" s="25">
        <v>-3.79</v>
      </c>
      <c r="P75" s="18">
        <f t="shared" si="6"/>
        <v>-0.0379</v>
      </c>
      <c r="Q75" s="25">
        <v>17.1</v>
      </c>
      <c r="R75" s="18">
        <f t="shared" si="7"/>
        <v>0.171</v>
      </c>
      <c r="S75" s="25">
        <v>28.13</v>
      </c>
      <c r="T75" s="25">
        <v>28.97</v>
      </c>
      <c r="U75" s="23" t="s">
        <v>157</v>
      </c>
      <c r="V75" s="20">
        <f>VLOOKUP(A75, Total_de_acoes!A:B, 2, 0)</f>
        <v>142377330</v>
      </c>
      <c r="W75" s="21">
        <f t="shared" si="8"/>
        <v>-79432785.74</v>
      </c>
      <c r="X75" s="22" t="str">
        <f t="shared" si="9"/>
        <v>Desceu</v>
      </c>
    </row>
    <row r="76">
      <c r="A76" s="14" t="s">
        <v>158</v>
      </c>
      <c r="B76" s="15" t="str">
        <f>VLOOKUP(A76, Ticker!A:B, 2, 0)</f>
        <v>Hapvida</v>
      </c>
      <c r="C76" s="15" t="str">
        <f>VLOOKUP(B76, ChatGPT!A:B, 2, 0)</f>
        <v>Saúde</v>
      </c>
      <c r="D76" s="16">
        <f>VLOOKUP(B76, ChatGPT!A:C, 3, 0)</f>
        <v>43</v>
      </c>
      <c r="E76" s="16" t="str">
        <f t="shared" si="1"/>
        <v>Menos de 50 anos</v>
      </c>
      <c r="F76" s="17">
        <v>45317.0</v>
      </c>
      <c r="G76" s="18">
        <f t="shared" si="2"/>
        <v>4.009794919</v>
      </c>
      <c r="H76" s="19">
        <v>3.93</v>
      </c>
      <c r="I76" s="19">
        <v>-1.99</v>
      </c>
      <c r="J76" s="18">
        <f t="shared" si="3"/>
        <v>-0.0199</v>
      </c>
      <c r="K76" s="19">
        <v>-2.24</v>
      </c>
      <c r="L76" s="18">
        <f t="shared" si="4"/>
        <v>-0.0224</v>
      </c>
      <c r="M76" s="19">
        <v>-11.69</v>
      </c>
      <c r="N76" s="18">
        <f t="shared" si="5"/>
        <v>-0.1169</v>
      </c>
      <c r="O76" s="19">
        <v>-11.69</v>
      </c>
      <c r="P76" s="18">
        <f t="shared" si="6"/>
        <v>-0.1169</v>
      </c>
      <c r="Q76" s="19">
        <v>-11.49</v>
      </c>
      <c r="R76" s="18">
        <f t="shared" si="7"/>
        <v>-0.1149</v>
      </c>
      <c r="S76" s="19">
        <v>3.89</v>
      </c>
      <c r="T76" s="19">
        <v>4.06</v>
      </c>
      <c r="U76" s="14" t="s">
        <v>159</v>
      </c>
      <c r="V76" s="20">
        <f>VLOOKUP(A76, Total_de_acoes!A:B, 2, 0)</f>
        <v>4394332306</v>
      </c>
      <c r="W76" s="21">
        <f t="shared" si="8"/>
        <v>-350645389.9</v>
      </c>
      <c r="X76" s="22" t="str">
        <f t="shared" si="9"/>
        <v>Desceu</v>
      </c>
    </row>
    <row r="77">
      <c r="A77" s="23" t="s">
        <v>160</v>
      </c>
      <c r="B77" s="15" t="str">
        <f>VLOOKUP(A77, Ticker!A:B, 2, 0)</f>
        <v>Lojas Renner</v>
      </c>
      <c r="C77" s="15" t="str">
        <f>VLOOKUP(B77, ChatGPT!A:B, 2, 0)</f>
        <v>Varejo / Moda</v>
      </c>
      <c r="D77" s="16">
        <f>VLOOKUP(B77, ChatGPT!A:C, 3, 0)</f>
        <v>55</v>
      </c>
      <c r="E77" s="16" t="str">
        <f t="shared" si="1"/>
        <v>Entre 50 e 100 anos</v>
      </c>
      <c r="F77" s="24">
        <v>45317.0</v>
      </c>
      <c r="G77" s="18">
        <f t="shared" si="2"/>
        <v>16.14983113</v>
      </c>
      <c r="H77" s="25">
        <v>15.78</v>
      </c>
      <c r="I77" s="25">
        <v>-2.29</v>
      </c>
      <c r="J77" s="18">
        <f t="shared" si="3"/>
        <v>-0.0229</v>
      </c>
      <c r="K77" s="25">
        <v>-5.62</v>
      </c>
      <c r="L77" s="18">
        <f t="shared" si="4"/>
        <v>-0.0562</v>
      </c>
      <c r="M77" s="25">
        <v>-9.41</v>
      </c>
      <c r="N77" s="18">
        <f t="shared" si="5"/>
        <v>-0.0941</v>
      </c>
      <c r="O77" s="25">
        <v>-9.41</v>
      </c>
      <c r="P77" s="18">
        <f t="shared" si="6"/>
        <v>-0.0941</v>
      </c>
      <c r="Q77" s="25">
        <v>-24.94</v>
      </c>
      <c r="R77" s="18">
        <f t="shared" si="7"/>
        <v>-0.2494</v>
      </c>
      <c r="S77" s="25">
        <v>15.7</v>
      </c>
      <c r="T77" s="25">
        <v>16.23</v>
      </c>
      <c r="U77" s="23" t="s">
        <v>161</v>
      </c>
      <c r="V77" s="20">
        <f>VLOOKUP(A77, Total_de_acoes!A:B, 2, 0)</f>
        <v>951329770</v>
      </c>
      <c r="W77" s="21">
        <f t="shared" si="8"/>
        <v>-351831366.6</v>
      </c>
      <c r="X77" s="22" t="str">
        <f t="shared" si="9"/>
        <v>Desceu</v>
      </c>
    </row>
    <row r="78">
      <c r="A78" s="14" t="s">
        <v>162</v>
      </c>
      <c r="B78" s="15" t="str">
        <f>VLOOKUP(A78, Ticker!A:B, 2, 0)</f>
        <v>Carrefour Brasil</v>
      </c>
      <c r="C78" s="15" t="str">
        <f>VLOOKUP(B78, ChatGPT!A:B, 2, 0)</f>
        <v>Varejo / Supermercado</v>
      </c>
      <c r="D78" s="16">
        <f>VLOOKUP(B78, ChatGPT!A:C, 3, 0)</f>
        <v>45</v>
      </c>
      <c r="E78" s="16" t="str">
        <f t="shared" si="1"/>
        <v>Menos de 50 anos</v>
      </c>
      <c r="F78" s="17">
        <v>45317.0</v>
      </c>
      <c r="G78" s="18">
        <f t="shared" si="2"/>
        <v>10.97898514</v>
      </c>
      <c r="H78" s="19">
        <v>10.71</v>
      </c>
      <c r="I78" s="19">
        <v>-2.45</v>
      </c>
      <c r="J78" s="18">
        <f t="shared" si="3"/>
        <v>-0.0245</v>
      </c>
      <c r="K78" s="19">
        <v>-9.47</v>
      </c>
      <c r="L78" s="18">
        <f t="shared" si="4"/>
        <v>-0.0947</v>
      </c>
      <c r="M78" s="19">
        <v>-13.98</v>
      </c>
      <c r="N78" s="18">
        <f t="shared" si="5"/>
        <v>-0.1398</v>
      </c>
      <c r="O78" s="19">
        <v>-13.98</v>
      </c>
      <c r="P78" s="18">
        <f t="shared" si="6"/>
        <v>-0.1398</v>
      </c>
      <c r="Q78" s="19">
        <v>-32.72</v>
      </c>
      <c r="R78" s="18">
        <f t="shared" si="7"/>
        <v>-0.3272</v>
      </c>
      <c r="S78" s="19">
        <v>10.7</v>
      </c>
      <c r="T78" s="19">
        <v>11.08</v>
      </c>
      <c r="U78" s="14" t="s">
        <v>163</v>
      </c>
      <c r="V78" s="20">
        <f>VLOOKUP(A78, Total_de_acoes!A:B, 2, 0)</f>
        <v>533990587</v>
      </c>
      <c r="W78" s="21">
        <f t="shared" si="8"/>
        <v>-143635530.6</v>
      </c>
      <c r="X78" s="22" t="str">
        <f t="shared" si="9"/>
        <v>Desceu</v>
      </c>
    </row>
    <row r="79">
      <c r="A79" s="23" t="s">
        <v>164</v>
      </c>
      <c r="B79" s="15" t="str">
        <f>VLOOKUP(A79, Ticker!A:B, 2, 0)</f>
        <v>Casas Bahia</v>
      </c>
      <c r="C79" s="15" t="str">
        <f>VLOOKUP(B79, ChatGPT!A:B, 2, 0)</f>
        <v>Varejo / Eletrodomésticos</v>
      </c>
      <c r="D79" s="16">
        <f>VLOOKUP(B79, ChatGPT!A:C, 3, 0)</f>
        <v>65</v>
      </c>
      <c r="E79" s="16" t="str">
        <f t="shared" si="1"/>
        <v>Entre 50 e 100 anos</v>
      </c>
      <c r="F79" s="24">
        <v>45317.0</v>
      </c>
      <c r="G79" s="18">
        <f t="shared" si="2"/>
        <v>8.919417675</v>
      </c>
      <c r="H79" s="25">
        <v>8.7</v>
      </c>
      <c r="I79" s="25">
        <v>-2.46</v>
      </c>
      <c r="J79" s="18">
        <f t="shared" si="3"/>
        <v>-0.0246</v>
      </c>
      <c r="K79" s="25">
        <v>-6.95</v>
      </c>
      <c r="L79" s="18">
        <f t="shared" si="4"/>
        <v>-0.0695</v>
      </c>
      <c r="M79" s="25">
        <v>-23.55</v>
      </c>
      <c r="N79" s="18">
        <f t="shared" si="5"/>
        <v>-0.2355</v>
      </c>
      <c r="O79" s="25">
        <v>-23.55</v>
      </c>
      <c r="P79" s="18">
        <f t="shared" si="6"/>
        <v>-0.2355</v>
      </c>
      <c r="Q79" s="25">
        <v>-85.74</v>
      </c>
      <c r="R79" s="18">
        <f t="shared" si="7"/>
        <v>-0.8574</v>
      </c>
      <c r="S79" s="25">
        <v>8.67</v>
      </c>
      <c r="T79" s="25">
        <v>8.95</v>
      </c>
      <c r="U79" s="23" t="s">
        <v>165</v>
      </c>
      <c r="V79" s="20">
        <f>VLOOKUP(A79, Total_de_acoes!A:B, 2, 0)</f>
        <v>94843047</v>
      </c>
      <c r="W79" s="21">
        <f t="shared" si="8"/>
        <v>-20810240.84</v>
      </c>
      <c r="X79" s="22" t="str">
        <f t="shared" si="9"/>
        <v>Desceu</v>
      </c>
    </row>
    <row r="80">
      <c r="A80" s="14" t="s">
        <v>166</v>
      </c>
      <c r="B80" s="15" t="str">
        <f>VLOOKUP(A80, Ticker!A:B, 2, 0)</f>
        <v>Localiza</v>
      </c>
      <c r="C80" s="15" t="str">
        <f>VLOOKUP(B80, ChatGPT!A:B, 2, 0)</f>
        <v>Serviços / Aluguel de Carros</v>
      </c>
      <c r="D80" s="16">
        <f>VLOOKUP(B80, ChatGPT!A:C, 3, 0)</f>
        <v>48</v>
      </c>
      <c r="E80" s="16" t="str">
        <f t="shared" si="1"/>
        <v>Menos de 50 anos</v>
      </c>
      <c r="F80" s="17">
        <v>45317.0</v>
      </c>
      <c r="G80" s="18">
        <f t="shared" si="2"/>
        <v>58.35841029</v>
      </c>
      <c r="H80" s="19">
        <v>56.24</v>
      </c>
      <c r="I80" s="19">
        <v>-3.63</v>
      </c>
      <c r="J80" s="18">
        <f t="shared" si="3"/>
        <v>-0.0363</v>
      </c>
      <c r="K80" s="19">
        <v>-6.41</v>
      </c>
      <c r="L80" s="18">
        <f t="shared" si="4"/>
        <v>-0.0641</v>
      </c>
      <c r="M80" s="19">
        <v>-11.57</v>
      </c>
      <c r="N80" s="18">
        <f t="shared" si="5"/>
        <v>-0.1157</v>
      </c>
      <c r="O80" s="19">
        <v>-11.57</v>
      </c>
      <c r="P80" s="18">
        <f t="shared" si="6"/>
        <v>-0.1157</v>
      </c>
      <c r="Q80" s="19">
        <v>-2.77</v>
      </c>
      <c r="R80" s="18">
        <f t="shared" si="7"/>
        <v>-0.0277</v>
      </c>
      <c r="S80" s="19">
        <v>56.04</v>
      </c>
      <c r="T80" s="19">
        <v>58.9</v>
      </c>
      <c r="U80" s="14" t="s">
        <v>167</v>
      </c>
      <c r="V80" s="20">
        <f>VLOOKUP(A80, Total_de_acoes!A:B, 2, 0)</f>
        <v>853202347</v>
      </c>
      <c r="W80" s="21">
        <f t="shared" si="8"/>
        <v>-1807432634</v>
      </c>
      <c r="X80" s="22" t="str">
        <f t="shared" si="9"/>
        <v>Desceu</v>
      </c>
    </row>
    <row r="81">
      <c r="A81" s="23" t="s">
        <v>168</v>
      </c>
      <c r="B81" s="15" t="str">
        <f>VLOOKUP(A81, Ticker!A:B, 2, 0)</f>
        <v>CVC</v>
      </c>
      <c r="C81" s="15" t="str">
        <f>VLOOKUP(B81, ChatGPT!A:B, 2, 0)</f>
        <v>Turismo / Agência de Viagens</v>
      </c>
      <c r="D81" s="16">
        <f>VLOOKUP(B81, ChatGPT!A:C, 3, 0)</f>
        <v>50</v>
      </c>
      <c r="E81" s="16" t="str">
        <f t="shared" si="1"/>
        <v>Entre 50 e 100 anos</v>
      </c>
      <c r="F81" s="24">
        <v>45317.0</v>
      </c>
      <c r="G81" s="18">
        <f t="shared" si="2"/>
        <v>3.209953994</v>
      </c>
      <c r="H81" s="25">
        <v>3.07</v>
      </c>
      <c r="I81" s="25">
        <v>-4.36</v>
      </c>
      <c r="J81" s="18">
        <f t="shared" si="3"/>
        <v>-0.0436</v>
      </c>
      <c r="K81" s="25">
        <v>-5.54</v>
      </c>
      <c r="L81" s="18">
        <f t="shared" si="4"/>
        <v>-0.0554</v>
      </c>
      <c r="M81" s="25">
        <v>-12.29</v>
      </c>
      <c r="N81" s="18">
        <f t="shared" si="5"/>
        <v>-0.1229</v>
      </c>
      <c r="O81" s="25">
        <v>-12.29</v>
      </c>
      <c r="P81" s="18">
        <f t="shared" si="6"/>
        <v>-0.1229</v>
      </c>
      <c r="Q81" s="25">
        <v>-36.83</v>
      </c>
      <c r="R81" s="18">
        <f t="shared" si="7"/>
        <v>-0.3683</v>
      </c>
      <c r="S81" s="25">
        <v>3.05</v>
      </c>
      <c r="T81" s="25">
        <v>3.23</v>
      </c>
      <c r="U81" s="23" t="s">
        <v>169</v>
      </c>
      <c r="V81" s="20">
        <f>VLOOKUP(A81, Total_de_acoes!A:B, 2, 0)</f>
        <v>525582771</v>
      </c>
      <c r="W81" s="21">
        <f t="shared" si="8"/>
        <v>-73557408.06</v>
      </c>
      <c r="X81" s="22" t="str">
        <f t="shared" si="9"/>
        <v>Desceu</v>
      </c>
    </row>
    <row r="82">
      <c r="A82" s="14" t="s">
        <v>170</v>
      </c>
      <c r="B82" s="15" t="str">
        <f>VLOOKUP(A82, Ticker!A:B, 2, 0)</f>
        <v>GOL</v>
      </c>
      <c r="C82" s="15" t="str">
        <f>VLOOKUP(B82, ChatGPT!A:B, 2, 0)</f>
        <v>Transporte / Aéreo</v>
      </c>
      <c r="D82" s="16">
        <f>VLOOKUP(B82, ChatGPT!A:C, 3, 0)</f>
        <v>21</v>
      </c>
      <c r="E82" s="16" t="str">
        <f t="shared" si="1"/>
        <v>Menos de 50 anos</v>
      </c>
      <c r="F82" s="17">
        <v>45317.0</v>
      </c>
      <c r="G82" s="18">
        <f t="shared" si="2"/>
        <v>6.439682367</v>
      </c>
      <c r="H82" s="19">
        <v>5.92</v>
      </c>
      <c r="I82" s="19">
        <v>-8.07</v>
      </c>
      <c r="J82" s="18">
        <f t="shared" si="3"/>
        <v>-0.0807</v>
      </c>
      <c r="K82" s="19">
        <v>-15.91</v>
      </c>
      <c r="L82" s="18">
        <f t="shared" si="4"/>
        <v>-0.1591</v>
      </c>
      <c r="M82" s="19">
        <v>-34.0</v>
      </c>
      <c r="N82" s="18">
        <f t="shared" si="5"/>
        <v>-0.34</v>
      </c>
      <c r="O82" s="19">
        <v>-34.0</v>
      </c>
      <c r="P82" s="18">
        <f t="shared" si="6"/>
        <v>-0.34</v>
      </c>
      <c r="Q82" s="19">
        <v>-25.44</v>
      </c>
      <c r="R82" s="18">
        <f t="shared" si="7"/>
        <v>-0.2544</v>
      </c>
      <c r="S82" s="19">
        <v>5.51</v>
      </c>
      <c r="T82" s="19">
        <v>6.02</v>
      </c>
      <c r="U82" s="14" t="s">
        <v>171</v>
      </c>
      <c r="V82" s="20">
        <f>VLOOKUP(A82, Total_de_acoes!A:B, 2, 0)</f>
        <v>198184909</v>
      </c>
      <c r="W82" s="21">
        <f t="shared" si="8"/>
        <v>-102993202.6</v>
      </c>
      <c r="X82" s="22" t="str">
        <f t="shared" si="9"/>
        <v>Desceu</v>
      </c>
    </row>
  </sheetData>
  <autoFilter ref="$D$1:$D$82"/>
  <conditionalFormatting sqref="V1:V82">
    <cfRule type="cellIs" dxfId="0" priority="1" operator="greaterThan">
      <formula>0</formula>
    </cfRule>
  </conditionalFormatting>
  <conditionalFormatting sqref="W1:X82">
    <cfRule type="cellIs" dxfId="1" priority="2" operator="greaterThan">
      <formula>0</formula>
    </cfRule>
  </conditionalFormatting>
  <conditionalFormatting sqref="W1:X82">
    <cfRule type="cellIs" dxfId="2" priority="3" operator="lessThan">
      <formula>0</formula>
    </cfRule>
  </conditionalFormatting>
  <conditionalFormatting sqref="X1:X82">
    <cfRule type="cellIs" dxfId="1" priority="4" operator="equal">
      <formula>"Subiu"</formula>
    </cfRule>
  </conditionalFormatting>
  <conditionalFormatting sqref="X1:X82">
    <cfRule type="cellIs" dxfId="2" priority="5" operator="equal">
      <formula>"Desceu"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9.0"/>
    <col customWidth="1" min="3" max="3" width="28.38"/>
  </cols>
  <sheetData>
    <row r="1">
      <c r="A1" s="27" t="s">
        <v>186</v>
      </c>
      <c r="B1" s="28">
        <f>MAX(Principal!W:W)</f>
        <v>4762926995</v>
      </c>
      <c r="C1" s="29" t="str">
        <f t="array" ref="C1">INDEX(Principal!B:B, MATCH(B1, Principal!W:W, 0))
</f>
        <v>Vale</v>
      </c>
    </row>
    <row r="2">
      <c r="A2" s="30" t="s">
        <v>187</v>
      </c>
      <c r="B2" s="28">
        <f>MIN((Principal!W:W))</f>
        <v>-1807432634</v>
      </c>
      <c r="C2" s="29" t="str">
        <f t="array" ref="C2">INDEX(Principal!B:B, MATCH(B2, Principal!W:W, 0))
</f>
        <v>Localiza</v>
      </c>
    </row>
    <row r="3">
      <c r="A3" s="27" t="s">
        <v>188</v>
      </c>
      <c r="B3" s="28">
        <f>AVERAGE(Principal!W:W)</f>
        <v>165190210.5</v>
      </c>
    </row>
    <row r="4">
      <c r="A4" s="27" t="s">
        <v>189</v>
      </c>
      <c r="B4" s="28">
        <f>AVERAGEIF(Principal!X:X, "Subiu", Principal!W:W)</f>
        <v>448164250.2</v>
      </c>
    </row>
    <row r="5">
      <c r="A5" s="27" t="s">
        <v>190</v>
      </c>
      <c r="B5" s="28">
        <f>AVERAGEIF(Principal!X:X, "Desceu", Principal!W:W)</f>
        <v>-181109141.8</v>
      </c>
    </row>
    <row r="6">
      <c r="B6" s="31"/>
    </row>
    <row r="7">
      <c r="B7" s="31"/>
    </row>
    <row r="8">
      <c r="B8" s="31"/>
    </row>
    <row r="9">
      <c r="A9" s="27"/>
    </row>
    <row r="10">
      <c r="A10" s="32" t="str">
        <f>IFERROR(__xludf.DUMMYFUNCTION("UNIQUE(Principal!C:C)"),"Segmento")</f>
        <v>Segmento</v>
      </c>
      <c r="B10" s="33" t="s">
        <v>191</v>
      </c>
      <c r="C10" s="27" t="s">
        <v>192</v>
      </c>
    </row>
    <row r="11">
      <c r="A11" s="29" t="str">
        <f>IFERROR(__xludf.DUMMYFUNCTION("""COMPUTED_VALUE"""),"Indústria / Metalurgia")</f>
        <v>Indústria / Metalurgia</v>
      </c>
      <c r="B11" s="28">
        <f>SUMIF(Principal!C:C, A11, Principal!W:W)</f>
        <v>489935930.9</v>
      </c>
      <c r="C11" s="28">
        <f>SUMIFS(Principal!W:W, Principal!C:C, A11, Principal!X:X, "Subiu")</f>
        <v>489935930.9</v>
      </c>
    </row>
    <row r="12">
      <c r="A12" s="29" t="str">
        <f>IFERROR(__xludf.DUMMYFUNCTION("""COMPUTED_VALUE"""),"Mineração")</f>
        <v>Mineração</v>
      </c>
      <c r="B12" s="28">
        <f>SUMIF(Principal!C:C, A12, Principal!W:W)</f>
        <v>4940442966</v>
      </c>
      <c r="C12" s="28">
        <f>SUMIFS(Principal!W:W, Principal!C:C, A12, Principal!X:X, "Subiu")</f>
        <v>4940442966</v>
      </c>
    </row>
    <row r="13">
      <c r="A13" s="29" t="str">
        <f>IFERROR(__xludf.DUMMYFUNCTION("""COMPUTED_VALUE"""),"Energia / Petróleo")</f>
        <v>Energia / Petróleo</v>
      </c>
      <c r="B13" s="28">
        <f>SUMIF(Principal!C:C, A13, Principal!W:W)</f>
        <v>6093288832</v>
      </c>
      <c r="C13" s="28">
        <f>SUMIFS(Principal!W:W, Principal!C:C, A13, Principal!X:X, "Subiu")</f>
        <v>6093288832</v>
      </c>
    </row>
    <row r="14">
      <c r="A14" s="29" t="str">
        <f>IFERROR(__xludf.DUMMYFUNCTION("""COMPUTED_VALUE"""),"Papel e Celulose")</f>
        <v>Papel e Celulose</v>
      </c>
      <c r="B14" s="28">
        <f>SUMIF(Principal!C:C, A14, Principal!W:W)</f>
        <v>722946282.7</v>
      </c>
      <c r="C14" s="28">
        <f>SUMIFS(Principal!W:W, Principal!C:C, A14, Principal!X:X, "Subiu")</f>
        <v>722946282.7</v>
      </c>
    </row>
    <row r="15">
      <c r="A15" s="29" t="str">
        <f>IFERROR(__xludf.DUMMYFUNCTION("""COMPUTED_VALUE"""),"Energia")</f>
        <v>Energia</v>
      </c>
      <c r="B15" s="28">
        <f>SUMIF(Principal!C:C, A15, Principal!W:W)</f>
        <v>5568175.596</v>
      </c>
      <c r="C15" s="28">
        <f>SUMIFS(Principal!W:W, Principal!C:C, A15, Principal!X:X, "Subiu")</f>
        <v>682315640</v>
      </c>
    </row>
    <row r="16">
      <c r="A16" s="29" t="str">
        <f>IFERROR(__xludf.DUMMYFUNCTION("""COMPUTED_VALUE"""),"Imobiliário / Shoppings")</f>
        <v>Imobiliário / Shoppings</v>
      </c>
      <c r="B16" s="28">
        <f>SUMIF(Principal!C:C, A16, Principal!W:W)</f>
        <v>117732680.1</v>
      </c>
      <c r="C16" s="28">
        <f>SUMIFS(Principal!W:W, Principal!C:C, A16, Principal!X:X, "Subiu")</f>
        <v>117732680.1</v>
      </c>
    </row>
    <row r="17">
      <c r="A17" s="29" t="str">
        <f>IFERROR(__xludf.DUMMYFUNCTION("""COMPUTED_VALUE"""),"Financeiro")</f>
        <v>Financeiro</v>
      </c>
      <c r="B17" s="28">
        <f>SUMIF(Principal!C:C, A17, Principal!W:W)</f>
        <v>3740512019</v>
      </c>
      <c r="C17" s="28">
        <f>SUMIFS(Principal!W:W, Principal!C:C, A17, Principal!X:X, "Subiu")</f>
        <v>3740512019</v>
      </c>
    </row>
    <row r="18">
      <c r="A18" s="29" t="str">
        <f>IFERROR(__xludf.DUMMYFUNCTION("""COMPUTED_VALUE"""),"Saúde")</f>
        <v>Saúde</v>
      </c>
      <c r="B18" s="28">
        <f>SUMIF(Principal!C:C, A18, Principal!W:W)</f>
        <v>103272517.1</v>
      </c>
      <c r="C18" s="28">
        <f>SUMIFS(Principal!W:W, Principal!C:C, A18, Principal!X:X, "Subiu")</f>
        <v>453917907</v>
      </c>
    </row>
    <row r="19">
      <c r="A19" s="29" t="str">
        <f>IFERROR(__xludf.DUMMYFUNCTION("""COMPUTED_VALUE"""),"Química e Petroquímica")</f>
        <v>Química e Petroquímica</v>
      </c>
      <c r="B19" s="28">
        <f>SUMIF(Principal!C:C, A19, Principal!W:W)</f>
        <v>69054317.64</v>
      </c>
      <c r="C19" s="28">
        <f>SUMIFS(Principal!W:W, Principal!C:C, A19, Principal!X:X, "Subiu")</f>
        <v>69054317.64</v>
      </c>
    </row>
    <row r="20">
      <c r="A20" s="29" t="str">
        <f>IFERROR(__xludf.DUMMYFUNCTION("""COMPUTED_VALUE"""),"Transporte / Aéreo")</f>
        <v>Transporte / Aéreo</v>
      </c>
      <c r="B20" s="28">
        <f>SUMIF(Principal!C:C, A20, Principal!W:W)</f>
        <v>-37540997.06</v>
      </c>
      <c r="C20" s="28">
        <f>SUMIFS(Principal!W:W, Principal!C:C, A20, Principal!X:X, "Subiu")</f>
        <v>65452205.55</v>
      </c>
    </row>
    <row r="21">
      <c r="A21" s="29" t="str">
        <f>IFERROR(__xludf.DUMMYFUNCTION("""COMPUTED_VALUE"""),"Educação")</f>
        <v>Educação</v>
      </c>
      <c r="B21" s="28">
        <f>SUMIF(Principal!C:C, A21, Principal!W:W)</f>
        <v>54641872.47</v>
      </c>
      <c r="C21" s="28">
        <f>SUMIFS(Principal!W:W, Principal!C:C, A21, Principal!X:X, "Subiu")</f>
        <v>72295838.99</v>
      </c>
    </row>
    <row r="22">
      <c r="A22" s="29" t="str">
        <f>IFERROR(__xludf.DUMMYFUNCTION("""COMPUTED_VALUE"""),"Energia / Distribuição")</f>
        <v>Energia / Distribuição</v>
      </c>
      <c r="B22" s="28">
        <f>SUMIF(Principal!C:C, A22, Principal!W:W)</f>
        <v>388705224</v>
      </c>
      <c r="C22" s="28">
        <f>SUMIFS(Principal!W:W, Principal!C:C, A22, Principal!X:X, "Subiu")</f>
        <v>388705224</v>
      </c>
    </row>
    <row r="23">
      <c r="A23" s="29" t="str">
        <f>IFERROR(__xludf.DUMMYFUNCTION("""COMPUTED_VALUE"""),"Construção Civil")</f>
        <v>Construção Civil</v>
      </c>
      <c r="B23" s="28">
        <f>SUMIF(Principal!C:C, A23, Principal!W:W)</f>
        <v>37525872.38</v>
      </c>
      <c r="C23" s="28">
        <f>SUMIFS(Principal!W:W, Principal!C:C, A23, Principal!X:X, "Subiu")</f>
        <v>37525872.38</v>
      </c>
    </row>
    <row r="24">
      <c r="A24" s="29" t="str">
        <f>IFERROR(__xludf.DUMMYFUNCTION("""COMPUTED_VALUE"""),"Varejo / Moda")</f>
        <v>Varejo / Moda</v>
      </c>
      <c r="B24" s="28">
        <f>SUMIF(Principal!C:C, A24, Principal!W:W)</f>
        <v>-355154844.5</v>
      </c>
      <c r="C24" s="28">
        <f>SUMIFS(Principal!W:W, Principal!C:C, A24, Principal!X:X, "Subiu")</f>
        <v>41021792.09</v>
      </c>
    </row>
    <row r="25">
      <c r="A25" s="29" t="str">
        <f>IFERROR(__xludf.DUMMYFUNCTION("""COMPUTED_VALUE"""),"Alimentos / Carnes")</f>
        <v>Alimentos / Carnes</v>
      </c>
      <c r="B25" s="28">
        <f>SUMIF(Principal!C:C, A25, Principal!W:W)</f>
        <v>174787913.5</v>
      </c>
      <c r="C25" s="28">
        <f>SUMIFS(Principal!W:W, Principal!C:C, A25, Principal!X:X, "Subiu")</f>
        <v>174787913.5</v>
      </c>
    </row>
    <row r="26">
      <c r="A26" s="29" t="str">
        <f>IFERROR(__xludf.DUMMYFUNCTION("""COMPUTED_VALUE"""),"Varejo")</f>
        <v>Varejo</v>
      </c>
      <c r="B26" s="28">
        <f>SUMIF(Principal!C:C, A26, Principal!W:W)</f>
        <v>6340916.223</v>
      </c>
      <c r="C26" s="28">
        <f>SUMIFS(Principal!W:W, Principal!C:C, A26, Principal!X:X, "Subiu")</f>
        <v>6340916.223</v>
      </c>
    </row>
    <row r="27">
      <c r="A27" s="29" t="str">
        <f>IFERROR(__xludf.DUMMYFUNCTION("""COMPUTED_VALUE"""),"Alimentos")</f>
        <v>Alimentos</v>
      </c>
      <c r="B27" s="28">
        <f>SUMIF(Principal!C:C, A27, Principal!W:W)</f>
        <v>233045769.6</v>
      </c>
      <c r="C27" s="28">
        <f>SUMIFS(Principal!W:W, Principal!C:C, A27, Principal!X:X, "Subiu")</f>
        <v>233045769.6</v>
      </c>
    </row>
    <row r="28">
      <c r="A28" s="29" t="str">
        <f>IFERROR(__xludf.DUMMYFUNCTION("""COMPUTED_VALUE"""),"Telecomunicações")</f>
        <v>Telecomunicações</v>
      </c>
      <c r="B28" s="28">
        <f>SUMIF(Principal!C:C, A28, Principal!W:W)</f>
        <v>292938114.4</v>
      </c>
      <c r="C28" s="28">
        <f>SUMIFS(Principal!W:W, Principal!C:C, A28, Principal!X:X, "Subiu")</f>
        <v>292938114.4</v>
      </c>
    </row>
    <row r="29">
      <c r="A29" s="29" t="str">
        <f>IFERROR(__xludf.DUMMYFUNCTION("""COMPUTED_VALUE"""),"Logística / Transporte")</f>
        <v>Logística / Transporte</v>
      </c>
      <c r="B29" s="28">
        <f>SUMIF(Principal!C:C, A29, Principal!W:W)</f>
        <v>233902674.8</v>
      </c>
      <c r="C29" s="28">
        <f>SUMIFS(Principal!W:W, Principal!C:C, A29, Principal!X:X, "Subiu")</f>
        <v>233902674.8</v>
      </c>
    </row>
    <row r="30">
      <c r="A30" s="29" t="str">
        <f>IFERROR(__xludf.DUMMYFUNCTION("""COMPUTED_VALUE"""),"Financeiro / Pagamentos")</f>
        <v>Financeiro / Pagamentos</v>
      </c>
      <c r="B30" s="28">
        <f>SUMIF(Principal!C:C, A30, Principal!W:W)</f>
        <v>43657683.38</v>
      </c>
      <c r="C30" s="28">
        <f>SUMIFS(Principal!W:W, Principal!C:C, A30, Principal!X:X, "Subiu")</f>
        <v>43657683.38</v>
      </c>
    </row>
    <row r="31">
      <c r="A31" s="29" t="str">
        <f>IFERROR(__xludf.DUMMYFUNCTION("""COMPUTED_VALUE"""),"Construção / Materiais")</f>
        <v>Construção / Materiais</v>
      </c>
      <c r="B31" s="28">
        <f>SUMIF(Principal!C:C, A31, Principal!W:W)</f>
        <v>18068446.61</v>
      </c>
      <c r="C31" s="28">
        <f>SUMIFS(Principal!W:W, Principal!C:C, A31, Principal!X:X, "Subiu")</f>
        <v>18068446.61</v>
      </c>
    </row>
    <row r="32">
      <c r="A32" s="29" t="str">
        <f>IFERROR(__xludf.DUMMYFUNCTION("""COMPUTED_VALUE"""),"Financeiro / Investimentos")</f>
        <v>Financeiro / Investimentos</v>
      </c>
      <c r="B32" s="28">
        <f>SUMIF(Principal!C:C, A32, Principal!W:W)</f>
        <v>42238249.54</v>
      </c>
      <c r="C32" s="28">
        <f>SUMIFS(Principal!W:W, Principal!C:C, A32, Principal!X:X, "Subiu")</f>
        <v>42238249.54</v>
      </c>
    </row>
    <row r="33">
      <c r="A33" s="29" t="str">
        <f>IFERROR(__xludf.DUMMYFUNCTION("""COMPUTED_VALUE"""),"Tecnologia / Internet")</f>
        <v>Tecnologia / Internet</v>
      </c>
      <c r="B33" s="28">
        <f>SUMIF(Principal!C:C, A33, Principal!W:W)</f>
        <v>15598886.65</v>
      </c>
      <c r="C33" s="28">
        <f>SUMIFS(Principal!W:W, Principal!C:C, A33, Principal!X:X, "Subiu")</f>
        <v>15598886.65</v>
      </c>
    </row>
    <row r="34">
      <c r="A34" s="29" t="str">
        <f>IFERROR(__xludf.DUMMYFUNCTION("""COMPUTED_VALUE"""),"Holding / Investimentos")</f>
        <v>Holding / Investimentos</v>
      </c>
      <c r="B34" s="28">
        <f>SUMIF(Principal!C:C, A34, Principal!W:W)</f>
        <v>373853994.9</v>
      </c>
      <c r="C34" s="28">
        <f>SUMIFS(Principal!W:W, Principal!C:C, A34, Principal!X:X, "Subiu")</f>
        <v>373853994.9</v>
      </c>
    </row>
    <row r="35">
      <c r="A35" s="29" t="str">
        <f>IFERROR(__xludf.DUMMYFUNCTION("""COMPUTED_VALUE"""),"Saúde / Farmácia")</f>
        <v>Saúde / Farmácia</v>
      </c>
      <c r="B35" s="28">
        <f>SUMIF(Principal!C:C, A35, Principal!W:W)</f>
        <v>202352473.7</v>
      </c>
      <c r="C35" s="28">
        <f>SUMIFS(Principal!W:W, Principal!C:C, A35, Principal!X:X, "Subiu")</f>
        <v>202352473.7</v>
      </c>
    </row>
    <row r="36">
      <c r="A36" s="29" t="str">
        <f>IFERROR(__xludf.DUMMYFUNCTION("""COMPUTED_VALUE"""),"Energia / Agronegócio")</f>
        <v>Energia / Agronegócio</v>
      </c>
      <c r="B36" s="28">
        <f>SUMIF(Principal!C:C, A36, Principal!W:W)</f>
        <v>127229653.2</v>
      </c>
      <c r="C36" s="28">
        <f>SUMIFS(Principal!W:W, Principal!C:C, A36, Principal!X:X, "Subiu")</f>
        <v>127229653.2</v>
      </c>
    </row>
    <row r="37">
      <c r="A37" s="29" t="str">
        <f>IFERROR(__xludf.DUMMYFUNCTION("""COMPUTED_VALUE"""),"Varejo / E-commerce")</f>
        <v>Varejo / E-commerce</v>
      </c>
      <c r="B37" s="28">
        <f>SUMIF(Principal!C:C, A37, Principal!W:W)</f>
        <v>28493619.27</v>
      </c>
      <c r="C37" s="28">
        <f>SUMIFS(Principal!W:W, Principal!C:C, A37, Principal!X:X, "Subiu")</f>
        <v>28493619.27</v>
      </c>
    </row>
    <row r="38">
      <c r="A38" s="29" t="str">
        <f>IFERROR(__xludf.DUMMYFUNCTION("""COMPUTED_VALUE"""),"Energia / Biocombustíveis")</f>
        <v>Energia / Biocombustíveis</v>
      </c>
      <c r="B38" s="28">
        <f>SUMIF(Principal!C:C, A38, Principal!W:W)</f>
        <v>11571106.42</v>
      </c>
      <c r="C38" s="28">
        <f>SUMIFS(Principal!W:W, Principal!C:C, A38, Principal!X:X, "Subiu")</f>
        <v>11571106.42</v>
      </c>
    </row>
    <row r="39">
      <c r="A39" s="29" t="str">
        <f>IFERROR(__xludf.DUMMYFUNCTION("""COMPUTED_VALUE"""),"Alimentos e Bebidas")</f>
        <v>Alimentos e Bebidas</v>
      </c>
      <c r="B39" s="28">
        <f>SUMIF(Principal!C:C, A39, Principal!W:W)</f>
        <v>0</v>
      </c>
      <c r="C39" s="28">
        <f>SUMIFS(Principal!W:W, Principal!C:C, A39, Principal!X:X, "Subiu")</f>
        <v>0</v>
      </c>
    </row>
    <row r="40">
      <c r="A40" s="29" t="str">
        <f>IFERROR(__xludf.DUMMYFUNCTION("""COMPUTED_VALUE"""),"Financeiro / Seguros")</f>
        <v>Financeiro / Seguros</v>
      </c>
      <c r="B40" s="28">
        <f>SUMIF(Principal!C:C, A40, Principal!W:W)</f>
        <v>-26297880.21</v>
      </c>
      <c r="C40" s="28">
        <f>SUMIFS(Principal!W:W, Principal!C:C, A40, Principal!X:X, "Subiu")</f>
        <v>0</v>
      </c>
    </row>
    <row r="41">
      <c r="A41" s="29" t="str">
        <f>IFERROR(__xludf.DUMMYFUNCTION("""COMPUTED_VALUE"""),"Saneamento")</f>
        <v>Saneamento</v>
      </c>
      <c r="B41" s="28">
        <f>SUMIF(Principal!C:C, A41, Principal!W:W)</f>
        <v>-15725678.56</v>
      </c>
      <c r="C41" s="28">
        <f>SUMIFS(Principal!W:W, Principal!C:C, A41, Principal!X:X, "Subiu")</f>
        <v>0</v>
      </c>
    </row>
    <row r="42">
      <c r="A42" s="29" t="str">
        <f>IFERROR(__xludf.DUMMYFUNCTION("""COMPUTED_VALUE"""),"Tecnologia / Software")</f>
        <v>Tecnologia / Software</v>
      </c>
      <c r="B42" s="28">
        <f>SUMIF(Principal!C:C, A42, Principal!W:W)</f>
        <v>-9531377.746</v>
      </c>
      <c r="C42" s="28">
        <f>SUMIFS(Principal!W:W, Principal!C:C, A42, Principal!X:X, "Subiu")</f>
        <v>0</v>
      </c>
    </row>
    <row r="43">
      <c r="A43" s="29" t="str">
        <f>IFERROR(__xludf.DUMMYFUNCTION("""COMPUTED_VALUE"""),"Indústria / Equipamentos")</f>
        <v>Indústria / Equipamentos</v>
      </c>
      <c r="B43" s="28">
        <f>SUMIF(Principal!C:C, A43, Principal!W:W)</f>
        <v>-118230410.4</v>
      </c>
      <c r="C43" s="28">
        <f>SUMIFS(Principal!W:W, Principal!C:C, A43, Principal!X:X, "Subiu")</f>
        <v>0</v>
      </c>
    </row>
    <row r="44">
      <c r="A44" s="29" t="str">
        <f>IFERROR(__xludf.DUMMYFUNCTION("""COMPUTED_VALUE"""),"Agronegócio")</f>
        <v>Agronegócio</v>
      </c>
      <c r="B44" s="28">
        <f>SUMIF(Principal!C:C, A44, Principal!W:W)</f>
        <v>-9468663.682</v>
      </c>
      <c r="C44" s="28">
        <f>SUMIFS(Principal!W:W, Principal!C:C, A44, Principal!X:X, "Subiu")</f>
        <v>0</v>
      </c>
    </row>
    <row r="45">
      <c r="A45" s="29" t="str">
        <f>IFERROR(__xludf.DUMMYFUNCTION("""COMPUTED_VALUE"""),"-")</f>
        <v>-</v>
      </c>
      <c r="B45" s="28">
        <f>SUMIF(Principal!C:C, A45, Principal!W:W)</f>
        <v>-36819552.34</v>
      </c>
      <c r="C45" s="28">
        <f>SUMIFS(Principal!W:W, Principal!C:C, A45, Principal!X:X, "Subiu")</f>
        <v>0</v>
      </c>
    </row>
    <row r="46">
      <c r="A46" s="29" t="str">
        <f>IFERROR(__xludf.DUMMYFUNCTION("""COMPUTED_VALUE"""),"Logística / Infraestrutura")</f>
        <v>Logística / Infraestrutura</v>
      </c>
      <c r="B46" s="28">
        <f>SUMIF(Principal!C:C, A46, Principal!W:W)</f>
        <v>-39743554.31</v>
      </c>
      <c r="C46" s="28">
        <f>SUMIFS(Principal!W:W, Principal!C:C, A46, Principal!X:X, "Subiu")</f>
        <v>0</v>
      </c>
    </row>
    <row r="47">
      <c r="A47" s="29" t="str">
        <f>IFERROR(__xludf.DUMMYFUNCTION("""COMPUTED_VALUE"""),"Energia / Transmissão")</f>
        <v>Energia / Transmissão</v>
      </c>
      <c r="B47" s="28">
        <f>SUMIF(Principal!C:C, A47, Principal!W:W)</f>
        <v>-42561628.08</v>
      </c>
      <c r="C47" s="28">
        <f>SUMIFS(Principal!W:W, Principal!C:C, A47, Principal!X:X, "Subiu")</f>
        <v>0</v>
      </c>
    </row>
    <row r="48">
      <c r="A48" s="29" t="str">
        <f>IFERROR(__xludf.DUMMYFUNCTION("""COMPUTED_VALUE"""),"Energia / Petróleo e Gás")</f>
        <v>Energia / Petróleo e Gás</v>
      </c>
      <c r="B48" s="28">
        <f>SUMIF(Principal!C:C, A48, Principal!W:W)</f>
        <v>-122247236.7</v>
      </c>
      <c r="C48" s="28">
        <f>SUMIFS(Principal!W:W, Principal!C:C, A48, Principal!X:X, "Subiu")</f>
        <v>0</v>
      </c>
    </row>
    <row r="49">
      <c r="A49" s="29" t="str">
        <f>IFERROR(__xludf.DUMMYFUNCTION("""COMPUTED_VALUE"""),"Varejo / Pet Shop")</f>
        <v>Varejo / Pet Shop</v>
      </c>
      <c r="B49" s="28">
        <f>SUMIF(Principal!C:C, A49, Principal!W:W)</f>
        <v>-9242203.652</v>
      </c>
      <c r="C49" s="28">
        <f>SUMIFS(Principal!W:W, Principal!C:C, A49, Principal!X:X, "Subiu")</f>
        <v>0</v>
      </c>
    </row>
    <row r="50">
      <c r="A50" s="29" t="str">
        <f>IFERROR(__xludf.DUMMYFUNCTION("""COMPUTED_VALUE"""),"Imobiliário / Construção")</f>
        <v>Imobiliário / Construção</v>
      </c>
      <c r="B50" s="28">
        <f>SUMIF(Principal!C:C, A50, Principal!W:W)</f>
        <v>-98613273.98</v>
      </c>
      <c r="C50" s="28">
        <f>SUMIFS(Principal!W:W, Principal!C:C, A50, Principal!X:X, "Subiu")</f>
        <v>0</v>
      </c>
    </row>
    <row r="51">
      <c r="A51" s="29" t="str">
        <f>IFERROR(__xludf.DUMMYFUNCTION("""COMPUTED_VALUE"""),"Saúde / Diagnósticos")</f>
        <v>Saúde / Diagnósticos</v>
      </c>
      <c r="B51" s="28">
        <f>SUMIF(Principal!C:C, A51, Principal!W:W)</f>
        <v>-42951047.22</v>
      </c>
      <c r="C51" s="28">
        <f>SUMIFS(Principal!W:W, Principal!C:C, A51, Principal!X:X, "Subiu")</f>
        <v>0</v>
      </c>
    </row>
    <row r="52">
      <c r="A52" s="29" t="str">
        <f>IFERROR(__xludf.DUMMYFUNCTION("""COMPUTED_VALUE"""),"Varejo / Calçados")</f>
        <v>Varejo / Calçados</v>
      </c>
      <c r="B52" s="28">
        <f>SUMIF(Principal!C:C, A52, Principal!W:W)</f>
        <v>-21126374.33</v>
      </c>
      <c r="C52" s="28">
        <f>SUMIFS(Principal!W:W, Principal!C:C, A52, Principal!X:X, "Subiu")</f>
        <v>0</v>
      </c>
    </row>
    <row r="53">
      <c r="A53" s="29" t="str">
        <f>IFERROR(__xludf.DUMMYFUNCTION("""COMPUTED_VALUE"""),"Indústria / Aeronáutica")</f>
        <v>Indústria / Aeronáutica</v>
      </c>
      <c r="B53" s="28">
        <f>SUMIF(Principal!C:C, A53, Principal!W:W)</f>
        <v>-233651943.5</v>
      </c>
      <c r="C53" s="28">
        <f>SUMIFS(Principal!W:W, Principal!C:C, A53, Principal!X:X, "Subiu")</f>
        <v>0</v>
      </c>
    </row>
    <row r="54">
      <c r="A54" s="29" t="str">
        <f>IFERROR(__xludf.DUMMYFUNCTION("""COMPUTED_VALUE"""),"Varejo / Cosméticos")</f>
        <v>Varejo / Cosméticos</v>
      </c>
      <c r="B54" s="28">
        <f>SUMIF(Principal!C:C, A54, Principal!W:W)</f>
        <v>-193280001.2</v>
      </c>
      <c r="C54" s="28">
        <f>SUMIFS(Principal!W:W, Principal!C:C, A54, Principal!X:X, "Subiu")</f>
        <v>0</v>
      </c>
    </row>
    <row r="55">
      <c r="A55" s="29" t="str">
        <f>IFERROR(__xludf.DUMMYFUNCTION("""COMPUTED_VALUE"""),"Varejo / Atacarejo")</f>
        <v>Varejo / Atacarejo</v>
      </c>
      <c r="B55" s="28">
        <f>SUMIF(Principal!C:C, A55, Principal!W:W)</f>
        <v>-268201195.1</v>
      </c>
      <c r="C55" s="28">
        <f>SUMIFS(Principal!W:W, Principal!C:C, A55, Principal!X:X, "Subiu")</f>
        <v>0</v>
      </c>
    </row>
    <row r="56">
      <c r="A56" s="29" t="str">
        <f>IFERROR(__xludf.DUMMYFUNCTION("""COMPUTED_VALUE"""),"Financeiro / Bolsa de Valores")</f>
        <v>Financeiro / Bolsa de Valores</v>
      </c>
      <c r="B56" s="28">
        <f>SUMIF(Principal!C:C, A56, Principal!W:W)</f>
        <v>-1173785666</v>
      </c>
      <c r="C56" s="28">
        <f>SUMIFS(Principal!W:W, Principal!C:C, A56, Principal!X:X, "Subiu")</f>
        <v>0</v>
      </c>
    </row>
    <row r="57">
      <c r="A57" s="29" t="str">
        <f>IFERROR(__xludf.DUMMYFUNCTION("""COMPUTED_VALUE"""),"Saúde / Farmacêutica")</f>
        <v>Saúde / Farmacêutica</v>
      </c>
      <c r="B57" s="28">
        <f>SUMIF(Principal!C:C, A57, Principal!W:W)</f>
        <v>-208257014.2</v>
      </c>
      <c r="C57" s="28">
        <f>SUMIFS(Principal!W:W, Principal!C:C, A57, Principal!X:X, "Subiu")</f>
        <v>0</v>
      </c>
    </row>
    <row r="58">
      <c r="A58" s="29" t="str">
        <f>IFERROR(__xludf.DUMMYFUNCTION("""COMPUTED_VALUE"""),"Agronegócio / Açúcar e Etanol")</f>
        <v>Agronegócio / Açúcar e Etanol</v>
      </c>
      <c r="B58" s="28">
        <f>SUMIF(Principal!C:C, A58, Principal!W:W)</f>
        <v>-79432785.74</v>
      </c>
      <c r="C58" s="28">
        <f>SUMIFS(Principal!W:W, Principal!C:C, A58, Principal!X:X, "Subiu")</f>
        <v>0</v>
      </c>
    </row>
    <row r="59">
      <c r="A59" s="29" t="str">
        <f>IFERROR(__xludf.DUMMYFUNCTION("""COMPUTED_VALUE"""),"Varejo / Supermercado")</f>
        <v>Varejo / Supermercado</v>
      </c>
      <c r="B59" s="28">
        <f>SUMIF(Principal!C:C, A59, Principal!W:W)</f>
        <v>-143635530.6</v>
      </c>
      <c r="C59" s="28">
        <f>SUMIFS(Principal!W:W, Principal!C:C, A59, Principal!X:X, "Subiu")</f>
        <v>0</v>
      </c>
    </row>
    <row r="60">
      <c r="A60" s="29" t="str">
        <f>IFERROR(__xludf.DUMMYFUNCTION("""COMPUTED_VALUE"""),"Varejo / Eletrodomésticos")</f>
        <v>Varejo / Eletrodomésticos</v>
      </c>
      <c r="B60" s="28">
        <f>SUMIF(Principal!C:C, A60, Principal!W:W)</f>
        <v>-20810240.84</v>
      </c>
      <c r="C60" s="28">
        <f>SUMIFS(Principal!W:W, Principal!C:C, A60, Principal!X:X, "Subiu")</f>
        <v>0</v>
      </c>
    </row>
    <row r="61">
      <c r="A61" s="29" t="str">
        <f>IFERROR(__xludf.DUMMYFUNCTION("""COMPUTED_VALUE"""),"Serviços / Aluguel de Carros")</f>
        <v>Serviços / Aluguel de Carros</v>
      </c>
      <c r="B61" s="28">
        <f>SUMIF(Principal!C:C, A61, Principal!W:W)</f>
        <v>-1807432634</v>
      </c>
      <c r="C61" s="28">
        <f>SUMIFS(Principal!W:W, Principal!C:C, A61, Principal!X:X, "Subiu")</f>
        <v>0</v>
      </c>
    </row>
    <row r="62">
      <c r="A62" s="29" t="str">
        <f>IFERROR(__xludf.DUMMYFUNCTION("""COMPUTED_VALUE"""),"Turismo / Agência de Viagens")</f>
        <v>Turismo / Agência de Viagens</v>
      </c>
      <c r="B62" s="28">
        <f>SUMIF(Principal!C:C, A62, Principal!W:W)</f>
        <v>-73557408.06</v>
      </c>
      <c r="C62" s="28">
        <f>SUMIFS(Principal!W:W, Principal!C:C, A62, Principal!X:X, "Subiu")</f>
        <v>0</v>
      </c>
    </row>
    <row r="63">
      <c r="B63" s="31"/>
    </row>
    <row r="64">
      <c r="B64" s="31"/>
    </row>
    <row r="65">
      <c r="B65" s="31"/>
    </row>
    <row r="66">
      <c r="A66" s="34" t="str">
        <f>IFERROR(__xludf.DUMMYFUNCTION("UNIQUE(Principal!X:X)"),"Resultado")</f>
        <v>Resultado</v>
      </c>
      <c r="B66" s="33" t="s">
        <v>191</v>
      </c>
    </row>
    <row r="67">
      <c r="A67" s="35" t="str">
        <f>IFERROR(__xludf.DUMMYFUNCTION("""COMPUTED_VALUE"""),"Subiu")</f>
        <v>Subiu</v>
      </c>
      <c r="B67" s="28">
        <f>SUMIF(Principal!X:X, A67, Principal!W:W)</f>
        <v>19719227010</v>
      </c>
    </row>
    <row r="68">
      <c r="A68" s="35" t="str">
        <f>IFERROR(__xludf.DUMMYFUNCTION("""COMPUTED_VALUE"""),"não houve variação")</f>
        <v>não houve variação</v>
      </c>
      <c r="B68" s="28">
        <f>SUMIF(Principal!X:X, A68, Principal!W:W)</f>
        <v>0</v>
      </c>
    </row>
    <row r="69">
      <c r="A69" s="35" t="str">
        <f>IFERROR(__xludf.DUMMYFUNCTION("""COMPUTED_VALUE"""),"Desceu")</f>
        <v>Desceu</v>
      </c>
      <c r="B69" s="28">
        <f>SUMIF(Principal!X:X, A69, Principal!W:W)</f>
        <v>-6338819961</v>
      </c>
    </row>
    <row r="70">
      <c r="A70" s="36" t="s">
        <v>193</v>
      </c>
      <c r="B70" s="28">
        <f>B67+B69</f>
        <v>13380407049</v>
      </c>
    </row>
    <row r="71">
      <c r="B71" s="31"/>
    </row>
    <row r="72">
      <c r="B72" s="31"/>
    </row>
    <row r="73">
      <c r="B73" s="31"/>
    </row>
    <row r="74">
      <c r="A74" s="37" t="str">
        <f>IFERROR(__xludf.DUMMYFUNCTION("UNIQUE(Principal!E:E)"),"Faixa Idade")</f>
        <v>Faixa Idade</v>
      </c>
      <c r="B74" s="33" t="s">
        <v>191</v>
      </c>
      <c r="C74" s="27" t="s">
        <v>194</v>
      </c>
    </row>
    <row r="75">
      <c r="A75" s="38" t="str">
        <f>IFERROR(__xludf.DUMMYFUNCTION("""COMPUTED_VALUE"""),"Entre 50 e 100 anos")</f>
        <v>Entre 50 e 100 anos</v>
      </c>
      <c r="B75" s="28">
        <f>SUMIF(Principal!E:E, A75, Principal!W:W)</f>
        <v>14386398664</v>
      </c>
      <c r="C75" s="31">
        <f>COUNTIF(Principal!E:E, A75)</f>
        <v>35</v>
      </c>
    </row>
    <row r="76">
      <c r="A76" s="38" t="str">
        <f>IFERROR(__xludf.DUMMYFUNCTION("""COMPUTED_VALUE"""),"Menos de 50 anos")</f>
        <v>Menos de 50 anos</v>
      </c>
      <c r="B76" s="28">
        <f>SUMIF(Principal!E:E, A76, Principal!W:W)</f>
        <v>-1636442543</v>
      </c>
      <c r="C76" s="31">
        <f>COUNTIF(Principal!E:E, A76)</f>
        <v>42</v>
      </c>
    </row>
    <row r="77">
      <c r="A77" s="38" t="str">
        <f>IFERROR(__xludf.DUMMYFUNCTION("""COMPUTED_VALUE"""),"Mais de 100 anos")</f>
        <v>Mais de 100 anos</v>
      </c>
      <c r="B77" s="28">
        <f>SUMIF(Principal!E:E, A77, Principal!W:W)</f>
        <v>630450927.7</v>
      </c>
      <c r="C77" s="31">
        <f>COUNTIF(Principal!E:E, A77)</f>
        <v>4</v>
      </c>
    </row>
    <row r="78">
      <c r="B78" s="31"/>
    </row>
    <row r="79">
      <c r="B79" s="31"/>
    </row>
    <row r="80">
      <c r="B80" s="31"/>
    </row>
    <row r="81">
      <c r="B81" s="39" t="s">
        <v>195</v>
      </c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  <row r="1001">
      <c r="B1001" s="31"/>
    </row>
  </sheetData>
  <autoFilter ref="$A$10:$C$62">
    <sortState ref="A10:C62">
      <sortCondition ref="C10:C62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40" t="s">
        <v>196</v>
      </c>
      <c r="B1" s="40" t="s">
        <v>197</v>
      </c>
    </row>
    <row r="2">
      <c r="A2" s="41" t="s">
        <v>37</v>
      </c>
      <c r="B2" s="42">
        <v>2.35665566E8</v>
      </c>
    </row>
    <row r="3">
      <c r="A3" s="41" t="s">
        <v>119</v>
      </c>
      <c r="B3" s="42">
        <v>5.32616595E8</v>
      </c>
    </row>
    <row r="4">
      <c r="A4" s="41" t="s">
        <v>142</v>
      </c>
      <c r="B4" s="42">
        <v>1.76733968E8</v>
      </c>
    </row>
    <row r="5">
      <c r="A5" s="41" t="s">
        <v>101</v>
      </c>
      <c r="B5" s="42">
        <v>4.394245879E9</v>
      </c>
    </row>
    <row r="6">
      <c r="A6" s="41" t="s">
        <v>49</v>
      </c>
      <c r="B6" s="42">
        <v>6.2305891E7</v>
      </c>
    </row>
    <row r="7">
      <c r="A7" s="41" t="s">
        <v>150</v>
      </c>
      <c r="B7" s="42">
        <v>1.349217892E9</v>
      </c>
    </row>
    <row r="8">
      <c r="A8" s="41" t="s">
        <v>35</v>
      </c>
      <c r="B8" s="42">
        <v>3.27593725E8</v>
      </c>
    </row>
    <row r="9">
      <c r="A9" s="41" t="s">
        <v>152</v>
      </c>
      <c r="B9" s="42">
        <v>5.60279011E9</v>
      </c>
    </row>
    <row r="10">
      <c r="A10" s="41" t="s">
        <v>103</v>
      </c>
      <c r="B10" s="42">
        <v>6.71750768E8</v>
      </c>
    </row>
    <row r="11">
      <c r="A11" s="41" t="s">
        <v>89</v>
      </c>
      <c r="B11" s="42">
        <v>1.500728902E9</v>
      </c>
    </row>
    <row r="12">
      <c r="A12" s="41" t="s">
        <v>51</v>
      </c>
      <c r="B12" s="42">
        <v>5.146576868E9</v>
      </c>
    </row>
    <row r="13">
      <c r="A13" s="41" t="s">
        <v>69</v>
      </c>
      <c r="B13" s="42">
        <v>2.51003438E8</v>
      </c>
    </row>
    <row r="14">
      <c r="A14" s="41" t="s">
        <v>77</v>
      </c>
      <c r="B14" s="42">
        <v>1.420949112E9</v>
      </c>
    </row>
    <row r="15">
      <c r="A15" s="41" t="s">
        <v>33</v>
      </c>
      <c r="B15" s="42">
        <v>2.65877867E8</v>
      </c>
    </row>
    <row r="16">
      <c r="A16" s="41" t="s">
        <v>57</v>
      </c>
      <c r="B16" s="42">
        <v>1.677525446E9</v>
      </c>
    </row>
    <row r="17">
      <c r="A17" s="41" t="s">
        <v>198</v>
      </c>
      <c r="B17" s="42">
        <v>1.150645866E9</v>
      </c>
    </row>
    <row r="18">
      <c r="A18" s="41" t="s">
        <v>162</v>
      </c>
      <c r="B18" s="42">
        <v>5.33990587E8</v>
      </c>
    </row>
    <row r="19">
      <c r="A19" s="41" t="s">
        <v>164</v>
      </c>
      <c r="B19" s="42">
        <v>9.4843047E7</v>
      </c>
    </row>
    <row r="20">
      <c r="A20" s="41" t="s">
        <v>121</v>
      </c>
      <c r="B20" s="42">
        <v>9.95335937E8</v>
      </c>
    </row>
    <row r="21">
      <c r="A21" s="41" t="s">
        <v>109</v>
      </c>
      <c r="B21" s="42">
        <v>1.437415777E9</v>
      </c>
    </row>
    <row r="22">
      <c r="A22" s="41" t="s">
        <v>63</v>
      </c>
      <c r="B22" s="42">
        <v>1.095462329E9</v>
      </c>
    </row>
    <row r="23">
      <c r="A23" s="41" t="s">
        <v>123</v>
      </c>
      <c r="B23" s="42">
        <v>1.81492098E9</v>
      </c>
    </row>
    <row r="24">
      <c r="A24" s="41" t="s">
        <v>95</v>
      </c>
      <c r="B24" s="42">
        <v>1.67933529E9</v>
      </c>
    </row>
    <row r="25">
      <c r="A25" s="41" t="s">
        <v>83</v>
      </c>
      <c r="B25" s="42">
        <v>1.168097881E9</v>
      </c>
    </row>
    <row r="26">
      <c r="A26" s="41" t="s">
        <v>19</v>
      </c>
      <c r="B26" s="42">
        <v>1.87732538E8</v>
      </c>
    </row>
    <row r="27">
      <c r="A27" s="41" t="s">
        <v>13</v>
      </c>
      <c r="B27" s="42">
        <v>1.110559345E9</v>
      </c>
    </row>
    <row r="28">
      <c r="A28" s="41" t="s">
        <v>168</v>
      </c>
      <c r="B28" s="42">
        <v>5.25582771E8</v>
      </c>
    </row>
    <row r="29">
      <c r="A29" s="41" t="s">
        <v>144</v>
      </c>
      <c r="B29" s="42">
        <v>2.65784616E8</v>
      </c>
    </row>
    <row r="30">
      <c r="A30" s="41" t="s">
        <v>65</v>
      </c>
      <c r="B30" s="42">
        <v>3.0276824E8</v>
      </c>
    </row>
    <row r="31">
      <c r="A31" s="41" t="s">
        <v>133</v>
      </c>
      <c r="B31" s="42">
        <v>1.980568384E9</v>
      </c>
    </row>
    <row r="32">
      <c r="A32" s="41" t="s">
        <v>111</v>
      </c>
      <c r="B32" s="42">
        <v>2.68544014E8</v>
      </c>
    </row>
    <row r="33">
      <c r="A33" s="41" t="s">
        <v>146</v>
      </c>
      <c r="B33" s="42">
        <v>7.34632705E8</v>
      </c>
    </row>
    <row r="34">
      <c r="A34" s="41" t="s">
        <v>199</v>
      </c>
      <c r="B34" s="42">
        <v>2.90386402E8</v>
      </c>
    </row>
    <row r="35">
      <c r="A35" s="41" t="s">
        <v>113</v>
      </c>
      <c r="B35" s="42">
        <v>1.579130168E9</v>
      </c>
    </row>
    <row r="36">
      <c r="A36" s="41" t="s">
        <v>127</v>
      </c>
      <c r="B36" s="42">
        <v>2.55236961E8</v>
      </c>
    </row>
    <row r="37">
      <c r="A37" s="41" t="s">
        <v>39</v>
      </c>
      <c r="B37" s="42">
        <v>1.095587251E9</v>
      </c>
    </row>
    <row r="38">
      <c r="A38" s="41" t="s">
        <v>137</v>
      </c>
      <c r="B38" s="42">
        <v>9.1514307E7</v>
      </c>
    </row>
    <row r="39">
      <c r="A39" s="41" t="s">
        <v>139</v>
      </c>
      <c r="B39" s="42">
        <v>2.40822651E8</v>
      </c>
    </row>
    <row r="40">
      <c r="A40" s="41" t="s">
        <v>91</v>
      </c>
      <c r="B40" s="42">
        <v>1.118525506E9</v>
      </c>
    </row>
    <row r="41">
      <c r="A41" s="41" t="s">
        <v>81</v>
      </c>
      <c r="B41" s="42">
        <v>6.60411219E8</v>
      </c>
    </row>
    <row r="42">
      <c r="A42" s="41" t="s">
        <v>170</v>
      </c>
      <c r="B42" s="42">
        <v>1.98184909E8</v>
      </c>
    </row>
    <row r="43">
      <c r="A43" s="41" t="s">
        <v>148</v>
      </c>
      <c r="B43" s="42">
        <v>8.46244302E8</v>
      </c>
    </row>
    <row r="44">
      <c r="A44" s="41" t="s">
        <v>140</v>
      </c>
      <c r="B44" s="42">
        <v>4.96029967E8</v>
      </c>
    </row>
    <row r="45">
      <c r="A45" s="41" t="s">
        <v>158</v>
      </c>
      <c r="B45" s="42">
        <v>4.394332306E9</v>
      </c>
    </row>
    <row r="46">
      <c r="A46" s="41" t="s">
        <v>154</v>
      </c>
      <c r="B46" s="42">
        <v>4.09490388E8</v>
      </c>
    </row>
    <row r="47">
      <c r="A47" s="41" t="s">
        <v>200</v>
      </c>
      <c r="B47" s="42">
        <v>2.17622138E8</v>
      </c>
    </row>
    <row r="48">
      <c r="A48" s="41" t="s">
        <v>131</v>
      </c>
      <c r="B48" s="42">
        <v>8.1838843E7</v>
      </c>
    </row>
    <row r="49">
      <c r="A49" s="41" t="s">
        <v>75</v>
      </c>
      <c r="B49" s="42">
        <v>5.372783971E9</v>
      </c>
    </row>
    <row r="50">
      <c r="A50" s="41" t="s">
        <v>29</v>
      </c>
      <c r="B50" s="42">
        <v>4.801593832E9</v>
      </c>
    </row>
    <row r="51">
      <c r="A51" s="41" t="s">
        <v>85</v>
      </c>
      <c r="B51" s="42">
        <v>1.134986472E9</v>
      </c>
    </row>
    <row r="52">
      <c r="A52" s="41" t="s">
        <v>201</v>
      </c>
      <c r="B52" s="42">
        <v>7.06747385E8</v>
      </c>
    </row>
    <row r="53">
      <c r="A53" s="41" t="s">
        <v>166</v>
      </c>
      <c r="B53" s="42">
        <v>8.53202347E8</v>
      </c>
    </row>
    <row r="54">
      <c r="A54" s="41" t="s">
        <v>160</v>
      </c>
      <c r="B54" s="42">
        <v>9.5132977E8</v>
      </c>
    </row>
    <row r="55">
      <c r="A55" s="41" t="s">
        <v>71</v>
      </c>
      <c r="B55" s="42">
        <v>3.93173139E8</v>
      </c>
    </row>
    <row r="56">
      <c r="A56" s="41" t="s">
        <v>87</v>
      </c>
      <c r="B56" s="42">
        <v>2.867627068E9</v>
      </c>
    </row>
    <row r="57">
      <c r="A57" s="41" t="s">
        <v>99</v>
      </c>
      <c r="B57" s="42">
        <v>3.31799687E8</v>
      </c>
    </row>
    <row r="58">
      <c r="A58" s="41" t="s">
        <v>53</v>
      </c>
      <c r="B58" s="42">
        <v>2.61036182E8</v>
      </c>
    </row>
    <row r="59">
      <c r="A59" s="41" t="s">
        <v>47</v>
      </c>
      <c r="B59" s="42">
        <v>3.76187582E8</v>
      </c>
    </row>
    <row r="60">
      <c r="A60" s="41" t="s">
        <v>27</v>
      </c>
      <c r="B60" s="42">
        <v>2.68505432E8</v>
      </c>
    </row>
    <row r="61">
      <c r="A61" s="41" t="s">
        <v>55</v>
      </c>
      <c r="B61" s="42">
        <v>1.59430826E8</v>
      </c>
    </row>
    <row r="62">
      <c r="A62" s="41" t="s">
        <v>15</v>
      </c>
      <c r="B62" s="42">
        <v>2.379877655E9</v>
      </c>
    </row>
    <row r="63">
      <c r="A63" s="41" t="s">
        <v>23</v>
      </c>
      <c r="B63" s="42">
        <v>4.566445852E9</v>
      </c>
    </row>
    <row r="64">
      <c r="A64" s="41" t="s">
        <v>73</v>
      </c>
      <c r="B64" s="42">
        <v>2.75005663E8</v>
      </c>
    </row>
    <row r="65">
      <c r="A65" s="41" t="s">
        <v>21</v>
      </c>
      <c r="B65" s="42">
        <v>8.00010734E8</v>
      </c>
    </row>
    <row r="66">
      <c r="A66" s="41" t="s">
        <v>135</v>
      </c>
      <c r="B66" s="42">
        <v>3.09729428E8</v>
      </c>
    </row>
    <row r="67">
      <c r="A67" s="41" t="s">
        <v>79</v>
      </c>
      <c r="B67" s="42">
        <v>1.275798515E9</v>
      </c>
    </row>
    <row r="68">
      <c r="A68" s="41" t="s">
        <v>93</v>
      </c>
      <c r="B68" s="42">
        <v>1.193047233E9</v>
      </c>
    </row>
    <row r="69">
      <c r="A69" s="41" t="s">
        <v>31</v>
      </c>
      <c r="B69" s="42">
        <v>1.168230366E9</v>
      </c>
    </row>
    <row r="70">
      <c r="A70" s="41" t="s">
        <v>61</v>
      </c>
      <c r="B70" s="42">
        <v>1.218352541E9</v>
      </c>
    </row>
    <row r="71">
      <c r="A71" s="41" t="s">
        <v>105</v>
      </c>
      <c r="B71" s="42">
        <v>3.40001799E8</v>
      </c>
    </row>
    <row r="72">
      <c r="A72" s="41" t="s">
        <v>202</v>
      </c>
      <c r="B72" s="42">
        <v>3.42918449E8</v>
      </c>
    </row>
    <row r="73">
      <c r="A73" s="41" t="s">
        <v>156</v>
      </c>
      <c r="B73" s="42">
        <v>1.4237733E8</v>
      </c>
    </row>
    <row r="74">
      <c r="A74" s="41" t="s">
        <v>41</v>
      </c>
      <c r="B74" s="42">
        <v>6.00865451E8</v>
      </c>
    </row>
    <row r="75">
      <c r="A75" s="41" t="s">
        <v>117</v>
      </c>
      <c r="B75" s="42">
        <v>1.9575113E8</v>
      </c>
    </row>
    <row r="76">
      <c r="A76" s="41" t="s">
        <v>17</v>
      </c>
      <c r="B76" s="42">
        <v>6.83452836E8</v>
      </c>
    </row>
    <row r="77">
      <c r="A77" s="41" t="s">
        <v>203</v>
      </c>
      <c r="B77" s="42">
        <v>2.18568234E8</v>
      </c>
    </row>
    <row r="78">
      <c r="A78" s="41" t="s">
        <v>59</v>
      </c>
      <c r="B78" s="42">
        <v>4.23091712E8</v>
      </c>
    </row>
    <row r="79">
      <c r="A79" s="41" t="s">
        <v>67</v>
      </c>
      <c r="B79" s="42">
        <v>8.07896814E8</v>
      </c>
    </row>
    <row r="80">
      <c r="A80" s="41" t="s">
        <v>107</v>
      </c>
      <c r="B80" s="42">
        <v>5.14122351E8</v>
      </c>
    </row>
    <row r="81">
      <c r="A81" s="41" t="s">
        <v>125</v>
      </c>
      <c r="B81" s="42">
        <v>3.95801044E8</v>
      </c>
    </row>
    <row r="82">
      <c r="A82" s="41" t="s">
        <v>45</v>
      </c>
      <c r="B82" s="42">
        <v>1.086411192E9</v>
      </c>
    </row>
    <row r="83">
      <c r="A83" s="41" t="s">
        <v>11</v>
      </c>
      <c r="B83" s="42">
        <v>5.15117391E8</v>
      </c>
    </row>
    <row r="84">
      <c r="A84" s="41" t="s">
        <v>25</v>
      </c>
      <c r="B84" s="42">
        <v>4.196924316E9</v>
      </c>
    </row>
    <row r="85">
      <c r="A85" s="41" t="s">
        <v>97</v>
      </c>
      <c r="B85" s="42">
        <v>4.2138333E8</v>
      </c>
    </row>
    <row r="86">
      <c r="A86" s="41" t="s">
        <v>129</v>
      </c>
      <c r="B86" s="42">
        <v>1.114412532E9</v>
      </c>
    </row>
    <row r="87">
      <c r="A87" s="41" t="s">
        <v>115</v>
      </c>
      <c r="B87" s="42">
        <v>1.481593024E9</v>
      </c>
    </row>
    <row r="88">
      <c r="A88" s="41" t="s">
        <v>43</v>
      </c>
      <c r="B88" s="42">
        <v>2.89347914E8</v>
      </c>
    </row>
    <row r="89">
      <c r="A89" s="41" t="s">
        <v>204</v>
      </c>
      <c r="B89" s="42">
        <v>9.6372098181E10</v>
      </c>
    </row>
    <row r="90">
      <c r="A90" s="41" t="s">
        <v>205</v>
      </c>
      <c r="B90" s="43">
        <v>1.70478507866643E7</v>
      </c>
    </row>
    <row r="91">
      <c r="A91" s="44"/>
      <c r="B91" s="44"/>
    </row>
    <row r="92">
      <c r="A92" s="44"/>
      <c r="B92" s="44"/>
    </row>
    <row r="93">
      <c r="A93" s="44"/>
      <c r="B93" s="44"/>
    </row>
    <row r="94">
      <c r="A94" s="44"/>
      <c r="B94" s="44"/>
    </row>
    <row r="95">
      <c r="A95" s="44"/>
      <c r="B95" s="44"/>
    </row>
    <row r="96">
      <c r="A96" s="44"/>
      <c r="B96" s="44"/>
    </row>
    <row r="97">
      <c r="A97" s="44"/>
      <c r="B97" s="44"/>
    </row>
    <row r="98">
      <c r="A98" s="44"/>
      <c r="B98" s="44"/>
    </row>
    <row r="99">
      <c r="A99" s="44"/>
      <c r="B99" s="44"/>
    </row>
    <row r="100">
      <c r="A100" s="44"/>
      <c r="B100" s="44"/>
    </row>
    <row r="101">
      <c r="A101" s="44"/>
      <c r="B101" s="44"/>
    </row>
    <row r="102">
      <c r="A102" s="44"/>
      <c r="B102" s="44"/>
    </row>
    <row r="103">
      <c r="A103" s="44"/>
      <c r="B103" s="44"/>
    </row>
    <row r="104">
      <c r="A104" s="44"/>
      <c r="B104" s="44"/>
    </row>
    <row r="105">
      <c r="A105" s="44"/>
      <c r="B105" s="44"/>
    </row>
    <row r="106">
      <c r="A106" s="44"/>
      <c r="B106" s="44"/>
    </row>
    <row r="107">
      <c r="A107" s="44"/>
      <c r="B107" s="44"/>
    </row>
    <row r="108">
      <c r="A108" s="44"/>
      <c r="B108" s="44"/>
    </row>
    <row r="109">
      <c r="A109" s="44"/>
      <c r="B109" s="44"/>
    </row>
    <row r="110">
      <c r="A110" s="44"/>
      <c r="B110" s="44"/>
    </row>
    <row r="111">
      <c r="A111" s="44"/>
      <c r="B111" s="44"/>
    </row>
    <row r="112">
      <c r="A112" s="44"/>
      <c r="B112" s="44"/>
    </row>
    <row r="113">
      <c r="A113" s="44"/>
      <c r="B113" s="44"/>
    </row>
    <row r="114">
      <c r="A114" s="44"/>
      <c r="B114" s="44"/>
    </row>
    <row r="115">
      <c r="A115" s="44"/>
      <c r="B115" s="44"/>
    </row>
    <row r="116">
      <c r="A116" s="44"/>
      <c r="B116" s="44"/>
    </row>
    <row r="117">
      <c r="A117" s="44"/>
      <c r="B117" s="44"/>
    </row>
    <row r="118">
      <c r="A118" s="44"/>
      <c r="B118" s="44"/>
    </row>
    <row r="119">
      <c r="A119" s="44"/>
      <c r="B119" s="44"/>
    </row>
    <row r="120">
      <c r="A120" s="44"/>
      <c r="B120" s="44"/>
    </row>
    <row r="121">
      <c r="A121" s="44"/>
      <c r="B121" s="44"/>
    </row>
    <row r="122">
      <c r="A122" s="44"/>
      <c r="B122" s="44"/>
    </row>
    <row r="123">
      <c r="A123" s="44"/>
      <c r="B123" s="44"/>
    </row>
    <row r="124">
      <c r="A124" s="44"/>
      <c r="B124" s="44"/>
    </row>
    <row r="125">
      <c r="A125" s="44"/>
      <c r="B125" s="44"/>
    </row>
    <row r="126">
      <c r="A126" s="44"/>
      <c r="B126" s="44"/>
    </row>
    <row r="127">
      <c r="A127" s="44"/>
      <c r="B127" s="44"/>
    </row>
    <row r="128">
      <c r="A128" s="44"/>
      <c r="B128" s="44"/>
    </row>
    <row r="129">
      <c r="A129" s="44"/>
      <c r="B129" s="44"/>
    </row>
    <row r="130">
      <c r="A130" s="44"/>
      <c r="B130" s="44"/>
    </row>
    <row r="131">
      <c r="A131" s="44"/>
      <c r="B131" s="44"/>
    </row>
    <row r="132">
      <c r="A132" s="44"/>
      <c r="B132" s="44"/>
    </row>
    <row r="133">
      <c r="A133" s="44"/>
      <c r="B133" s="44"/>
    </row>
    <row r="134">
      <c r="A134" s="44"/>
      <c r="B134" s="44"/>
    </row>
    <row r="135">
      <c r="A135" s="44"/>
      <c r="B135" s="44"/>
    </row>
    <row r="136">
      <c r="A136" s="44"/>
      <c r="B136" s="44"/>
    </row>
    <row r="137">
      <c r="A137" s="44"/>
      <c r="B137" s="44"/>
    </row>
    <row r="138">
      <c r="A138" s="44"/>
      <c r="B138" s="44"/>
    </row>
    <row r="139">
      <c r="A139" s="44"/>
      <c r="B139" s="44"/>
    </row>
    <row r="140">
      <c r="A140" s="44"/>
      <c r="B140" s="44"/>
    </row>
    <row r="141">
      <c r="A141" s="44"/>
      <c r="B141" s="44"/>
    </row>
    <row r="142">
      <c r="A142" s="44"/>
      <c r="B142" s="44"/>
    </row>
    <row r="143">
      <c r="A143" s="44"/>
      <c r="B143" s="44"/>
    </row>
    <row r="144">
      <c r="A144" s="44"/>
      <c r="B144" s="44"/>
    </row>
    <row r="145">
      <c r="A145" s="44"/>
      <c r="B145" s="44"/>
    </row>
    <row r="146">
      <c r="A146" s="44"/>
      <c r="B146" s="44"/>
    </row>
    <row r="147">
      <c r="A147" s="44"/>
      <c r="B147" s="44"/>
    </row>
    <row r="148">
      <c r="A148" s="44"/>
      <c r="B148" s="44"/>
    </row>
    <row r="149">
      <c r="A149" s="44"/>
      <c r="B149" s="44"/>
    </row>
    <row r="150">
      <c r="A150" s="44"/>
      <c r="B150" s="44"/>
    </row>
    <row r="151">
      <c r="A151" s="44"/>
      <c r="B151" s="44"/>
    </row>
    <row r="152">
      <c r="A152" s="44"/>
      <c r="B152" s="44"/>
    </row>
    <row r="153">
      <c r="A153" s="44"/>
      <c r="B153" s="44"/>
    </row>
    <row r="154">
      <c r="A154" s="44"/>
      <c r="B154" s="44"/>
    </row>
    <row r="155">
      <c r="A155" s="44"/>
      <c r="B155" s="44"/>
    </row>
    <row r="156">
      <c r="A156" s="44"/>
      <c r="B156" s="44"/>
    </row>
    <row r="157">
      <c r="A157" s="44"/>
      <c r="B157" s="44"/>
    </row>
    <row r="158">
      <c r="A158" s="44"/>
      <c r="B158" s="44"/>
    </row>
    <row r="159">
      <c r="A159" s="44"/>
      <c r="B159" s="44"/>
    </row>
    <row r="160">
      <c r="A160" s="44"/>
      <c r="B160" s="44"/>
    </row>
    <row r="161">
      <c r="A161" s="44"/>
      <c r="B161" s="44"/>
    </row>
    <row r="162">
      <c r="A162" s="44"/>
      <c r="B162" s="44"/>
    </row>
    <row r="163">
      <c r="A163" s="44"/>
      <c r="B163" s="44"/>
    </row>
    <row r="164">
      <c r="A164" s="44"/>
      <c r="B164" s="44"/>
    </row>
    <row r="165">
      <c r="A165" s="44"/>
      <c r="B165" s="44"/>
    </row>
    <row r="166">
      <c r="A166" s="44"/>
      <c r="B166" s="44"/>
    </row>
    <row r="167">
      <c r="A167" s="44"/>
      <c r="B167" s="44"/>
    </row>
    <row r="168">
      <c r="A168" s="44"/>
      <c r="B168" s="44"/>
    </row>
    <row r="169">
      <c r="A169" s="44"/>
      <c r="B169" s="44"/>
    </row>
    <row r="170">
      <c r="A170" s="44"/>
      <c r="B170" s="44"/>
    </row>
    <row r="171">
      <c r="A171" s="44"/>
      <c r="B171" s="44"/>
    </row>
    <row r="172">
      <c r="A172" s="44"/>
      <c r="B172" s="44"/>
    </row>
    <row r="173">
      <c r="A173" s="44"/>
      <c r="B173" s="44"/>
    </row>
    <row r="174">
      <c r="A174" s="44"/>
      <c r="B174" s="44"/>
    </row>
    <row r="175">
      <c r="A175" s="44"/>
      <c r="B175" s="44"/>
    </row>
    <row r="176">
      <c r="A176" s="44"/>
      <c r="B176" s="44"/>
    </row>
    <row r="177">
      <c r="A177" s="44"/>
      <c r="B177" s="44"/>
    </row>
    <row r="178">
      <c r="A178" s="44"/>
      <c r="B178" s="44"/>
    </row>
    <row r="179">
      <c r="A179" s="44"/>
      <c r="B179" s="44"/>
    </row>
    <row r="180">
      <c r="A180" s="44"/>
      <c r="B180" s="44"/>
    </row>
    <row r="181">
      <c r="A181" s="44"/>
      <c r="B181" s="44"/>
    </row>
    <row r="182">
      <c r="A182" s="44"/>
      <c r="B182" s="44"/>
    </row>
    <row r="183">
      <c r="A183" s="44"/>
      <c r="B183" s="44"/>
    </row>
    <row r="184">
      <c r="A184" s="44"/>
      <c r="B184" s="44"/>
    </row>
    <row r="185">
      <c r="A185" s="44"/>
      <c r="B185" s="44"/>
    </row>
    <row r="186">
      <c r="A186" s="44"/>
      <c r="B186" s="44"/>
    </row>
    <row r="187">
      <c r="A187" s="44"/>
      <c r="B187" s="44"/>
    </row>
    <row r="188">
      <c r="A188" s="44"/>
      <c r="B188" s="44"/>
    </row>
    <row r="189">
      <c r="A189" s="44"/>
      <c r="B189" s="44"/>
    </row>
    <row r="190">
      <c r="A190" s="44"/>
      <c r="B190" s="44"/>
    </row>
    <row r="191">
      <c r="A191" s="44"/>
      <c r="B191" s="44"/>
    </row>
    <row r="192">
      <c r="A192" s="44"/>
      <c r="B192" s="44"/>
    </row>
    <row r="193">
      <c r="A193" s="44"/>
      <c r="B193" s="44"/>
    </row>
    <row r="194">
      <c r="A194" s="44"/>
      <c r="B194" s="44"/>
    </row>
    <row r="195">
      <c r="A195" s="44"/>
      <c r="B195" s="44"/>
    </row>
    <row r="196">
      <c r="A196" s="44"/>
      <c r="B196" s="44"/>
    </row>
    <row r="197">
      <c r="A197" s="44"/>
      <c r="B197" s="44"/>
    </row>
    <row r="198">
      <c r="A198" s="44"/>
      <c r="B198" s="44"/>
    </row>
    <row r="199">
      <c r="A199" s="44"/>
      <c r="B199" s="44"/>
    </row>
    <row r="200">
      <c r="A200" s="44"/>
      <c r="B200" s="44"/>
    </row>
    <row r="201">
      <c r="A201" s="44"/>
      <c r="B201" s="44"/>
    </row>
    <row r="202">
      <c r="A202" s="44"/>
      <c r="B202" s="44"/>
    </row>
    <row r="203">
      <c r="A203" s="44"/>
      <c r="B203" s="44"/>
    </row>
    <row r="204">
      <c r="A204" s="44"/>
      <c r="B204" s="44"/>
    </row>
    <row r="205">
      <c r="A205" s="44"/>
      <c r="B205" s="44"/>
    </row>
    <row r="206">
      <c r="A206" s="44"/>
      <c r="B206" s="44"/>
    </row>
    <row r="207">
      <c r="A207" s="44"/>
      <c r="B207" s="44"/>
    </row>
    <row r="208">
      <c r="A208" s="44"/>
      <c r="B208" s="44"/>
    </row>
    <row r="209">
      <c r="A209" s="44"/>
      <c r="B209" s="44"/>
    </row>
    <row r="210">
      <c r="A210" s="44"/>
      <c r="B210" s="44"/>
    </row>
    <row r="211">
      <c r="A211" s="44"/>
      <c r="B211" s="44"/>
    </row>
    <row r="212">
      <c r="A212" s="44"/>
      <c r="B212" s="44"/>
    </row>
    <row r="213">
      <c r="A213" s="44"/>
      <c r="B213" s="44"/>
    </row>
    <row r="214">
      <c r="A214" s="44"/>
      <c r="B214" s="44"/>
    </row>
    <row r="215">
      <c r="A215" s="44"/>
      <c r="B215" s="44"/>
    </row>
    <row r="216">
      <c r="A216" s="44"/>
      <c r="B216" s="44"/>
    </row>
    <row r="217">
      <c r="A217" s="44"/>
      <c r="B217" s="44"/>
    </row>
    <row r="218">
      <c r="A218" s="44"/>
      <c r="B218" s="44"/>
    </row>
    <row r="219">
      <c r="A219" s="44"/>
      <c r="B219" s="44"/>
    </row>
    <row r="220">
      <c r="A220" s="44"/>
      <c r="B220" s="44"/>
    </row>
    <row r="221">
      <c r="A221" s="44"/>
      <c r="B221" s="44"/>
    </row>
    <row r="222">
      <c r="A222" s="44"/>
      <c r="B222" s="44"/>
    </row>
    <row r="223">
      <c r="A223" s="44"/>
      <c r="B223" s="44"/>
    </row>
    <row r="224">
      <c r="A224" s="44"/>
      <c r="B224" s="44"/>
    </row>
    <row r="225">
      <c r="A225" s="44"/>
      <c r="B225" s="44"/>
    </row>
    <row r="226">
      <c r="A226" s="44"/>
      <c r="B226" s="44"/>
    </row>
    <row r="227">
      <c r="A227" s="44"/>
      <c r="B227" s="44"/>
    </row>
    <row r="228">
      <c r="A228" s="44"/>
      <c r="B228" s="44"/>
    </row>
    <row r="229">
      <c r="A229" s="44"/>
      <c r="B229" s="44"/>
    </row>
    <row r="230">
      <c r="A230" s="44"/>
      <c r="B230" s="44"/>
    </row>
    <row r="231">
      <c r="A231" s="44"/>
      <c r="B231" s="44"/>
    </row>
    <row r="232">
      <c r="A232" s="44"/>
      <c r="B232" s="44"/>
    </row>
    <row r="233">
      <c r="A233" s="44"/>
      <c r="B233" s="44"/>
    </row>
    <row r="234">
      <c r="A234" s="44"/>
      <c r="B234" s="44"/>
    </row>
    <row r="235">
      <c r="A235" s="44"/>
      <c r="B235" s="44"/>
    </row>
    <row r="236">
      <c r="A236" s="44"/>
      <c r="B236" s="44"/>
    </row>
    <row r="237">
      <c r="A237" s="44"/>
      <c r="B237" s="44"/>
    </row>
    <row r="238">
      <c r="A238" s="44"/>
      <c r="B238" s="44"/>
    </row>
    <row r="239">
      <c r="A239" s="44"/>
      <c r="B239" s="44"/>
    </row>
    <row r="240">
      <c r="A240" s="44"/>
      <c r="B240" s="44"/>
    </row>
    <row r="241">
      <c r="A241" s="44"/>
      <c r="B241" s="44"/>
    </row>
    <row r="242">
      <c r="A242" s="44"/>
      <c r="B242" s="44"/>
    </row>
    <row r="243">
      <c r="A243" s="44"/>
      <c r="B243" s="44"/>
    </row>
    <row r="244">
      <c r="A244" s="44"/>
      <c r="B244" s="44"/>
    </row>
    <row r="245">
      <c r="A245" s="44"/>
      <c r="B245" s="44"/>
    </row>
    <row r="246">
      <c r="A246" s="44"/>
      <c r="B246" s="44"/>
    </row>
    <row r="247">
      <c r="A247" s="44"/>
      <c r="B247" s="44"/>
    </row>
    <row r="248">
      <c r="A248" s="44"/>
      <c r="B248" s="44"/>
    </row>
    <row r="249">
      <c r="A249" s="44"/>
      <c r="B249" s="44"/>
    </row>
    <row r="250">
      <c r="A250" s="44"/>
      <c r="B250" s="44"/>
    </row>
    <row r="251">
      <c r="A251" s="44"/>
      <c r="B251" s="44"/>
    </row>
    <row r="252">
      <c r="A252" s="44"/>
      <c r="B252" s="44"/>
    </row>
    <row r="253">
      <c r="A253" s="44"/>
      <c r="B253" s="44"/>
    </row>
    <row r="254">
      <c r="A254" s="44"/>
      <c r="B254" s="44"/>
    </row>
    <row r="255">
      <c r="A255" s="44"/>
      <c r="B255" s="44"/>
    </row>
    <row r="256">
      <c r="A256" s="44"/>
      <c r="B256" s="44"/>
    </row>
    <row r="257">
      <c r="A257" s="44"/>
      <c r="B257" s="44"/>
    </row>
    <row r="258">
      <c r="A258" s="44"/>
      <c r="B258" s="44"/>
    </row>
    <row r="259">
      <c r="A259" s="44"/>
      <c r="B259" s="44"/>
    </row>
    <row r="260">
      <c r="A260" s="44"/>
      <c r="B260" s="44"/>
    </row>
    <row r="261">
      <c r="A261" s="44"/>
      <c r="B261" s="44"/>
    </row>
    <row r="262">
      <c r="A262" s="44"/>
      <c r="B262" s="44"/>
    </row>
    <row r="263">
      <c r="A263" s="44"/>
      <c r="B263" s="44"/>
    </row>
    <row r="264">
      <c r="A264" s="44"/>
      <c r="B264" s="44"/>
    </row>
    <row r="265">
      <c r="A265" s="44"/>
      <c r="B265" s="44"/>
    </row>
    <row r="266">
      <c r="A266" s="44"/>
      <c r="B266" s="44"/>
    </row>
    <row r="267">
      <c r="A267" s="44"/>
      <c r="B267" s="44"/>
    </row>
    <row r="268">
      <c r="A268" s="44"/>
      <c r="B268" s="44"/>
    </row>
    <row r="269">
      <c r="A269" s="44"/>
      <c r="B269" s="44"/>
    </row>
    <row r="270">
      <c r="A270" s="44"/>
      <c r="B270" s="44"/>
    </row>
    <row r="271">
      <c r="A271" s="44"/>
      <c r="B271" s="44"/>
    </row>
    <row r="272">
      <c r="A272" s="44"/>
      <c r="B272" s="44"/>
    </row>
    <row r="273">
      <c r="A273" s="44"/>
      <c r="B273" s="44"/>
    </row>
    <row r="274">
      <c r="A274" s="44"/>
      <c r="B274" s="44"/>
    </row>
    <row r="275">
      <c r="A275" s="44"/>
      <c r="B275" s="44"/>
    </row>
    <row r="276">
      <c r="A276" s="44"/>
      <c r="B276" s="44"/>
    </row>
    <row r="277">
      <c r="A277" s="44"/>
      <c r="B277" s="44"/>
    </row>
    <row r="278">
      <c r="A278" s="44"/>
      <c r="B278" s="44"/>
    </row>
    <row r="279">
      <c r="A279" s="44"/>
      <c r="B279" s="44"/>
    </row>
    <row r="280">
      <c r="A280" s="44"/>
      <c r="B280" s="44"/>
    </row>
    <row r="281">
      <c r="A281" s="44"/>
      <c r="B281" s="44"/>
    </row>
    <row r="282">
      <c r="A282" s="44"/>
      <c r="B282" s="44"/>
    </row>
    <row r="283">
      <c r="A283" s="44"/>
      <c r="B283" s="44"/>
    </row>
    <row r="284">
      <c r="A284" s="44"/>
      <c r="B284" s="44"/>
    </row>
    <row r="285">
      <c r="A285" s="44"/>
      <c r="B285" s="44"/>
    </row>
    <row r="286">
      <c r="A286" s="44"/>
      <c r="B286" s="44"/>
    </row>
    <row r="287">
      <c r="A287" s="44"/>
      <c r="B287" s="44"/>
    </row>
    <row r="288">
      <c r="A288" s="44"/>
      <c r="B288" s="44"/>
    </row>
    <row r="289">
      <c r="A289" s="44"/>
      <c r="B289" s="44"/>
    </row>
    <row r="290">
      <c r="A290" s="44"/>
      <c r="B290" s="44"/>
    </row>
    <row r="291">
      <c r="A291" s="44"/>
      <c r="B291" s="44"/>
    </row>
    <row r="292">
      <c r="A292" s="44"/>
      <c r="B292" s="44"/>
    </row>
    <row r="293">
      <c r="A293" s="44"/>
      <c r="B293" s="44"/>
    </row>
    <row r="294">
      <c r="A294" s="44"/>
      <c r="B294" s="44"/>
    </row>
    <row r="295">
      <c r="A295" s="44"/>
      <c r="B295" s="44"/>
    </row>
    <row r="296">
      <c r="A296" s="44"/>
      <c r="B296" s="44"/>
    </row>
    <row r="297">
      <c r="A297" s="44"/>
      <c r="B297" s="44"/>
    </row>
    <row r="298">
      <c r="A298" s="44"/>
      <c r="B298" s="44"/>
    </row>
    <row r="299">
      <c r="A299" s="44"/>
      <c r="B299" s="44"/>
    </row>
    <row r="300">
      <c r="A300" s="44"/>
      <c r="B300" s="44"/>
    </row>
    <row r="301">
      <c r="A301" s="44"/>
      <c r="B301" s="44"/>
    </row>
    <row r="302">
      <c r="A302" s="44"/>
      <c r="B302" s="44"/>
    </row>
    <row r="303">
      <c r="A303" s="44"/>
      <c r="B303" s="44"/>
    </row>
    <row r="304">
      <c r="A304" s="44"/>
      <c r="B304" s="44"/>
    </row>
    <row r="305">
      <c r="A305" s="44"/>
      <c r="B305" s="44"/>
    </row>
    <row r="306">
      <c r="A306" s="44"/>
      <c r="B306" s="44"/>
    </row>
    <row r="307">
      <c r="A307" s="44"/>
      <c r="B307" s="44"/>
    </row>
    <row r="308">
      <c r="A308" s="44"/>
      <c r="B308" s="44"/>
    </row>
    <row r="309">
      <c r="A309" s="44"/>
      <c r="B309" s="44"/>
    </row>
    <row r="310">
      <c r="A310" s="44"/>
      <c r="B310" s="44"/>
    </row>
    <row r="311">
      <c r="A311" s="44"/>
      <c r="B311" s="44"/>
    </row>
    <row r="312">
      <c r="A312" s="44"/>
      <c r="B312" s="44"/>
    </row>
    <row r="313">
      <c r="A313" s="44"/>
      <c r="B313" s="44"/>
    </row>
    <row r="314">
      <c r="A314" s="44"/>
      <c r="B314" s="44"/>
    </row>
    <row r="315">
      <c r="A315" s="44"/>
      <c r="B315" s="44"/>
    </row>
    <row r="316">
      <c r="A316" s="44"/>
      <c r="B316" s="44"/>
    </row>
    <row r="317">
      <c r="A317" s="44"/>
      <c r="B317" s="44"/>
    </row>
    <row r="318">
      <c r="A318" s="44"/>
      <c r="B318" s="44"/>
    </row>
    <row r="319">
      <c r="A319" s="44"/>
      <c r="B319" s="44"/>
    </row>
    <row r="320">
      <c r="A320" s="44"/>
      <c r="B320" s="44"/>
    </row>
    <row r="321">
      <c r="A321" s="44"/>
      <c r="B321" s="44"/>
    </row>
    <row r="322">
      <c r="A322" s="44"/>
      <c r="B322" s="44"/>
    </row>
    <row r="323">
      <c r="A323" s="44"/>
      <c r="B323" s="44"/>
    </row>
    <row r="324">
      <c r="A324" s="44"/>
      <c r="B324" s="44"/>
    </row>
    <row r="325">
      <c r="A325" s="44"/>
      <c r="B325" s="44"/>
    </row>
    <row r="326">
      <c r="A326" s="44"/>
      <c r="B326" s="44"/>
    </row>
    <row r="327">
      <c r="A327" s="44"/>
      <c r="B327" s="44"/>
    </row>
    <row r="328">
      <c r="A328" s="44"/>
      <c r="B328" s="44"/>
    </row>
    <row r="329">
      <c r="A329" s="44"/>
      <c r="B329" s="44"/>
    </row>
    <row r="330">
      <c r="A330" s="44"/>
      <c r="B330" s="44"/>
    </row>
    <row r="331">
      <c r="A331" s="44"/>
      <c r="B331" s="44"/>
    </row>
    <row r="332">
      <c r="A332" s="44"/>
      <c r="B332" s="44"/>
    </row>
    <row r="333">
      <c r="A333" s="44"/>
      <c r="B333" s="44"/>
    </row>
    <row r="334">
      <c r="A334" s="44"/>
      <c r="B334" s="44"/>
    </row>
    <row r="335">
      <c r="A335" s="44"/>
      <c r="B335" s="44"/>
    </row>
    <row r="336">
      <c r="A336" s="44"/>
      <c r="B336" s="44"/>
    </row>
    <row r="337">
      <c r="A337" s="44"/>
      <c r="B337" s="44"/>
    </row>
    <row r="338">
      <c r="A338" s="44"/>
      <c r="B338" s="44"/>
    </row>
    <row r="339">
      <c r="A339" s="44"/>
      <c r="B339" s="44"/>
    </row>
    <row r="340">
      <c r="A340" s="44"/>
      <c r="B340" s="44"/>
    </row>
    <row r="341">
      <c r="A341" s="44"/>
      <c r="B341" s="44"/>
    </row>
    <row r="342">
      <c r="A342" s="44"/>
      <c r="B342" s="44"/>
    </row>
    <row r="343">
      <c r="A343" s="44"/>
      <c r="B343" s="44"/>
    </row>
    <row r="344">
      <c r="A344" s="44"/>
      <c r="B344" s="44"/>
    </row>
    <row r="345">
      <c r="A345" s="44"/>
      <c r="B345" s="44"/>
    </row>
    <row r="346">
      <c r="A346" s="44"/>
      <c r="B346" s="44"/>
    </row>
    <row r="347">
      <c r="A347" s="44"/>
      <c r="B347" s="44"/>
    </row>
    <row r="348">
      <c r="A348" s="44"/>
      <c r="B348" s="44"/>
    </row>
    <row r="349">
      <c r="A349" s="44"/>
      <c r="B349" s="44"/>
    </row>
    <row r="350">
      <c r="A350" s="44"/>
      <c r="B350" s="44"/>
    </row>
    <row r="351">
      <c r="A351" s="44"/>
      <c r="B351" s="44"/>
    </row>
    <row r="352">
      <c r="A352" s="44"/>
      <c r="B352" s="44"/>
    </row>
    <row r="353">
      <c r="A353" s="44"/>
      <c r="B353" s="44"/>
    </row>
    <row r="354">
      <c r="A354" s="44"/>
      <c r="B354" s="44"/>
    </row>
    <row r="355">
      <c r="A355" s="44"/>
      <c r="B355" s="44"/>
    </row>
    <row r="356">
      <c r="A356" s="44"/>
      <c r="B356" s="44"/>
    </row>
    <row r="357">
      <c r="A357" s="44"/>
      <c r="B357" s="44"/>
    </row>
    <row r="358">
      <c r="A358" s="44"/>
      <c r="B358" s="44"/>
    </row>
    <row r="359">
      <c r="A359" s="44"/>
      <c r="B359" s="44"/>
    </row>
    <row r="360">
      <c r="A360" s="44"/>
      <c r="B360" s="44"/>
    </row>
    <row r="361">
      <c r="A361" s="44"/>
      <c r="B361" s="44"/>
    </row>
    <row r="362">
      <c r="A362" s="44"/>
      <c r="B362" s="44"/>
    </row>
    <row r="363">
      <c r="A363" s="44"/>
      <c r="B363" s="44"/>
    </row>
    <row r="364">
      <c r="A364" s="44"/>
      <c r="B364" s="44"/>
    </row>
    <row r="365">
      <c r="A365" s="44"/>
      <c r="B365" s="44"/>
    </row>
    <row r="366">
      <c r="A366" s="44"/>
      <c r="B366" s="44"/>
    </row>
    <row r="367">
      <c r="A367" s="44"/>
      <c r="B367" s="44"/>
    </row>
    <row r="368">
      <c r="A368" s="44"/>
      <c r="B368" s="44"/>
    </row>
    <row r="369">
      <c r="A369" s="44"/>
      <c r="B369" s="44"/>
    </row>
    <row r="370">
      <c r="A370" s="44"/>
      <c r="B370" s="44"/>
    </row>
    <row r="371">
      <c r="A371" s="44"/>
      <c r="B371" s="44"/>
    </row>
    <row r="372">
      <c r="A372" s="44"/>
      <c r="B372" s="44"/>
    </row>
    <row r="373">
      <c r="A373" s="44"/>
      <c r="B373" s="44"/>
    </row>
    <row r="374">
      <c r="A374" s="44"/>
      <c r="B374" s="44"/>
    </row>
    <row r="375">
      <c r="A375" s="44"/>
      <c r="B375" s="44"/>
    </row>
    <row r="376">
      <c r="A376" s="44"/>
      <c r="B376" s="44"/>
    </row>
    <row r="377">
      <c r="A377" s="44"/>
      <c r="B377" s="44"/>
    </row>
    <row r="378">
      <c r="A378" s="44"/>
      <c r="B378" s="44"/>
    </row>
    <row r="379">
      <c r="A379" s="44"/>
      <c r="B379" s="44"/>
    </row>
    <row r="380">
      <c r="A380" s="44"/>
      <c r="B380" s="44"/>
    </row>
    <row r="381">
      <c r="A381" s="44"/>
      <c r="B381" s="44"/>
    </row>
    <row r="382">
      <c r="A382" s="44"/>
      <c r="B382" s="44"/>
    </row>
    <row r="383">
      <c r="A383" s="44"/>
      <c r="B383" s="44"/>
    </row>
    <row r="384">
      <c r="A384" s="44"/>
      <c r="B384" s="44"/>
    </row>
    <row r="385">
      <c r="A385" s="44"/>
      <c r="B385" s="44"/>
    </row>
    <row r="386">
      <c r="A386" s="44"/>
      <c r="B386" s="44"/>
    </row>
    <row r="387">
      <c r="A387" s="44"/>
      <c r="B387" s="44"/>
    </row>
    <row r="388">
      <c r="A388" s="44"/>
      <c r="B388" s="44"/>
    </row>
    <row r="389">
      <c r="A389" s="44"/>
      <c r="B389" s="44"/>
    </row>
    <row r="390">
      <c r="A390" s="44"/>
      <c r="B390" s="44"/>
    </row>
    <row r="391">
      <c r="A391" s="44"/>
      <c r="B391" s="44"/>
    </row>
    <row r="392">
      <c r="A392" s="44"/>
      <c r="B392" s="44"/>
    </row>
    <row r="393">
      <c r="A393" s="44"/>
      <c r="B393" s="44"/>
    </row>
    <row r="394">
      <c r="A394" s="44"/>
      <c r="B394" s="44"/>
    </row>
    <row r="395">
      <c r="A395" s="44"/>
      <c r="B395" s="44"/>
    </row>
    <row r="396">
      <c r="A396" s="44"/>
      <c r="B396" s="44"/>
    </row>
    <row r="397">
      <c r="A397" s="44"/>
      <c r="B397" s="44"/>
    </row>
    <row r="398">
      <c r="A398" s="44"/>
      <c r="B398" s="44"/>
    </row>
    <row r="399">
      <c r="A399" s="44"/>
      <c r="B399" s="44"/>
    </row>
    <row r="400">
      <c r="A400" s="44"/>
      <c r="B400" s="44"/>
    </row>
    <row r="401">
      <c r="A401" s="44"/>
      <c r="B401" s="44"/>
    </row>
    <row r="402">
      <c r="A402" s="44"/>
      <c r="B402" s="44"/>
    </row>
    <row r="403">
      <c r="A403" s="44"/>
      <c r="B403" s="44"/>
    </row>
    <row r="404">
      <c r="A404" s="44"/>
      <c r="B404" s="44"/>
    </row>
    <row r="405">
      <c r="A405" s="44"/>
      <c r="B405" s="44"/>
    </row>
    <row r="406">
      <c r="A406" s="44"/>
      <c r="B406" s="44"/>
    </row>
    <row r="407">
      <c r="A407" s="44"/>
      <c r="B407" s="44"/>
    </row>
    <row r="408">
      <c r="A408" s="44"/>
      <c r="B408" s="44"/>
    </row>
    <row r="409">
      <c r="A409" s="44"/>
      <c r="B409" s="44"/>
    </row>
    <row r="410">
      <c r="A410" s="44"/>
      <c r="B410" s="44"/>
    </row>
    <row r="411">
      <c r="A411" s="44"/>
      <c r="B411" s="44"/>
    </row>
    <row r="412">
      <c r="A412" s="44"/>
      <c r="B412" s="44"/>
    </row>
    <row r="413">
      <c r="A413" s="44"/>
      <c r="B413" s="44"/>
    </row>
    <row r="414">
      <c r="A414" s="44"/>
      <c r="B414" s="44"/>
    </row>
    <row r="415">
      <c r="A415" s="44"/>
      <c r="B415" s="44"/>
    </row>
    <row r="416">
      <c r="A416" s="44"/>
      <c r="B416" s="44"/>
    </row>
    <row r="417">
      <c r="A417" s="44"/>
      <c r="B417" s="44"/>
    </row>
    <row r="418">
      <c r="A418" s="44"/>
      <c r="B418" s="44"/>
    </row>
    <row r="419">
      <c r="A419" s="44"/>
      <c r="B419" s="44"/>
    </row>
    <row r="420">
      <c r="A420" s="44"/>
      <c r="B420" s="44"/>
    </row>
    <row r="421">
      <c r="A421" s="44"/>
      <c r="B421" s="44"/>
    </row>
    <row r="422">
      <c r="A422" s="44"/>
      <c r="B422" s="44"/>
    </row>
    <row r="423">
      <c r="A423" s="44"/>
      <c r="B423" s="44"/>
    </row>
    <row r="424">
      <c r="A424" s="44"/>
      <c r="B424" s="44"/>
    </row>
    <row r="425">
      <c r="A425" s="44"/>
      <c r="B425" s="44"/>
    </row>
    <row r="426">
      <c r="A426" s="44"/>
      <c r="B426" s="44"/>
    </row>
    <row r="427">
      <c r="A427" s="44"/>
      <c r="B427" s="44"/>
    </row>
    <row r="428">
      <c r="A428" s="44"/>
      <c r="B428" s="44"/>
    </row>
    <row r="429">
      <c r="A429" s="44"/>
      <c r="B429" s="44"/>
    </row>
    <row r="430">
      <c r="A430" s="44"/>
      <c r="B430" s="44"/>
    </row>
    <row r="431">
      <c r="A431" s="44"/>
      <c r="B431" s="44"/>
    </row>
    <row r="432">
      <c r="A432" s="44"/>
      <c r="B432" s="44"/>
    </row>
    <row r="433">
      <c r="A433" s="44"/>
      <c r="B433" s="44"/>
    </row>
    <row r="434">
      <c r="A434" s="44"/>
      <c r="B434" s="44"/>
    </row>
    <row r="435">
      <c r="A435" s="44"/>
      <c r="B435" s="44"/>
    </row>
    <row r="436">
      <c r="A436" s="44"/>
      <c r="B436" s="44"/>
    </row>
    <row r="437">
      <c r="A437" s="44"/>
      <c r="B437" s="44"/>
    </row>
    <row r="438">
      <c r="A438" s="44"/>
      <c r="B438" s="44"/>
    </row>
    <row r="439">
      <c r="A439" s="44"/>
      <c r="B439" s="44"/>
    </row>
    <row r="440">
      <c r="A440" s="44"/>
      <c r="B440" s="44"/>
    </row>
    <row r="441">
      <c r="A441" s="44"/>
      <c r="B441" s="44"/>
    </row>
    <row r="442">
      <c r="A442" s="44"/>
      <c r="B442" s="44"/>
    </row>
    <row r="443">
      <c r="A443" s="44"/>
      <c r="B443" s="44"/>
    </row>
    <row r="444">
      <c r="A444" s="44"/>
      <c r="B444" s="44"/>
    </row>
    <row r="445">
      <c r="A445" s="44"/>
      <c r="B445" s="44"/>
    </row>
    <row r="446">
      <c r="A446" s="44"/>
      <c r="B446" s="44"/>
    </row>
    <row r="447">
      <c r="A447" s="44"/>
      <c r="B447" s="44"/>
    </row>
    <row r="448">
      <c r="A448" s="44"/>
      <c r="B448" s="44"/>
    </row>
    <row r="449">
      <c r="A449" s="44"/>
      <c r="B449" s="44"/>
    </row>
    <row r="450">
      <c r="A450" s="44"/>
      <c r="B450" s="44"/>
    </row>
    <row r="451">
      <c r="A451" s="44"/>
      <c r="B451" s="44"/>
    </row>
    <row r="452">
      <c r="A452" s="44"/>
      <c r="B452" s="44"/>
    </row>
    <row r="453">
      <c r="A453" s="44"/>
      <c r="B453" s="44"/>
    </row>
    <row r="454">
      <c r="A454" s="44"/>
      <c r="B454" s="44"/>
    </row>
    <row r="455">
      <c r="A455" s="44"/>
      <c r="B455" s="44"/>
    </row>
    <row r="456">
      <c r="A456" s="44"/>
      <c r="B456" s="44"/>
    </row>
    <row r="457">
      <c r="A457" s="44"/>
      <c r="B457" s="44"/>
    </row>
    <row r="458">
      <c r="A458" s="44"/>
      <c r="B458" s="44"/>
    </row>
    <row r="459">
      <c r="A459" s="44"/>
      <c r="B459" s="44"/>
    </row>
    <row r="460">
      <c r="A460" s="44"/>
      <c r="B460" s="44"/>
    </row>
    <row r="461">
      <c r="A461" s="44"/>
      <c r="B461" s="44"/>
    </row>
    <row r="462">
      <c r="A462" s="44"/>
      <c r="B462" s="44"/>
    </row>
    <row r="463">
      <c r="A463" s="44"/>
      <c r="B463" s="44"/>
    </row>
    <row r="464">
      <c r="A464" s="44"/>
      <c r="B464" s="44"/>
    </row>
    <row r="465">
      <c r="A465" s="44"/>
      <c r="B465" s="44"/>
    </row>
    <row r="466">
      <c r="A466" s="44"/>
      <c r="B466" s="44"/>
    </row>
    <row r="467">
      <c r="A467" s="44"/>
      <c r="B467" s="44"/>
    </row>
    <row r="468">
      <c r="A468" s="44"/>
      <c r="B468" s="44"/>
    </row>
    <row r="469">
      <c r="A469" s="44"/>
      <c r="B469" s="44"/>
    </row>
    <row r="470">
      <c r="A470" s="44"/>
      <c r="B470" s="44"/>
    </row>
    <row r="471">
      <c r="A471" s="44"/>
      <c r="B471" s="44"/>
    </row>
    <row r="472">
      <c r="A472" s="44"/>
      <c r="B472" s="44"/>
    </row>
    <row r="473">
      <c r="A473" s="44"/>
      <c r="B473" s="44"/>
    </row>
    <row r="474">
      <c r="A474" s="44"/>
      <c r="B474" s="44"/>
    </row>
    <row r="475">
      <c r="A475" s="44"/>
      <c r="B475" s="44"/>
    </row>
    <row r="476">
      <c r="A476" s="44"/>
      <c r="B476" s="44"/>
    </row>
    <row r="477">
      <c r="A477" s="44"/>
      <c r="B477" s="44"/>
    </row>
    <row r="478">
      <c r="A478" s="44"/>
      <c r="B478" s="44"/>
    </row>
    <row r="479">
      <c r="A479" s="44"/>
      <c r="B479" s="44"/>
    </row>
    <row r="480">
      <c r="A480" s="44"/>
      <c r="B480" s="44"/>
    </row>
    <row r="481">
      <c r="A481" s="44"/>
      <c r="B481" s="44"/>
    </row>
    <row r="482">
      <c r="A482" s="44"/>
      <c r="B482" s="44"/>
    </row>
    <row r="483">
      <c r="A483" s="44"/>
      <c r="B483" s="44"/>
    </row>
    <row r="484">
      <c r="A484" s="44"/>
      <c r="B484" s="44"/>
    </row>
    <row r="485">
      <c r="A485" s="44"/>
      <c r="B485" s="44"/>
    </row>
    <row r="486">
      <c r="A486" s="44"/>
      <c r="B486" s="44"/>
    </row>
    <row r="487">
      <c r="A487" s="44"/>
      <c r="B487" s="44"/>
    </row>
    <row r="488">
      <c r="A488" s="44"/>
      <c r="B488" s="44"/>
    </row>
    <row r="489">
      <c r="A489" s="44"/>
      <c r="B489" s="44"/>
    </row>
    <row r="490">
      <c r="A490" s="44"/>
      <c r="B490" s="44"/>
    </row>
    <row r="491">
      <c r="A491" s="44"/>
      <c r="B491" s="44"/>
    </row>
    <row r="492">
      <c r="A492" s="44"/>
      <c r="B492" s="44"/>
    </row>
    <row r="493">
      <c r="A493" s="44"/>
      <c r="B493" s="44"/>
    </row>
    <row r="494">
      <c r="A494" s="44"/>
      <c r="B494" s="44"/>
    </row>
    <row r="495">
      <c r="A495" s="44"/>
      <c r="B495" s="44"/>
    </row>
    <row r="496">
      <c r="A496" s="44"/>
      <c r="B496" s="44"/>
    </row>
    <row r="497">
      <c r="A497" s="44"/>
      <c r="B497" s="44"/>
    </row>
    <row r="498">
      <c r="A498" s="44"/>
      <c r="B498" s="44"/>
    </row>
    <row r="499">
      <c r="A499" s="44"/>
      <c r="B499" s="44"/>
    </row>
    <row r="500">
      <c r="A500" s="44"/>
      <c r="B500" s="44"/>
    </row>
    <row r="501">
      <c r="A501" s="44"/>
      <c r="B501" s="44"/>
    </row>
    <row r="502">
      <c r="A502" s="44"/>
      <c r="B502" s="44"/>
    </row>
    <row r="503">
      <c r="A503" s="44"/>
      <c r="B503" s="44"/>
    </row>
    <row r="504">
      <c r="A504" s="44"/>
      <c r="B504" s="44"/>
    </row>
    <row r="505">
      <c r="A505" s="44"/>
      <c r="B505" s="44"/>
    </row>
    <row r="506">
      <c r="A506" s="44"/>
      <c r="B506" s="44"/>
    </row>
    <row r="507">
      <c r="A507" s="44"/>
      <c r="B507" s="44"/>
    </row>
    <row r="508">
      <c r="A508" s="44"/>
      <c r="B508" s="44"/>
    </row>
    <row r="509">
      <c r="A509" s="44"/>
      <c r="B509" s="44"/>
    </row>
    <row r="510">
      <c r="A510" s="44"/>
      <c r="B510" s="44"/>
    </row>
    <row r="511">
      <c r="A511" s="44"/>
      <c r="B511" s="44"/>
    </row>
    <row r="512">
      <c r="A512" s="44"/>
      <c r="B512" s="44"/>
    </row>
    <row r="513">
      <c r="A513" s="44"/>
      <c r="B513" s="44"/>
    </row>
    <row r="514">
      <c r="A514" s="44"/>
      <c r="B514" s="44"/>
    </row>
    <row r="515">
      <c r="A515" s="44"/>
      <c r="B515" s="44"/>
    </row>
    <row r="516">
      <c r="A516" s="44"/>
      <c r="B516" s="44"/>
    </row>
    <row r="517">
      <c r="A517" s="44"/>
      <c r="B517" s="44"/>
    </row>
    <row r="518">
      <c r="A518" s="44"/>
      <c r="B518" s="44"/>
    </row>
    <row r="519">
      <c r="A519" s="44"/>
      <c r="B519" s="44"/>
    </row>
    <row r="520">
      <c r="A520" s="44"/>
      <c r="B520" s="44"/>
    </row>
    <row r="521">
      <c r="A521" s="44"/>
      <c r="B521" s="44"/>
    </row>
    <row r="522">
      <c r="A522" s="44"/>
      <c r="B522" s="44"/>
    </row>
    <row r="523">
      <c r="A523" s="44"/>
      <c r="B523" s="44"/>
    </row>
    <row r="524">
      <c r="A524" s="44"/>
      <c r="B524" s="44"/>
    </row>
    <row r="525">
      <c r="A525" s="44"/>
      <c r="B525" s="44"/>
    </row>
    <row r="526">
      <c r="A526" s="44"/>
      <c r="B526" s="44"/>
    </row>
    <row r="527">
      <c r="A527" s="44"/>
      <c r="B527" s="44"/>
    </row>
    <row r="528">
      <c r="A528" s="44"/>
      <c r="B528" s="44"/>
    </row>
    <row r="529">
      <c r="A529" s="44"/>
      <c r="B529" s="44"/>
    </row>
    <row r="530">
      <c r="A530" s="44"/>
      <c r="B530" s="44"/>
    </row>
    <row r="531">
      <c r="A531" s="44"/>
      <c r="B531" s="44"/>
    </row>
    <row r="532">
      <c r="A532" s="44"/>
      <c r="B532" s="44"/>
    </row>
    <row r="533">
      <c r="A533" s="44"/>
      <c r="B533" s="44"/>
    </row>
    <row r="534">
      <c r="A534" s="44"/>
      <c r="B534" s="44"/>
    </row>
    <row r="535">
      <c r="A535" s="44"/>
      <c r="B535" s="44"/>
    </row>
    <row r="536">
      <c r="A536" s="44"/>
      <c r="B536" s="44"/>
    </row>
    <row r="537">
      <c r="A537" s="44"/>
      <c r="B537" s="44"/>
    </row>
    <row r="538">
      <c r="A538" s="44"/>
      <c r="B538" s="44"/>
    </row>
    <row r="539">
      <c r="A539" s="44"/>
      <c r="B539" s="44"/>
    </row>
    <row r="540">
      <c r="A540" s="44"/>
      <c r="B540" s="44"/>
    </row>
    <row r="541">
      <c r="A541" s="44"/>
      <c r="B541" s="44"/>
    </row>
    <row r="542">
      <c r="A542" s="44"/>
      <c r="B542" s="44"/>
    </row>
    <row r="543">
      <c r="A543" s="44"/>
      <c r="B543" s="44"/>
    </row>
    <row r="544">
      <c r="A544" s="44"/>
      <c r="B544" s="44"/>
    </row>
    <row r="545">
      <c r="A545" s="44"/>
      <c r="B545" s="44"/>
    </row>
    <row r="546">
      <c r="A546" s="44"/>
      <c r="B546" s="44"/>
    </row>
    <row r="547">
      <c r="A547" s="44"/>
      <c r="B547" s="44"/>
    </row>
    <row r="548">
      <c r="A548" s="44"/>
      <c r="B548" s="44"/>
    </row>
    <row r="549">
      <c r="A549" s="44"/>
      <c r="B549" s="44"/>
    </row>
    <row r="550">
      <c r="A550" s="44"/>
      <c r="B550" s="44"/>
    </row>
    <row r="551">
      <c r="A551" s="44"/>
      <c r="B551" s="44"/>
    </row>
    <row r="552">
      <c r="A552" s="44"/>
      <c r="B552" s="44"/>
    </row>
    <row r="553">
      <c r="A553" s="44"/>
      <c r="B553" s="44"/>
    </row>
    <row r="554">
      <c r="A554" s="44"/>
      <c r="B554" s="44"/>
    </row>
    <row r="555">
      <c r="A555" s="44"/>
      <c r="B555" s="44"/>
    </row>
    <row r="556">
      <c r="A556" s="44"/>
      <c r="B556" s="44"/>
    </row>
    <row r="557">
      <c r="A557" s="44"/>
      <c r="B557" s="44"/>
    </row>
    <row r="558">
      <c r="A558" s="44"/>
      <c r="B558" s="44"/>
    </row>
    <row r="559">
      <c r="A559" s="44"/>
      <c r="B559" s="44"/>
    </row>
    <row r="560">
      <c r="A560" s="44"/>
      <c r="B560" s="44"/>
    </row>
    <row r="561">
      <c r="A561" s="44"/>
      <c r="B561" s="44"/>
    </row>
    <row r="562">
      <c r="A562" s="44"/>
      <c r="B562" s="44"/>
    </row>
    <row r="563">
      <c r="A563" s="44"/>
      <c r="B563" s="44"/>
    </row>
    <row r="564">
      <c r="A564" s="44"/>
      <c r="B564" s="44"/>
    </row>
    <row r="565">
      <c r="A565" s="44"/>
      <c r="B565" s="44"/>
    </row>
    <row r="566">
      <c r="A566" s="44"/>
      <c r="B566" s="44"/>
    </row>
    <row r="567">
      <c r="A567" s="44"/>
      <c r="B567" s="44"/>
    </row>
    <row r="568">
      <c r="A568" s="44"/>
      <c r="B568" s="44"/>
    </row>
    <row r="569">
      <c r="A569" s="44"/>
      <c r="B569" s="44"/>
    </row>
    <row r="570">
      <c r="A570" s="44"/>
      <c r="B570" s="44"/>
    </row>
    <row r="571">
      <c r="A571" s="44"/>
      <c r="B571" s="44"/>
    </row>
    <row r="572">
      <c r="A572" s="44"/>
      <c r="B572" s="44"/>
    </row>
    <row r="573">
      <c r="A573" s="44"/>
      <c r="B573" s="44"/>
    </row>
    <row r="574">
      <c r="A574" s="44"/>
      <c r="B574" s="44"/>
    </row>
    <row r="575">
      <c r="A575" s="44"/>
      <c r="B575" s="44"/>
    </row>
    <row r="576">
      <c r="A576" s="44"/>
      <c r="B576" s="44"/>
    </row>
    <row r="577">
      <c r="A577" s="44"/>
      <c r="B577" s="44"/>
    </row>
    <row r="578">
      <c r="A578" s="44"/>
      <c r="B578" s="44"/>
    </row>
    <row r="579">
      <c r="A579" s="44"/>
      <c r="B579" s="44"/>
    </row>
    <row r="580">
      <c r="A580" s="44"/>
      <c r="B580" s="44"/>
    </row>
    <row r="581">
      <c r="A581" s="44"/>
      <c r="B581" s="44"/>
    </row>
    <row r="582">
      <c r="A582" s="44"/>
      <c r="B582" s="44"/>
    </row>
    <row r="583">
      <c r="A583" s="44"/>
      <c r="B583" s="44"/>
    </row>
    <row r="584">
      <c r="A584" s="44"/>
      <c r="B584" s="44"/>
    </row>
    <row r="585">
      <c r="A585" s="44"/>
      <c r="B585" s="44"/>
    </row>
    <row r="586">
      <c r="A586" s="44"/>
      <c r="B586" s="44"/>
    </row>
    <row r="587">
      <c r="A587" s="44"/>
      <c r="B587" s="44"/>
    </row>
    <row r="588">
      <c r="A588" s="44"/>
      <c r="B588" s="44"/>
    </row>
    <row r="589">
      <c r="A589" s="44"/>
      <c r="B589" s="44"/>
    </row>
    <row r="590">
      <c r="A590" s="44"/>
      <c r="B590" s="44"/>
    </row>
    <row r="591">
      <c r="A591" s="44"/>
      <c r="B591" s="44"/>
    </row>
    <row r="592">
      <c r="A592" s="44"/>
      <c r="B592" s="44"/>
    </row>
    <row r="593">
      <c r="A593" s="44"/>
      <c r="B593" s="44"/>
    </row>
    <row r="594">
      <c r="A594" s="44"/>
      <c r="B594" s="44"/>
    </row>
    <row r="595">
      <c r="A595" s="44"/>
      <c r="B595" s="44"/>
    </row>
    <row r="596">
      <c r="A596" s="44"/>
      <c r="B596" s="44"/>
    </row>
    <row r="597">
      <c r="A597" s="44"/>
      <c r="B597" s="44"/>
    </row>
    <row r="598">
      <c r="A598" s="44"/>
      <c r="B598" s="44"/>
    </row>
    <row r="599">
      <c r="A599" s="44"/>
      <c r="B599" s="44"/>
    </row>
    <row r="600">
      <c r="A600" s="44"/>
      <c r="B600" s="44"/>
    </row>
    <row r="601">
      <c r="A601" s="44"/>
      <c r="B601" s="44"/>
    </row>
    <row r="602">
      <c r="A602" s="44"/>
      <c r="B602" s="44"/>
    </row>
    <row r="603">
      <c r="A603" s="44"/>
      <c r="B603" s="44"/>
    </row>
    <row r="604">
      <c r="A604" s="44"/>
      <c r="B604" s="44"/>
    </row>
    <row r="605">
      <c r="A605" s="44"/>
      <c r="B605" s="44"/>
    </row>
    <row r="606">
      <c r="A606" s="44"/>
      <c r="B606" s="44"/>
    </row>
    <row r="607">
      <c r="A607" s="44"/>
      <c r="B607" s="44"/>
    </row>
    <row r="608">
      <c r="A608" s="44"/>
      <c r="B608" s="44"/>
    </row>
    <row r="609">
      <c r="A609" s="44"/>
      <c r="B609" s="44"/>
    </row>
    <row r="610">
      <c r="A610" s="44"/>
      <c r="B610" s="44"/>
    </row>
    <row r="611">
      <c r="A611" s="44"/>
      <c r="B611" s="44"/>
    </row>
    <row r="612">
      <c r="A612" s="44"/>
      <c r="B612" s="44"/>
    </row>
    <row r="613">
      <c r="A613" s="44"/>
      <c r="B613" s="44"/>
    </row>
    <row r="614">
      <c r="A614" s="44"/>
      <c r="B614" s="44"/>
    </row>
    <row r="615">
      <c r="A615" s="44"/>
      <c r="B615" s="44"/>
    </row>
    <row r="616">
      <c r="A616" s="44"/>
      <c r="B616" s="44"/>
    </row>
    <row r="617">
      <c r="A617" s="44"/>
      <c r="B617" s="44"/>
    </row>
    <row r="618">
      <c r="A618" s="44"/>
      <c r="B618" s="44"/>
    </row>
    <row r="619">
      <c r="A619" s="44"/>
      <c r="B619" s="44"/>
    </row>
    <row r="620">
      <c r="A620" s="44"/>
      <c r="B620" s="44"/>
    </row>
    <row r="621">
      <c r="A621" s="44"/>
      <c r="B621" s="44"/>
    </row>
    <row r="622">
      <c r="A622" s="44"/>
      <c r="B622" s="44"/>
    </row>
    <row r="623">
      <c r="A623" s="44"/>
      <c r="B623" s="44"/>
    </row>
    <row r="624">
      <c r="A624" s="44"/>
      <c r="B624" s="44"/>
    </row>
    <row r="625">
      <c r="A625" s="44"/>
      <c r="B625" s="44"/>
    </row>
    <row r="626">
      <c r="A626" s="44"/>
      <c r="B626" s="44"/>
    </row>
    <row r="627">
      <c r="A627" s="44"/>
      <c r="B627" s="44"/>
    </row>
    <row r="628">
      <c r="A628" s="44"/>
      <c r="B628" s="44"/>
    </row>
    <row r="629">
      <c r="A629" s="44"/>
      <c r="B629" s="44"/>
    </row>
    <row r="630">
      <c r="A630" s="44"/>
      <c r="B630" s="44"/>
    </row>
    <row r="631">
      <c r="A631" s="44"/>
      <c r="B631" s="44"/>
    </row>
    <row r="632">
      <c r="A632" s="44"/>
      <c r="B632" s="44"/>
    </row>
    <row r="633">
      <c r="A633" s="44"/>
      <c r="B633" s="44"/>
    </row>
    <row r="634">
      <c r="A634" s="44"/>
      <c r="B634" s="44"/>
    </row>
    <row r="635">
      <c r="A635" s="44"/>
      <c r="B635" s="44"/>
    </row>
    <row r="636">
      <c r="A636" s="44"/>
      <c r="B636" s="44"/>
    </row>
    <row r="637">
      <c r="A637" s="44"/>
      <c r="B637" s="44"/>
    </row>
    <row r="638">
      <c r="A638" s="44"/>
      <c r="B638" s="44"/>
    </row>
    <row r="639">
      <c r="A639" s="44"/>
      <c r="B639" s="44"/>
    </row>
    <row r="640">
      <c r="A640" s="44"/>
      <c r="B640" s="44"/>
    </row>
    <row r="641">
      <c r="A641" s="44"/>
      <c r="B641" s="44"/>
    </row>
    <row r="642">
      <c r="A642" s="44"/>
      <c r="B642" s="44"/>
    </row>
    <row r="643">
      <c r="A643" s="44"/>
      <c r="B643" s="44"/>
    </row>
    <row r="644">
      <c r="A644" s="44"/>
      <c r="B644" s="44"/>
    </row>
    <row r="645">
      <c r="A645" s="44"/>
      <c r="B645" s="44"/>
    </row>
    <row r="646">
      <c r="A646" s="44"/>
      <c r="B646" s="44"/>
    </row>
    <row r="647">
      <c r="A647" s="44"/>
      <c r="B647" s="44"/>
    </row>
    <row r="648">
      <c r="A648" s="44"/>
      <c r="B648" s="44"/>
    </row>
    <row r="649">
      <c r="A649" s="44"/>
      <c r="B649" s="44"/>
    </row>
    <row r="650">
      <c r="A650" s="44"/>
      <c r="B650" s="44"/>
    </row>
    <row r="651">
      <c r="A651" s="44"/>
      <c r="B651" s="44"/>
    </row>
    <row r="652">
      <c r="A652" s="44"/>
      <c r="B652" s="44"/>
    </row>
    <row r="653">
      <c r="A653" s="44"/>
      <c r="B653" s="44"/>
    </row>
    <row r="654">
      <c r="A654" s="44"/>
      <c r="B654" s="44"/>
    </row>
    <row r="655">
      <c r="A655" s="44"/>
      <c r="B655" s="44"/>
    </row>
    <row r="656">
      <c r="A656" s="44"/>
      <c r="B656" s="44"/>
    </row>
    <row r="657">
      <c r="A657" s="44"/>
      <c r="B657" s="44"/>
    </row>
    <row r="658">
      <c r="A658" s="44"/>
      <c r="B658" s="44"/>
    </row>
    <row r="659">
      <c r="A659" s="44"/>
      <c r="B659" s="44"/>
    </row>
    <row r="660">
      <c r="A660" s="44"/>
      <c r="B660" s="44"/>
    </row>
    <row r="661">
      <c r="A661" s="44"/>
      <c r="B661" s="44"/>
    </row>
    <row r="662">
      <c r="A662" s="44"/>
      <c r="B662" s="44"/>
    </row>
    <row r="663">
      <c r="A663" s="44"/>
      <c r="B663" s="44"/>
    </row>
    <row r="664">
      <c r="A664" s="44"/>
      <c r="B664" s="44"/>
    </row>
    <row r="665">
      <c r="A665" s="44"/>
      <c r="B665" s="44"/>
    </row>
    <row r="666">
      <c r="A666" s="44"/>
      <c r="B666" s="44"/>
    </row>
    <row r="667">
      <c r="A667" s="44"/>
      <c r="B667" s="44"/>
    </row>
    <row r="668">
      <c r="A668" s="44"/>
      <c r="B668" s="44"/>
    </row>
    <row r="669">
      <c r="A669" s="44"/>
      <c r="B669" s="44"/>
    </row>
    <row r="670">
      <c r="A670" s="44"/>
      <c r="B670" s="44"/>
    </row>
    <row r="671">
      <c r="A671" s="44"/>
      <c r="B671" s="44"/>
    </row>
    <row r="672">
      <c r="A672" s="44"/>
      <c r="B672" s="44"/>
    </row>
    <row r="673">
      <c r="A673" s="44"/>
      <c r="B673" s="44"/>
    </row>
    <row r="674">
      <c r="A674" s="44"/>
      <c r="B674" s="44"/>
    </row>
    <row r="675">
      <c r="A675" s="44"/>
      <c r="B675" s="44"/>
    </row>
    <row r="676">
      <c r="A676" s="44"/>
      <c r="B676" s="44"/>
    </row>
    <row r="677">
      <c r="A677" s="44"/>
      <c r="B677" s="44"/>
    </row>
    <row r="678">
      <c r="A678" s="44"/>
      <c r="B678" s="44"/>
    </row>
    <row r="679">
      <c r="A679" s="44"/>
      <c r="B679" s="44"/>
    </row>
    <row r="680">
      <c r="A680" s="44"/>
      <c r="B680" s="44"/>
    </row>
    <row r="681">
      <c r="A681" s="44"/>
      <c r="B681" s="44"/>
    </row>
    <row r="682">
      <c r="A682" s="44"/>
      <c r="B682" s="44"/>
    </row>
    <row r="683">
      <c r="A683" s="44"/>
      <c r="B683" s="44"/>
    </row>
    <row r="684">
      <c r="A684" s="44"/>
      <c r="B684" s="44"/>
    </row>
    <row r="685">
      <c r="A685" s="44"/>
      <c r="B685" s="44"/>
    </row>
    <row r="686">
      <c r="A686" s="44"/>
      <c r="B686" s="44"/>
    </row>
    <row r="687">
      <c r="A687" s="44"/>
      <c r="B687" s="44"/>
    </row>
    <row r="688">
      <c r="A688" s="44"/>
      <c r="B688" s="44"/>
    </row>
    <row r="689">
      <c r="A689" s="44"/>
      <c r="B689" s="44"/>
    </row>
    <row r="690">
      <c r="A690" s="44"/>
      <c r="B690" s="44"/>
    </row>
    <row r="691">
      <c r="A691" s="44"/>
      <c r="B691" s="44"/>
    </row>
    <row r="692">
      <c r="A692" s="44"/>
      <c r="B692" s="44"/>
    </row>
    <row r="693">
      <c r="A693" s="44"/>
      <c r="B693" s="44"/>
    </row>
    <row r="694">
      <c r="A694" s="44"/>
      <c r="B694" s="44"/>
    </row>
    <row r="695">
      <c r="A695" s="44"/>
      <c r="B695" s="44"/>
    </row>
    <row r="696">
      <c r="A696" s="44"/>
      <c r="B696" s="44"/>
    </row>
    <row r="697">
      <c r="A697" s="44"/>
      <c r="B697" s="44"/>
    </row>
    <row r="698">
      <c r="A698" s="44"/>
      <c r="B698" s="44"/>
    </row>
    <row r="699">
      <c r="A699" s="44"/>
      <c r="B699" s="44"/>
    </row>
    <row r="700">
      <c r="A700" s="44"/>
      <c r="B700" s="44"/>
    </row>
    <row r="701">
      <c r="A701" s="44"/>
      <c r="B701" s="44"/>
    </row>
    <row r="702">
      <c r="A702" s="44"/>
      <c r="B702" s="44"/>
    </row>
    <row r="703">
      <c r="A703" s="44"/>
      <c r="B703" s="44"/>
    </row>
    <row r="704">
      <c r="A704" s="44"/>
      <c r="B704" s="44"/>
    </row>
    <row r="705">
      <c r="A705" s="44"/>
      <c r="B705" s="44"/>
    </row>
    <row r="706">
      <c r="A706" s="44"/>
      <c r="B706" s="44"/>
    </row>
    <row r="707">
      <c r="A707" s="44"/>
      <c r="B707" s="44"/>
    </row>
    <row r="708">
      <c r="A708" s="44"/>
      <c r="B708" s="44"/>
    </row>
    <row r="709">
      <c r="A709" s="44"/>
      <c r="B709" s="44"/>
    </row>
    <row r="710">
      <c r="A710" s="44"/>
      <c r="B710" s="44"/>
    </row>
    <row r="711">
      <c r="A711" s="44"/>
      <c r="B711" s="44"/>
    </row>
    <row r="712">
      <c r="A712" s="44"/>
      <c r="B712" s="44"/>
    </row>
    <row r="713">
      <c r="A713" s="44"/>
      <c r="B713" s="44"/>
    </row>
    <row r="714">
      <c r="A714" s="44"/>
      <c r="B714" s="44"/>
    </row>
    <row r="715">
      <c r="A715" s="44"/>
      <c r="B715" s="44"/>
    </row>
    <row r="716">
      <c r="A716" s="44"/>
      <c r="B716" s="44"/>
    </row>
    <row r="717">
      <c r="A717" s="44"/>
      <c r="B717" s="44"/>
    </row>
    <row r="718">
      <c r="A718" s="44"/>
      <c r="B718" s="44"/>
    </row>
    <row r="719">
      <c r="A719" s="44"/>
      <c r="B719" s="44"/>
    </row>
    <row r="720">
      <c r="A720" s="44"/>
      <c r="B720" s="44"/>
    </row>
    <row r="721">
      <c r="A721" s="44"/>
      <c r="B721" s="44"/>
    </row>
    <row r="722">
      <c r="A722" s="44"/>
      <c r="B722" s="44"/>
    </row>
    <row r="723">
      <c r="A723" s="44"/>
      <c r="B723" s="44"/>
    </row>
    <row r="724">
      <c r="A724" s="44"/>
      <c r="B724" s="44"/>
    </row>
    <row r="725">
      <c r="A725" s="44"/>
      <c r="B725" s="44"/>
    </row>
    <row r="726">
      <c r="A726" s="44"/>
      <c r="B726" s="44"/>
    </row>
    <row r="727">
      <c r="A727" s="44"/>
      <c r="B727" s="44"/>
    </row>
    <row r="728">
      <c r="A728" s="44"/>
      <c r="B728" s="44"/>
    </row>
    <row r="729">
      <c r="A729" s="44"/>
      <c r="B729" s="44"/>
    </row>
    <row r="730">
      <c r="A730" s="44"/>
      <c r="B730" s="44"/>
    </row>
    <row r="731">
      <c r="A731" s="44"/>
      <c r="B731" s="44"/>
    </row>
    <row r="732">
      <c r="A732" s="44"/>
      <c r="B732" s="44"/>
    </row>
    <row r="733">
      <c r="A733" s="44"/>
      <c r="B733" s="44"/>
    </row>
    <row r="734">
      <c r="A734" s="44"/>
      <c r="B734" s="44"/>
    </row>
    <row r="735">
      <c r="A735" s="44"/>
      <c r="B735" s="44"/>
    </row>
    <row r="736">
      <c r="A736" s="44"/>
      <c r="B736" s="44"/>
    </row>
    <row r="737">
      <c r="A737" s="44"/>
      <c r="B737" s="44"/>
    </row>
    <row r="738">
      <c r="A738" s="44"/>
      <c r="B738" s="44"/>
    </row>
    <row r="739">
      <c r="A739" s="44"/>
      <c r="B739" s="44"/>
    </row>
    <row r="740">
      <c r="A740" s="44"/>
      <c r="B740" s="44"/>
    </row>
    <row r="741">
      <c r="A741" s="44"/>
      <c r="B741" s="44"/>
    </row>
    <row r="742">
      <c r="A742" s="44"/>
      <c r="B742" s="44"/>
    </row>
    <row r="743">
      <c r="A743" s="44"/>
      <c r="B743" s="44"/>
    </row>
    <row r="744">
      <c r="A744" s="44"/>
      <c r="B744" s="44"/>
    </row>
    <row r="745">
      <c r="A745" s="44"/>
      <c r="B745" s="44"/>
    </row>
    <row r="746">
      <c r="A746" s="44"/>
      <c r="B746" s="44"/>
    </row>
    <row r="747">
      <c r="A747" s="44"/>
      <c r="B747" s="44"/>
    </row>
    <row r="748">
      <c r="A748" s="44"/>
      <c r="B748" s="44"/>
    </row>
    <row r="749">
      <c r="A749" s="44"/>
      <c r="B749" s="44"/>
    </row>
    <row r="750">
      <c r="A750" s="44"/>
      <c r="B750" s="44"/>
    </row>
    <row r="751">
      <c r="A751" s="44"/>
      <c r="B751" s="44"/>
    </row>
    <row r="752">
      <c r="A752" s="44"/>
      <c r="B752" s="44"/>
    </row>
    <row r="753">
      <c r="A753" s="44"/>
      <c r="B753" s="44"/>
    </row>
    <row r="754">
      <c r="A754" s="44"/>
      <c r="B754" s="44"/>
    </row>
    <row r="755">
      <c r="A755" s="44"/>
      <c r="B755" s="44"/>
    </row>
    <row r="756">
      <c r="A756" s="44"/>
      <c r="B756" s="44"/>
    </row>
    <row r="757">
      <c r="A757" s="44"/>
      <c r="B757" s="44"/>
    </row>
    <row r="758">
      <c r="A758" s="44"/>
      <c r="B758" s="44"/>
    </row>
    <row r="759">
      <c r="A759" s="44"/>
      <c r="B759" s="44"/>
    </row>
    <row r="760">
      <c r="A760" s="44"/>
      <c r="B760" s="44"/>
    </row>
    <row r="761">
      <c r="A761" s="44"/>
      <c r="B761" s="44"/>
    </row>
    <row r="762">
      <c r="A762" s="44"/>
      <c r="B762" s="44"/>
    </row>
    <row r="763">
      <c r="A763" s="44"/>
      <c r="B763" s="44"/>
    </row>
    <row r="764">
      <c r="A764" s="44"/>
      <c r="B764" s="44"/>
    </row>
    <row r="765">
      <c r="A765" s="44"/>
      <c r="B765" s="44"/>
    </row>
    <row r="766">
      <c r="A766" s="44"/>
      <c r="B766" s="44"/>
    </row>
    <row r="767">
      <c r="A767" s="44"/>
      <c r="B767" s="44"/>
    </row>
    <row r="768">
      <c r="A768" s="44"/>
      <c r="B768" s="44"/>
    </row>
    <row r="769">
      <c r="A769" s="44"/>
      <c r="B769" s="44"/>
    </row>
    <row r="770">
      <c r="A770" s="44"/>
      <c r="B770" s="44"/>
    </row>
    <row r="771">
      <c r="A771" s="44"/>
      <c r="B771" s="44"/>
    </row>
    <row r="772">
      <c r="A772" s="44"/>
      <c r="B772" s="44"/>
    </row>
    <row r="773">
      <c r="A773" s="44"/>
      <c r="B773" s="44"/>
    </row>
    <row r="774">
      <c r="A774" s="44"/>
      <c r="B774" s="44"/>
    </row>
    <row r="775">
      <c r="A775" s="44"/>
      <c r="B775" s="44"/>
    </row>
    <row r="776">
      <c r="A776" s="44"/>
      <c r="B776" s="44"/>
    </row>
    <row r="777">
      <c r="A777" s="44"/>
      <c r="B777" s="44"/>
    </row>
    <row r="778">
      <c r="A778" s="44"/>
      <c r="B778" s="44"/>
    </row>
    <row r="779">
      <c r="A779" s="44"/>
      <c r="B779" s="44"/>
    </row>
    <row r="780">
      <c r="A780" s="44"/>
      <c r="B780" s="44"/>
    </row>
    <row r="781">
      <c r="A781" s="44"/>
      <c r="B781" s="44"/>
    </row>
    <row r="782">
      <c r="A782" s="44"/>
      <c r="B782" s="44"/>
    </row>
    <row r="783">
      <c r="A783" s="44"/>
      <c r="B783" s="44"/>
    </row>
    <row r="784">
      <c r="A784" s="44"/>
      <c r="B784" s="44"/>
    </row>
    <row r="785">
      <c r="A785" s="44"/>
      <c r="B785" s="44"/>
    </row>
    <row r="786">
      <c r="A786" s="44"/>
      <c r="B786" s="44"/>
    </row>
    <row r="787">
      <c r="A787" s="44"/>
      <c r="B787" s="44"/>
    </row>
    <row r="788">
      <c r="A788" s="44"/>
      <c r="B788" s="44"/>
    </row>
    <row r="789">
      <c r="A789" s="44"/>
      <c r="B789" s="44"/>
    </row>
    <row r="790">
      <c r="A790" s="44"/>
      <c r="B790" s="44"/>
    </row>
    <row r="791">
      <c r="A791" s="44"/>
      <c r="B791" s="44"/>
    </row>
    <row r="792">
      <c r="A792" s="44"/>
      <c r="B792" s="44"/>
    </row>
    <row r="793">
      <c r="A793" s="44"/>
      <c r="B793" s="44"/>
    </row>
    <row r="794">
      <c r="A794" s="44"/>
      <c r="B794" s="44"/>
    </row>
    <row r="795">
      <c r="A795" s="44"/>
      <c r="B795" s="44"/>
    </row>
    <row r="796">
      <c r="A796" s="44"/>
      <c r="B796" s="44"/>
    </row>
    <row r="797">
      <c r="A797" s="44"/>
      <c r="B797" s="44"/>
    </row>
    <row r="798">
      <c r="A798" s="44"/>
      <c r="B798" s="44"/>
    </row>
    <row r="799">
      <c r="A799" s="44"/>
      <c r="B799" s="44"/>
    </row>
    <row r="800">
      <c r="A800" s="44"/>
      <c r="B800" s="44"/>
    </row>
    <row r="801">
      <c r="A801" s="44"/>
      <c r="B801" s="44"/>
    </row>
    <row r="802">
      <c r="A802" s="44"/>
      <c r="B802" s="44"/>
    </row>
    <row r="803">
      <c r="A803" s="44"/>
      <c r="B803" s="44"/>
    </row>
    <row r="804">
      <c r="A804" s="44"/>
      <c r="B804" s="44"/>
    </row>
    <row r="805">
      <c r="A805" s="44"/>
      <c r="B805" s="44"/>
    </row>
    <row r="806">
      <c r="A806" s="44"/>
      <c r="B806" s="44"/>
    </row>
    <row r="807">
      <c r="A807" s="44"/>
      <c r="B807" s="44"/>
    </row>
    <row r="808">
      <c r="A808" s="44"/>
      <c r="B808" s="44"/>
    </row>
    <row r="809">
      <c r="A809" s="44"/>
      <c r="B809" s="44"/>
    </row>
    <row r="810">
      <c r="A810" s="44"/>
      <c r="B810" s="44"/>
    </row>
    <row r="811">
      <c r="A811" s="44"/>
      <c r="B811" s="44"/>
    </row>
    <row r="812">
      <c r="A812" s="44"/>
      <c r="B812" s="44"/>
    </row>
    <row r="813">
      <c r="A813" s="44"/>
      <c r="B813" s="44"/>
    </row>
    <row r="814">
      <c r="A814" s="44"/>
      <c r="B814" s="44"/>
    </row>
    <row r="815">
      <c r="A815" s="44"/>
      <c r="B815" s="44"/>
    </row>
    <row r="816">
      <c r="A816" s="44"/>
      <c r="B816" s="44"/>
    </row>
    <row r="817">
      <c r="A817" s="44"/>
      <c r="B817" s="44"/>
    </row>
    <row r="818">
      <c r="A818" s="44"/>
      <c r="B818" s="44"/>
    </row>
    <row r="819">
      <c r="A819" s="44"/>
      <c r="B819" s="44"/>
    </row>
    <row r="820">
      <c r="A820" s="44"/>
      <c r="B820" s="44"/>
    </row>
    <row r="821">
      <c r="A821" s="44"/>
      <c r="B821" s="44"/>
    </row>
    <row r="822">
      <c r="A822" s="44"/>
      <c r="B822" s="44"/>
    </row>
    <row r="823">
      <c r="A823" s="44"/>
      <c r="B823" s="44"/>
    </row>
    <row r="824">
      <c r="A824" s="44"/>
      <c r="B824" s="44"/>
    </row>
    <row r="825">
      <c r="A825" s="44"/>
      <c r="B825" s="44"/>
    </row>
    <row r="826">
      <c r="A826" s="44"/>
      <c r="B826" s="44"/>
    </row>
    <row r="827">
      <c r="A827" s="44"/>
      <c r="B827" s="44"/>
    </row>
    <row r="828">
      <c r="A828" s="44"/>
      <c r="B828" s="44"/>
    </row>
    <row r="829">
      <c r="A829" s="44"/>
      <c r="B829" s="44"/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  <row r="978">
      <c r="A978" s="44"/>
      <c r="B978" s="44"/>
    </row>
    <row r="979">
      <c r="A979" s="44"/>
      <c r="B979" s="44"/>
    </row>
    <row r="980">
      <c r="A980" s="44"/>
      <c r="B980" s="44"/>
    </row>
    <row r="981">
      <c r="A981" s="44"/>
      <c r="B981" s="44"/>
    </row>
    <row r="982">
      <c r="A982" s="44"/>
      <c r="B982" s="44"/>
    </row>
    <row r="983">
      <c r="A983" s="44"/>
      <c r="B983" s="44"/>
    </row>
    <row r="984">
      <c r="A984" s="44"/>
      <c r="B984" s="44"/>
    </row>
    <row r="985">
      <c r="A985" s="44"/>
      <c r="B985" s="44"/>
    </row>
    <row r="986">
      <c r="A986" s="44"/>
      <c r="B986" s="44"/>
    </row>
    <row r="987">
      <c r="A987" s="44"/>
      <c r="B987" s="44"/>
    </row>
    <row r="988">
      <c r="A988" s="44"/>
      <c r="B988" s="44"/>
    </row>
    <row r="989">
      <c r="A989" s="44"/>
      <c r="B989" s="44"/>
    </row>
    <row r="990">
      <c r="A990" s="44"/>
      <c r="B990" s="44"/>
    </row>
    <row r="991">
      <c r="A991" s="44"/>
      <c r="B991" s="44"/>
    </row>
    <row r="992">
      <c r="A992" s="44"/>
      <c r="B992" s="44"/>
    </row>
    <row r="993">
      <c r="A993" s="44"/>
      <c r="B993" s="44"/>
    </row>
    <row r="994">
      <c r="A994" s="44"/>
      <c r="B994" s="44"/>
    </row>
    <row r="995">
      <c r="A995" s="44"/>
      <c r="B995" s="44"/>
    </row>
    <row r="996">
      <c r="A996" s="44"/>
      <c r="B996" s="44"/>
    </row>
    <row r="997">
      <c r="A997" s="44"/>
      <c r="B997" s="44"/>
    </row>
    <row r="998">
      <c r="A998" s="44"/>
      <c r="B998" s="44"/>
    </row>
    <row r="999">
      <c r="A999" s="44"/>
      <c r="B999" s="44"/>
    </row>
    <row r="1000">
      <c r="A1000" s="44"/>
      <c r="B1000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45" t="s">
        <v>206</v>
      </c>
      <c r="B1" s="45" t="s">
        <v>172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7" t="s">
        <v>87</v>
      </c>
      <c r="B2" s="47" t="s">
        <v>207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48" t="s">
        <v>158</v>
      </c>
      <c r="B3" s="48" t="s">
        <v>208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7" t="s">
        <v>23</v>
      </c>
      <c r="B4" s="47" t="s">
        <v>209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8" t="s">
        <v>152</v>
      </c>
      <c r="B5" s="48" t="s">
        <v>210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47" t="s">
        <v>11</v>
      </c>
      <c r="B6" s="47" t="s">
        <v>211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48" t="s">
        <v>168</v>
      </c>
      <c r="B7" s="48" t="s">
        <v>212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47" t="s">
        <v>63</v>
      </c>
      <c r="B8" s="47" t="s">
        <v>213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48" t="s">
        <v>25</v>
      </c>
      <c r="B9" s="48" t="s">
        <v>214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47" t="s">
        <v>170</v>
      </c>
      <c r="B10" s="47" t="s">
        <v>215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8" t="s">
        <v>51</v>
      </c>
      <c r="B11" s="48" t="s">
        <v>216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7" t="s">
        <v>35</v>
      </c>
      <c r="B12" s="47" t="s">
        <v>217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8" t="s">
        <v>123</v>
      </c>
      <c r="B13" s="48" t="s">
        <v>218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7" t="s">
        <v>75</v>
      </c>
      <c r="B14" s="47" t="s">
        <v>219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8" t="s">
        <v>29</v>
      </c>
      <c r="B15" s="48" t="s">
        <v>220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7" t="s">
        <v>135</v>
      </c>
      <c r="B16" s="47" t="s">
        <v>221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8" t="s">
        <v>47</v>
      </c>
      <c r="B17" s="48" t="s">
        <v>222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7" t="s">
        <v>148</v>
      </c>
      <c r="B18" s="47" t="s">
        <v>223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8" t="s">
        <v>160</v>
      </c>
      <c r="B19" s="48" t="s">
        <v>224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7" t="s">
        <v>39</v>
      </c>
      <c r="B20" s="47" t="s">
        <v>225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8" t="s">
        <v>166</v>
      </c>
      <c r="B21" s="48" t="s">
        <v>226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7" t="s">
        <v>227</v>
      </c>
      <c r="B22" s="47" t="s">
        <v>228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8" t="s">
        <v>229</v>
      </c>
      <c r="B23" s="48" t="s">
        <v>230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7" t="s">
        <v>15</v>
      </c>
      <c r="B24" s="47" t="s">
        <v>209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8" t="s">
        <v>71</v>
      </c>
      <c r="B25" s="48" t="s">
        <v>231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7" t="s">
        <v>95</v>
      </c>
      <c r="B26" s="47" t="s">
        <v>232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8" t="s">
        <v>233</v>
      </c>
      <c r="B27" s="48" t="s">
        <v>234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7" t="s">
        <v>140</v>
      </c>
      <c r="B28" s="47" t="s">
        <v>235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8" t="s">
        <v>77</v>
      </c>
      <c r="B29" s="48" t="s">
        <v>236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7" t="s">
        <v>237</v>
      </c>
      <c r="B30" s="47" t="s">
        <v>238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8" t="s">
        <v>61</v>
      </c>
      <c r="B31" s="48" t="s">
        <v>239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7" t="s">
        <v>21</v>
      </c>
      <c r="B32" s="47" t="s">
        <v>240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8" t="s">
        <v>241</v>
      </c>
      <c r="B33" s="48" t="s">
        <v>232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7" t="s">
        <v>57</v>
      </c>
      <c r="B34" s="47" t="s">
        <v>242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8" t="s">
        <v>101</v>
      </c>
      <c r="B35" s="48" t="s">
        <v>243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7" t="s">
        <v>244</v>
      </c>
      <c r="B36" s="47" t="s">
        <v>245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8" t="s">
        <v>246</v>
      </c>
      <c r="B37" s="48" t="s">
        <v>247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7" t="s">
        <v>248</v>
      </c>
      <c r="B38" s="47" t="s">
        <v>249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8" t="s">
        <v>41</v>
      </c>
      <c r="B39" s="48" t="s">
        <v>250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7" t="s">
        <v>53</v>
      </c>
      <c r="B40" s="47" t="s">
        <v>251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8" t="s">
        <v>150</v>
      </c>
      <c r="B41" s="48" t="s">
        <v>252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7" t="s">
        <v>109</v>
      </c>
      <c r="B42" s="47" t="s">
        <v>253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8" t="s">
        <v>254</v>
      </c>
      <c r="B43" s="48" t="s">
        <v>255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7" t="s">
        <v>93</v>
      </c>
      <c r="B44" s="47" t="s">
        <v>256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8" t="s">
        <v>55</v>
      </c>
      <c r="B45" s="48" t="s">
        <v>257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7" t="s">
        <v>97</v>
      </c>
      <c r="B46" s="47" t="s">
        <v>258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8" t="s">
        <v>91</v>
      </c>
      <c r="B47" s="48" t="s">
        <v>259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7" t="s">
        <v>260</v>
      </c>
      <c r="B48" s="47" t="s">
        <v>261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8" t="s">
        <v>13</v>
      </c>
      <c r="B49" s="48" t="s">
        <v>262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7" t="s">
        <v>263</v>
      </c>
      <c r="B50" s="47" t="s">
        <v>264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8" t="s">
        <v>265</v>
      </c>
      <c r="B51" s="48" t="s">
        <v>266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7" t="s">
        <v>144</v>
      </c>
      <c r="B52" s="47" t="s">
        <v>267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8" t="s">
        <v>268</v>
      </c>
      <c r="B53" s="48" t="s">
        <v>269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7" t="s">
        <v>270</v>
      </c>
      <c r="B54" s="47" t="s">
        <v>247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8" t="s">
        <v>99</v>
      </c>
      <c r="B55" s="48" t="s">
        <v>271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7" t="s">
        <v>272</v>
      </c>
      <c r="B56" s="47" t="s">
        <v>273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8" t="s">
        <v>79</v>
      </c>
      <c r="B57" s="48" t="s">
        <v>274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7" t="s">
        <v>115</v>
      </c>
      <c r="B58" s="47" t="s">
        <v>275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8" t="s">
        <v>45</v>
      </c>
      <c r="B59" s="48" t="s">
        <v>276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7" t="s">
        <v>27</v>
      </c>
      <c r="B60" s="47" t="s">
        <v>277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8" t="s">
        <v>81</v>
      </c>
      <c r="B61" s="48" t="s">
        <v>278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7" t="s">
        <v>67</v>
      </c>
      <c r="B62" s="47" t="s">
        <v>279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8" t="s">
        <v>280</v>
      </c>
      <c r="B63" s="48" t="s">
        <v>281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7" t="s">
        <v>162</v>
      </c>
      <c r="B64" s="47" t="s">
        <v>282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8" t="s">
        <v>49</v>
      </c>
      <c r="B65" s="48" t="s">
        <v>283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7" t="s">
        <v>284</v>
      </c>
      <c r="B66" s="47" t="s">
        <v>285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8" t="s">
        <v>154</v>
      </c>
      <c r="B67" s="48" t="s">
        <v>286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7" t="s">
        <v>287</v>
      </c>
      <c r="B68" s="47" t="s">
        <v>288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8" t="s">
        <v>89</v>
      </c>
      <c r="B69" s="48" t="s">
        <v>216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7" t="s">
        <v>43</v>
      </c>
      <c r="B70" s="47" t="s">
        <v>289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8" t="s">
        <v>290</v>
      </c>
      <c r="B71" s="48" t="s">
        <v>291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7" t="s">
        <v>164</v>
      </c>
      <c r="B72" s="47" t="s">
        <v>292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8" t="s">
        <v>17</v>
      </c>
      <c r="B73" s="48" t="s">
        <v>293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7" t="s">
        <v>294</v>
      </c>
      <c r="B74" s="47" t="s">
        <v>295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8" t="s">
        <v>69</v>
      </c>
      <c r="B75" s="48" t="s">
        <v>296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7" t="s">
        <v>297</v>
      </c>
      <c r="B76" s="47" t="s">
        <v>298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8" t="s">
        <v>103</v>
      </c>
      <c r="B77" s="48" t="s">
        <v>299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7" t="s">
        <v>300</v>
      </c>
      <c r="B78" s="47" t="s">
        <v>301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8" t="s">
        <v>302</v>
      </c>
      <c r="B79" s="48" t="s">
        <v>303</v>
      </c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7" t="s">
        <v>304</v>
      </c>
      <c r="B80" s="49" t="s">
        <v>305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8" t="s">
        <v>306</v>
      </c>
      <c r="B81" s="48" t="s">
        <v>307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7" t="s">
        <v>65</v>
      </c>
      <c r="B82" s="47" t="s">
        <v>308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8" t="s">
        <v>37</v>
      </c>
      <c r="B83" s="48" t="s">
        <v>309</v>
      </c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7" t="s">
        <v>146</v>
      </c>
      <c r="B84" s="47" t="s">
        <v>310</v>
      </c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8" t="s">
        <v>133</v>
      </c>
      <c r="B85" s="48" t="s">
        <v>311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7" t="s">
        <v>31</v>
      </c>
      <c r="B86" s="47" t="s">
        <v>312</v>
      </c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8" t="s">
        <v>156</v>
      </c>
      <c r="B87" s="48" t="s">
        <v>313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7" t="s">
        <v>314</v>
      </c>
      <c r="B88" s="47" t="s">
        <v>315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8" t="s">
        <v>316</v>
      </c>
      <c r="B89" s="48" t="s">
        <v>317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7" t="s">
        <v>129</v>
      </c>
      <c r="B90" s="47" t="s">
        <v>318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8" t="s">
        <v>319</v>
      </c>
      <c r="B91" s="48" t="s">
        <v>320</v>
      </c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7" t="s">
        <v>113</v>
      </c>
      <c r="B92" s="47" t="s">
        <v>321</v>
      </c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8" t="s">
        <v>73</v>
      </c>
      <c r="B93" s="48" t="s">
        <v>322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7" t="s">
        <v>323</v>
      </c>
      <c r="B94" s="47" t="s">
        <v>324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8" t="s">
        <v>121</v>
      </c>
      <c r="B95" s="48" t="s">
        <v>325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7" t="s">
        <v>83</v>
      </c>
      <c r="B96" s="47" t="s">
        <v>326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8" t="s">
        <v>33</v>
      </c>
      <c r="B97" s="48" t="s">
        <v>327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7" t="s">
        <v>328</v>
      </c>
      <c r="B98" s="47" t="s">
        <v>329</v>
      </c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8" t="s">
        <v>139</v>
      </c>
      <c r="B99" s="48" t="s">
        <v>330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7" t="s">
        <v>331</v>
      </c>
      <c r="B100" s="47" t="s">
        <v>332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8" t="s">
        <v>333</v>
      </c>
      <c r="B101" s="48" t="s">
        <v>334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7" t="s">
        <v>19</v>
      </c>
      <c r="B102" s="47" t="s">
        <v>335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8" t="s">
        <v>336</v>
      </c>
      <c r="B103" s="48" t="s">
        <v>337</v>
      </c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7" t="s">
        <v>338</v>
      </c>
      <c r="B104" s="47" t="s">
        <v>211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8" t="s">
        <v>131</v>
      </c>
      <c r="B105" s="48" t="s">
        <v>339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7" t="s">
        <v>340</v>
      </c>
      <c r="B106" s="47" t="s">
        <v>341</v>
      </c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8" t="s">
        <v>342</v>
      </c>
      <c r="B107" s="48" t="s">
        <v>343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7" t="s">
        <v>85</v>
      </c>
      <c r="B108" s="47" t="s">
        <v>344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8" t="s">
        <v>105</v>
      </c>
      <c r="B109" s="48" t="s">
        <v>345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7" t="s">
        <v>346</v>
      </c>
      <c r="B110" s="47" t="s">
        <v>347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8" t="s">
        <v>142</v>
      </c>
      <c r="B111" s="48" t="s">
        <v>348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7" t="s">
        <v>117</v>
      </c>
      <c r="B112" s="47" t="s">
        <v>349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8" t="s">
        <v>350</v>
      </c>
      <c r="B113" s="48" t="s">
        <v>351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7" t="s">
        <v>352</v>
      </c>
      <c r="B114" s="47" t="s">
        <v>353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8" t="s">
        <v>119</v>
      </c>
      <c r="B115" s="48" t="s">
        <v>119</v>
      </c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7" t="s">
        <v>137</v>
      </c>
      <c r="B116" s="47" t="s">
        <v>354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8" t="s">
        <v>107</v>
      </c>
      <c r="B117" s="48" t="s">
        <v>355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7" t="s">
        <v>356</v>
      </c>
      <c r="B118" s="47" t="s">
        <v>357</v>
      </c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8" t="s">
        <v>358</v>
      </c>
      <c r="B119" s="48" t="s">
        <v>359</v>
      </c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7" t="s">
        <v>360</v>
      </c>
      <c r="B120" s="47" t="s">
        <v>361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8" t="s">
        <v>59</v>
      </c>
      <c r="B121" s="48" t="s">
        <v>362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7" t="s">
        <v>363</v>
      </c>
      <c r="B122" s="47" t="s">
        <v>364</v>
      </c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8" t="s">
        <v>365</v>
      </c>
      <c r="B123" s="48" t="s">
        <v>366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7" t="s">
        <v>367</v>
      </c>
      <c r="B124" s="47" t="s">
        <v>368</v>
      </c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8" t="s">
        <v>369</v>
      </c>
      <c r="B125" s="48" t="s">
        <v>370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7" t="s">
        <v>371</v>
      </c>
      <c r="B126" s="47" t="s">
        <v>372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8" t="s">
        <v>373</v>
      </c>
      <c r="B127" s="48" t="s">
        <v>374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7" t="s">
        <v>375</v>
      </c>
      <c r="B128" s="47" t="s">
        <v>376</v>
      </c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8" t="s">
        <v>377</v>
      </c>
      <c r="B129" s="48" t="s">
        <v>378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7" t="s">
        <v>125</v>
      </c>
      <c r="B130" s="47" t="s">
        <v>379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8" t="s">
        <v>127</v>
      </c>
      <c r="B131" s="48" t="s">
        <v>380</v>
      </c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7" t="s">
        <v>381</v>
      </c>
      <c r="B132" s="47" t="s">
        <v>382</v>
      </c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8" t="s">
        <v>383</v>
      </c>
      <c r="B133" s="48" t="s">
        <v>384</v>
      </c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7" t="s">
        <v>385</v>
      </c>
      <c r="B134" s="47" t="s">
        <v>386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8" t="s">
        <v>387</v>
      </c>
      <c r="B135" s="48" t="s">
        <v>388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7" t="s">
        <v>389</v>
      </c>
      <c r="B136" s="47" t="s">
        <v>390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8" t="s">
        <v>391</v>
      </c>
      <c r="B137" s="48" t="s">
        <v>392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7" t="s">
        <v>393</v>
      </c>
      <c r="B138" s="47" t="s">
        <v>394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8" t="s">
        <v>395</v>
      </c>
      <c r="B139" s="48" t="s">
        <v>396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7" t="s">
        <v>397</v>
      </c>
      <c r="B140" s="47" t="s">
        <v>398</v>
      </c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8" t="s">
        <v>399</v>
      </c>
      <c r="B141" s="48" t="s">
        <v>400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7" t="s">
        <v>401</v>
      </c>
      <c r="B142" s="47" t="s">
        <v>402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8" t="s">
        <v>403</v>
      </c>
      <c r="B143" s="48" t="s">
        <v>404</v>
      </c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7" t="s">
        <v>405</v>
      </c>
      <c r="B144" s="47" t="s">
        <v>406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8" t="s">
        <v>407</v>
      </c>
      <c r="B145" s="48" t="s">
        <v>407</v>
      </c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7" t="s">
        <v>408</v>
      </c>
      <c r="B146" s="47" t="s">
        <v>409</v>
      </c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8" t="s">
        <v>410</v>
      </c>
      <c r="B147" s="48" t="s">
        <v>411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7" t="s">
        <v>412</v>
      </c>
      <c r="B148" s="47" t="s">
        <v>413</v>
      </c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8" t="s">
        <v>414</v>
      </c>
      <c r="B149" s="48" t="s">
        <v>220</v>
      </c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7" t="s">
        <v>415</v>
      </c>
      <c r="B150" s="47" t="s">
        <v>416</v>
      </c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8" t="s">
        <v>417</v>
      </c>
      <c r="B151" s="48" t="s">
        <v>418</v>
      </c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7" t="s">
        <v>419</v>
      </c>
      <c r="B152" s="47" t="s">
        <v>420</v>
      </c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8" t="s">
        <v>421</v>
      </c>
      <c r="B153" s="48" t="s">
        <v>422</v>
      </c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7" t="s">
        <v>423</v>
      </c>
      <c r="B154" s="47" t="s">
        <v>424</v>
      </c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8" t="s">
        <v>425</v>
      </c>
      <c r="B155" s="48" t="s">
        <v>426</v>
      </c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7" t="s">
        <v>427</v>
      </c>
      <c r="B156" s="47" t="s">
        <v>428</v>
      </c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8" t="s">
        <v>429</v>
      </c>
      <c r="B157" s="48" t="s">
        <v>430</v>
      </c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7" t="s">
        <v>431</v>
      </c>
      <c r="B158" s="47" t="s">
        <v>432</v>
      </c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8" t="s">
        <v>433</v>
      </c>
      <c r="B159" s="48" t="s">
        <v>434</v>
      </c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7" t="s">
        <v>435</v>
      </c>
      <c r="B160" s="47" t="s">
        <v>436</v>
      </c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8" t="s">
        <v>437</v>
      </c>
      <c r="B161" s="48" t="s">
        <v>438</v>
      </c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7" t="s">
        <v>439</v>
      </c>
      <c r="B162" s="47" t="s">
        <v>440</v>
      </c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8" t="s">
        <v>441</v>
      </c>
      <c r="B163" s="48" t="s">
        <v>442</v>
      </c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7" t="s">
        <v>443</v>
      </c>
      <c r="B164" s="47" t="s">
        <v>444</v>
      </c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8" t="s">
        <v>445</v>
      </c>
      <c r="B165" s="48" t="s">
        <v>446</v>
      </c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7" t="s">
        <v>447</v>
      </c>
      <c r="B166" s="47" t="s">
        <v>448</v>
      </c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8" t="s">
        <v>449</v>
      </c>
      <c r="B167" s="48" t="s">
        <v>450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7" t="s">
        <v>451</v>
      </c>
      <c r="B168" s="47" t="s">
        <v>452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8" t="s">
        <v>453</v>
      </c>
      <c r="B169" s="48" t="s">
        <v>454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7" t="s">
        <v>455</v>
      </c>
      <c r="B170" s="47" t="s">
        <v>456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8" t="s">
        <v>457</v>
      </c>
      <c r="B171" s="48" t="s">
        <v>458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7" t="s">
        <v>459</v>
      </c>
      <c r="B172" s="47" t="s">
        <v>253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8" t="s">
        <v>111</v>
      </c>
      <c r="B173" s="48" t="s">
        <v>311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7" t="s">
        <v>460</v>
      </c>
      <c r="B174" s="47" t="s">
        <v>461</v>
      </c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8" t="s">
        <v>462</v>
      </c>
      <c r="B175" s="48" t="s">
        <v>463</v>
      </c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7" t="s">
        <v>464</v>
      </c>
      <c r="B176" s="47" t="s">
        <v>465</v>
      </c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8" t="s">
        <v>466</v>
      </c>
      <c r="B177" s="48" t="s">
        <v>467</v>
      </c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7" t="s">
        <v>468</v>
      </c>
      <c r="B178" s="47" t="s">
        <v>469</v>
      </c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8" t="s">
        <v>470</v>
      </c>
      <c r="B179" s="48" t="s">
        <v>471</v>
      </c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7" t="s">
        <v>472</v>
      </c>
      <c r="B180" s="47" t="s">
        <v>347</v>
      </c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8" t="s">
        <v>473</v>
      </c>
      <c r="B181" s="48" t="s">
        <v>474</v>
      </c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7" t="s">
        <v>475</v>
      </c>
      <c r="B182" s="47" t="s">
        <v>476</v>
      </c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8" t="s">
        <v>477</v>
      </c>
      <c r="B183" s="48" t="s">
        <v>478</v>
      </c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7" t="s">
        <v>479</v>
      </c>
      <c r="B184" s="47" t="s">
        <v>480</v>
      </c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8" t="s">
        <v>481</v>
      </c>
      <c r="B185" s="48" t="s">
        <v>482</v>
      </c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7" t="s">
        <v>483</v>
      </c>
      <c r="B186" s="47" t="s">
        <v>484</v>
      </c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8" t="s">
        <v>485</v>
      </c>
      <c r="B187" s="48" t="s">
        <v>486</v>
      </c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7" t="s">
        <v>487</v>
      </c>
      <c r="B188" s="47" t="s">
        <v>488</v>
      </c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8" t="s">
        <v>489</v>
      </c>
      <c r="B189" s="48" t="s">
        <v>490</v>
      </c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7" t="s">
        <v>491</v>
      </c>
      <c r="B190" s="47" t="s">
        <v>492</v>
      </c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8" t="s">
        <v>493</v>
      </c>
      <c r="B191" s="48" t="s">
        <v>370</v>
      </c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7" t="s">
        <v>494</v>
      </c>
      <c r="B192" s="47" t="s">
        <v>404</v>
      </c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8" t="s">
        <v>495</v>
      </c>
      <c r="B193" s="48" t="s">
        <v>496</v>
      </c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7" t="s">
        <v>497</v>
      </c>
      <c r="B194" s="47" t="s">
        <v>498</v>
      </c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8" t="s">
        <v>499</v>
      </c>
      <c r="B195" s="48" t="s">
        <v>500</v>
      </c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7" t="s">
        <v>501</v>
      </c>
      <c r="B196" s="47" t="s">
        <v>502</v>
      </c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8" t="s">
        <v>503</v>
      </c>
      <c r="B197" s="48" t="s">
        <v>504</v>
      </c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7" t="s">
        <v>505</v>
      </c>
      <c r="B198" s="47" t="s">
        <v>506</v>
      </c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8" t="s">
        <v>507</v>
      </c>
      <c r="B199" s="48" t="s">
        <v>508</v>
      </c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7" t="s">
        <v>509</v>
      </c>
      <c r="B200" s="47" t="s">
        <v>510</v>
      </c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8" t="s">
        <v>511</v>
      </c>
      <c r="B201" s="48" t="s">
        <v>512</v>
      </c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7" t="s">
        <v>513</v>
      </c>
      <c r="B202" s="47" t="s">
        <v>514</v>
      </c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8" t="s">
        <v>515</v>
      </c>
      <c r="B203" s="48" t="s">
        <v>516</v>
      </c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7" t="s">
        <v>517</v>
      </c>
      <c r="B204" s="47" t="s">
        <v>518</v>
      </c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8" t="s">
        <v>519</v>
      </c>
      <c r="B205" s="48" t="s">
        <v>520</v>
      </c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7" t="s">
        <v>521</v>
      </c>
      <c r="B206" s="47" t="s">
        <v>522</v>
      </c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8" t="s">
        <v>523</v>
      </c>
      <c r="B207" s="48" t="s">
        <v>524</v>
      </c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7" t="s">
        <v>525</v>
      </c>
      <c r="B208" s="47" t="s">
        <v>228</v>
      </c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8" t="s">
        <v>526</v>
      </c>
      <c r="B209" s="48" t="s">
        <v>527</v>
      </c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7" t="s">
        <v>528</v>
      </c>
      <c r="B210" s="47" t="s">
        <v>529</v>
      </c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8" t="s">
        <v>530</v>
      </c>
      <c r="B211" s="48" t="s">
        <v>531</v>
      </c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7" t="s">
        <v>532</v>
      </c>
      <c r="B212" s="47" t="s">
        <v>533</v>
      </c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8" t="s">
        <v>534</v>
      </c>
      <c r="B213" s="48" t="s">
        <v>535</v>
      </c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7" t="s">
        <v>536</v>
      </c>
      <c r="B214" s="47" t="s">
        <v>537</v>
      </c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8" t="s">
        <v>538</v>
      </c>
      <c r="B215" s="48" t="s">
        <v>261</v>
      </c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7" t="s">
        <v>539</v>
      </c>
      <c r="B216" s="47" t="s">
        <v>540</v>
      </c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8" t="s">
        <v>541</v>
      </c>
      <c r="B217" s="48" t="s">
        <v>542</v>
      </c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7" t="s">
        <v>543</v>
      </c>
      <c r="B218" s="47" t="s">
        <v>544</v>
      </c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8" t="s">
        <v>545</v>
      </c>
      <c r="B219" s="48" t="s">
        <v>219</v>
      </c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7" t="s">
        <v>546</v>
      </c>
      <c r="B220" s="47" t="s">
        <v>547</v>
      </c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8" t="s">
        <v>548</v>
      </c>
      <c r="B221" s="48" t="s">
        <v>549</v>
      </c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7" t="s">
        <v>548</v>
      </c>
      <c r="B222" s="47" t="s">
        <v>550</v>
      </c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8" t="s">
        <v>551</v>
      </c>
      <c r="B223" s="48" t="s">
        <v>552</v>
      </c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7" t="s">
        <v>553</v>
      </c>
      <c r="B224" s="47" t="s">
        <v>554</v>
      </c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8" t="s">
        <v>555</v>
      </c>
      <c r="B225" s="48" t="s">
        <v>556</v>
      </c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7" t="s">
        <v>557</v>
      </c>
      <c r="B226" s="47" t="s">
        <v>558</v>
      </c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8" t="s">
        <v>559</v>
      </c>
      <c r="B227" s="48" t="s">
        <v>560</v>
      </c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7" t="s">
        <v>561</v>
      </c>
      <c r="B228" s="47" t="s">
        <v>562</v>
      </c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8" t="s">
        <v>563</v>
      </c>
      <c r="B229" s="48" t="s">
        <v>564</v>
      </c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7" t="s">
        <v>565</v>
      </c>
      <c r="B230" s="47" t="s">
        <v>562</v>
      </c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8" t="s">
        <v>566</v>
      </c>
      <c r="B231" s="48" t="s">
        <v>567</v>
      </c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7" t="s">
        <v>568</v>
      </c>
      <c r="B232" s="47" t="s">
        <v>569</v>
      </c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8" t="s">
        <v>570</v>
      </c>
      <c r="B233" s="48" t="s">
        <v>571</v>
      </c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7" t="s">
        <v>572</v>
      </c>
      <c r="B234" s="47" t="s">
        <v>573</v>
      </c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8" t="s">
        <v>574</v>
      </c>
      <c r="B235" s="48" t="s">
        <v>535</v>
      </c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7" t="s">
        <v>575</v>
      </c>
      <c r="B236" s="47" t="s">
        <v>576</v>
      </c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8" t="s">
        <v>577</v>
      </c>
      <c r="B237" s="48" t="s">
        <v>578</v>
      </c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7" t="s">
        <v>579</v>
      </c>
      <c r="B238" s="47" t="s">
        <v>259</v>
      </c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8" t="s">
        <v>580</v>
      </c>
      <c r="B239" s="48" t="s">
        <v>581</v>
      </c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7" t="s">
        <v>582</v>
      </c>
      <c r="B240" s="47" t="s">
        <v>552</v>
      </c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8" t="s">
        <v>583</v>
      </c>
      <c r="B241" s="48" t="s">
        <v>584</v>
      </c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7" t="s">
        <v>585</v>
      </c>
      <c r="B242" s="47" t="s">
        <v>586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8" t="s">
        <v>587</v>
      </c>
      <c r="B243" s="48" t="s">
        <v>588</v>
      </c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7" t="s">
        <v>589</v>
      </c>
      <c r="B244" s="47" t="s">
        <v>278</v>
      </c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8" t="s">
        <v>590</v>
      </c>
      <c r="B245" s="48" t="s">
        <v>591</v>
      </c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7" t="s">
        <v>592</v>
      </c>
      <c r="B246" s="47" t="s">
        <v>506</v>
      </c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8" t="s">
        <v>593</v>
      </c>
      <c r="B247" s="48" t="s">
        <v>594</v>
      </c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7" t="s">
        <v>595</v>
      </c>
      <c r="B248" s="47" t="s">
        <v>596</v>
      </c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8" t="s">
        <v>597</v>
      </c>
      <c r="B249" s="48" t="s">
        <v>598</v>
      </c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7" t="s">
        <v>599</v>
      </c>
      <c r="B250" s="47" t="s">
        <v>600</v>
      </c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8" t="s">
        <v>601</v>
      </c>
      <c r="B251" s="48" t="s">
        <v>602</v>
      </c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7" t="s">
        <v>603</v>
      </c>
      <c r="B252" s="47" t="s">
        <v>353</v>
      </c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8" t="s">
        <v>604</v>
      </c>
      <c r="B253" s="48" t="s">
        <v>605</v>
      </c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7" t="s">
        <v>606</v>
      </c>
      <c r="B254" s="47" t="s">
        <v>607</v>
      </c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8" t="s">
        <v>608</v>
      </c>
      <c r="B255" s="48" t="s">
        <v>609</v>
      </c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7" t="s">
        <v>610</v>
      </c>
      <c r="B256" s="47" t="s">
        <v>296</v>
      </c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8" t="s">
        <v>611</v>
      </c>
      <c r="B257" s="48" t="s">
        <v>327</v>
      </c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7" t="s">
        <v>612</v>
      </c>
      <c r="B258" s="47" t="s">
        <v>613</v>
      </c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8" t="s">
        <v>614</v>
      </c>
      <c r="B259" s="48" t="s">
        <v>615</v>
      </c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7" t="s">
        <v>616</v>
      </c>
      <c r="B260" s="47" t="s">
        <v>607</v>
      </c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8" t="s">
        <v>617</v>
      </c>
      <c r="B261" s="48" t="s">
        <v>618</v>
      </c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7" t="s">
        <v>619</v>
      </c>
      <c r="B262" s="47" t="s">
        <v>620</v>
      </c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8" t="s">
        <v>621</v>
      </c>
      <c r="B263" s="48" t="s">
        <v>622</v>
      </c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7" t="s">
        <v>623</v>
      </c>
      <c r="B264" s="47" t="s">
        <v>624</v>
      </c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8" t="s">
        <v>625</v>
      </c>
      <c r="B265" s="48" t="s">
        <v>626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7" t="s">
        <v>627</v>
      </c>
      <c r="B266" s="47" t="s">
        <v>628</v>
      </c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8" t="s">
        <v>629</v>
      </c>
      <c r="B267" s="48" t="s">
        <v>630</v>
      </c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7" t="s">
        <v>631</v>
      </c>
      <c r="B268" s="47" t="s">
        <v>531</v>
      </c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8" t="s">
        <v>632</v>
      </c>
      <c r="B269" s="48" t="s">
        <v>633</v>
      </c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7" t="s">
        <v>634</v>
      </c>
      <c r="B270" s="47" t="s">
        <v>633</v>
      </c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8" t="s">
        <v>635</v>
      </c>
      <c r="B271" s="48" t="s">
        <v>636</v>
      </c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7" t="s">
        <v>637</v>
      </c>
      <c r="B272" s="47" t="s">
        <v>638</v>
      </c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8" t="s">
        <v>639</v>
      </c>
      <c r="B273" s="48" t="s">
        <v>640</v>
      </c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7" t="s">
        <v>641</v>
      </c>
      <c r="B274" s="47" t="s">
        <v>642</v>
      </c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8" t="s">
        <v>643</v>
      </c>
      <c r="B275" s="48" t="s">
        <v>644</v>
      </c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7" t="s">
        <v>645</v>
      </c>
      <c r="B276" s="47" t="s">
        <v>646</v>
      </c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8" t="s">
        <v>647</v>
      </c>
      <c r="B277" s="48" t="s">
        <v>648</v>
      </c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7" t="s">
        <v>649</v>
      </c>
      <c r="B278" s="47" t="s">
        <v>650</v>
      </c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8" t="s">
        <v>651</v>
      </c>
      <c r="B279" s="48" t="s">
        <v>648</v>
      </c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7" t="s">
        <v>652</v>
      </c>
      <c r="B280" s="47" t="s">
        <v>512</v>
      </c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8" t="s">
        <v>653</v>
      </c>
      <c r="B281" s="48" t="s">
        <v>654</v>
      </c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7" t="s">
        <v>655</v>
      </c>
      <c r="B282" s="47" t="s">
        <v>648</v>
      </c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8" t="s">
        <v>656</v>
      </c>
      <c r="B283" s="48" t="s">
        <v>657</v>
      </c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7" t="s">
        <v>658</v>
      </c>
      <c r="B284" s="47" t="s">
        <v>390</v>
      </c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8" t="s">
        <v>659</v>
      </c>
      <c r="B285" s="48" t="s">
        <v>660</v>
      </c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7" t="s">
        <v>661</v>
      </c>
      <c r="B286" s="47" t="s">
        <v>622</v>
      </c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8" t="s">
        <v>662</v>
      </c>
      <c r="B287" s="48" t="s">
        <v>598</v>
      </c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7" t="s">
        <v>663</v>
      </c>
      <c r="B288" s="47" t="s">
        <v>664</v>
      </c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8" t="s">
        <v>665</v>
      </c>
      <c r="B289" s="48" t="s">
        <v>666</v>
      </c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7" t="s">
        <v>667</v>
      </c>
      <c r="B290" s="47" t="s">
        <v>668</v>
      </c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8" t="s">
        <v>669</v>
      </c>
      <c r="B291" s="48" t="s">
        <v>670</v>
      </c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7" t="s">
        <v>671</v>
      </c>
      <c r="B292" s="47" t="s">
        <v>672</v>
      </c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8" t="s">
        <v>673</v>
      </c>
      <c r="B293" s="48" t="s">
        <v>674</v>
      </c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7" t="s">
        <v>675</v>
      </c>
      <c r="B294" s="47" t="s">
        <v>676</v>
      </c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8" t="s">
        <v>677</v>
      </c>
      <c r="B295" s="48" t="s">
        <v>678</v>
      </c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7" t="s">
        <v>679</v>
      </c>
      <c r="B296" s="47" t="s">
        <v>680</v>
      </c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8" t="s">
        <v>681</v>
      </c>
      <c r="B297" s="48" t="s">
        <v>682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7" t="s">
        <v>683</v>
      </c>
      <c r="B298" s="47" t="s">
        <v>684</v>
      </c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8" t="s">
        <v>685</v>
      </c>
      <c r="B299" s="48" t="s">
        <v>686</v>
      </c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7" t="s">
        <v>687</v>
      </c>
      <c r="B300" s="47" t="s">
        <v>688</v>
      </c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8" t="s">
        <v>689</v>
      </c>
      <c r="B301" s="48" t="s">
        <v>690</v>
      </c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7" t="s">
        <v>691</v>
      </c>
      <c r="B302" s="47" t="s">
        <v>692</v>
      </c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8" t="s">
        <v>693</v>
      </c>
      <c r="B303" s="48" t="s">
        <v>379</v>
      </c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7" t="s">
        <v>694</v>
      </c>
      <c r="B304" s="47" t="s">
        <v>695</v>
      </c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8" t="s">
        <v>696</v>
      </c>
      <c r="B305" s="48" t="s">
        <v>697</v>
      </c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7" t="s">
        <v>698</v>
      </c>
      <c r="B306" s="47" t="s">
        <v>699</v>
      </c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8" t="s">
        <v>700</v>
      </c>
      <c r="B307" s="48" t="s">
        <v>701</v>
      </c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7" t="s">
        <v>702</v>
      </c>
      <c r="B308" s="47" t="s">
        <v>703</v>
      </c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8" t="s">
        <v>704</v>
      </c>
      <c r="B309" s="48" t="s">
        <v>420</v>
      </c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7" t="s">
        <v>705</v>
      </c>
      <c r="B310" s="47" t="s">
        <v>706</v>
      </c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8" t="s">
        <v>707</v>
      </c>
      <c r="B311" s="48" t="s">
        <v>664</v>
      </c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7" t="s">
        <v>708</v>
      </c>
      <c r="B312" s="47" t="s">
        <v>709</v>
      </c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8" t="s">
        <v>710</v>
      </c>
      <c r="B313" s="48" t="s">
        <v>670</v>
      </c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7" t="s">
        <v>711</v>
      </c>
      <c r="B314" s="47" t="s">
        <v>613</v>
      </c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8" t="s">
        <v>712</v>
      </c>
      <c r="B315" s="48" t="s">
        <v>713</v>
      </c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7" t="s">
        <v>714</v>
      </c>
      <c r="B316" s="47" t="s">
        <v>715</v>
      </c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8" t="s">
        <v>716</v>
      </c>
      <c r="B317" s="48" t="s">
        <v>717</v>
      </c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7" t="s">
        <v>718</v>
      </c>
      <c r="B318" s="47" t="s">
        <v>719</v>
      </c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8" t="s">
        <v>720</v>
      </c>
      <c r="B319" s="48" t="s">
        <v>721</v>
      </c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7" t="s">
        <v>722</v>
      </c>
      <c r="B320" s="47" t="s">
        <v>723</v>
      </c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8" t="s">
        <v>724</v>
      </c>
      <c r="B321" s="48" t="s">
        <v>657</v>
      </c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7" t="s">
        <v>725</v>
      </c>
      <c r="B322" s="47" t="s">
        <v>726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8" t="s">
        <v>727</v>
      </c>
      <c r="B323" s="48" t="s">
        <v>728</v>
      </c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7" t="s">
        <v>729</v>
      </c>
      <c r="B324" s="47" t="s">
        <v>730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8" t="s">
        <v>731</v>
      </c>
      <c r="B325" s="48" t="s">
        <v>732</v>
      </c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7" t="s">
        <v>733</v>
      </c>
      <c r="B326" s="47" t="s">
        <v>678</v>
      </c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8" t="s">
        <v>734</v>
      </c>
      <c r="B327" s="48" t="s">
        <v>436</v>
      </c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7" t="s">
        <v>735</v>
      </c>
      <c r="B328" s="47" t="s">
        <v>736</v>
      </c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8" t="s">
        <v>737</v>
      </c>
      <c r="B329" s="48" t="s">
        <v>638</v>
      </c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7" t="s">
        <v>738</v>
      </c>
      <c r="B330" s="47" t="s">
        <v>739</v>
      </c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8" t="s">
        <v>740</v>
      </c>
      <c r="B331" s="48" t="s">
        <v>741</v>
      </c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7" t="s">
        <v>742</v>
      </c>
      <c r="B332" s="47" t="s">
        <v>743</v>
      </c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8" t="s">
        <v>744</v>
      </c>
      <c r="B333" s="48" t="s">
        <v>745</v>
      </c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7" t="s">
        <v>746</v>
      </c>
      <c r="B334" s="47" t="s">
        <v>747</v>
      </c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8" t="s">
        <v>748</v>
      </c>
      <c r="B335" s="48" t="s">
        <v>640</v>
      </c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7" t="s">
        <v>749</v>
      </c>
      <c r="B336" s="47" t="s">
        <v>750</v>
      </c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8" t="s">
        <v>751</v>
      </c>
      <c r="B337" s="48" t="s">
        <v>666</v>
      </c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7" t="s">
        <v>752</v>
      </c>
      <c r="B338" s="47" t="s">
        <v>753</v>
      </c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8" t="s">
        <v>754</v>
      </c>
      <c r="B339" s="48" t="s">
        <v>755</v>
      </c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7" t="s">
        <v>756</v>
      </c>
      <c r="B340" s="47" t="s">
        <v>757</v>
      </c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8" t="s">
        <v>758</v>
      </c>
      <c r="B341" s="48" t="s">
        <v>726</v>
      </c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7" t="s">
        <v>759</v>
      </c>
      <c r="B342" s="47" t="s">
        <v>594</v>
      </c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8" t="s">
        <v>760</v>
      </c>
      <c r="B343" s="48" t="s">
        <v>697</v>
      </c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7" t="s">
        <v>761</v>
      </c>
      <c r="B344" s="47" t="s">
        <v>753</v>
      </c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8" t="s">
        <v>762</v>
      </c>
      <c r="B345" s="48" t="s">
        <v>763</v>
      </c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7" t="s">
        <v>764</v>
      </c>
      <c r="B346" s="47" t="s">
        <v>765</v>
      </c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8" t="s">
        <v>766</v>
      </c>
      <c r="B347" s="48" t="s">
        <v>767</v>
      </c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7" t="s">
        <v>768</v>
      </c>
      <c r="B348" s="47" t="s">
        <v>642</v>
      </c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8" t="s">
        <v>769</v>
      </c>
      <c r="B349" s="48" t="s">
        <v>713</v>
      </c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7" t="s">
        <v>770</v>
      </c>
      <c r="B350" s="47" t="s">
        <v>747</v>
      </c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8" t="s">
        <v>771</v>
      </c>
      <c r="B351" s="48" t="s">
        <v>772</v>
      </c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7" t="s">
        <v>773</v>
      </c>
      <c r="B352" s="47" t="s">
        <v>774</v>
      </c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8" t="s">
        <v>775</v>
      </c>
      <c r="B353" s="48" t="s">
        <v>232</v>
      </c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7" t="s">
        <v>776</v>
      </c>
      <c r="B354" s="47" t="s">
        <v>739</v>
      </c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8" t="s">
        <v>777</v>
      </c>
      <c r="B355" s="48" t="s">
        <v>571</v>
      </c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7" t="s">
        <v>778</v>
      </c>
      <c r="B356" s="47" t="s">
        <v>544</v>
      </c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8" t="s">
        <v>779</v>
      </c>
      <c r="B357" s="48" t="s">
        <v>348</v>
      </c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7" t="s">
        <v>780</v>
      </c>
      <c r="B358" s="47" t="s">
        <v>781</v>
      </c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8" t="s">
        <v>782</v>
      </c>
      <c r="B359" s="48" t="s">
        <v>783</v>
      </c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7" t="s">
        <v>784</v>
      </c>
      <c r="B360" s="47" t="s">
        <v>785</v>
      </c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8" t="s">
        <v>786</v>
      </c>
      <c r="B361" s="48" t="s">
        <v>787</v>
      </c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7" t="s">
        <v>788</v>
      </c>
      <c r="B362" s="47" t="s">
        <v>732</v>
      </c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8" t="s">
        <v>789</v>
      </c>
      <c r="B363" s="48" t="s">
        <v>699</v>
      </c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7" t="s">
        <v>790</v>
      </c>
      <c r="B364" s="47" t="s">
        <v>682</v>
      </c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8" t="s">
        <v>791</v>
      </c>
      <c r="B365" s="48" t="s">
        <v>792</v>
      </c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7" t="s">
        <v>793</v>
      </c>
      <c r="B366" s="47" t="s">
        <v>767</v>
      </c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8" t="s">
        <v>794</v>
      </c>
      <c r="B367" s="48" t="s">
        <v>795</v>
      </c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7" t="s">
        <v>796</v>
      </c>
      <c r="B368" s="47" t="s">
        <v>797</v>
      </c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8" t="s">
        <v>798</v>
      </c>
      <c r="B369" s="48" t="s">
        <v>799</v>
      </c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7" t="s">
        <v>800</v>
      </c>
      <c r="B370" s="47" t="s">
        <v>801</v>
      </c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8" t="s">
        <v>802</v>
      </c>
      <c r="B371" s="48" t="s">
        <v>795</v>
      </c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7" t="s">
        <v>803</v>
      </c>
      <c r="B372" s="47" t="s">
        <v>804</v>
      </c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8" t="s">
        <v>805</v>
      </c>
      <c r="B373" s="48" t="s">
        <v>703</v>
      </c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7" t="s">
        <v>806</v>
      </c>
      <c r="B374" s="47" t="s">
        <v>807</v>
      </c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8" t="s">
        <v>808</v>
      </c>
      <c r="B375" s="48" t="s">
        <v>809</v>
      </c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7" t="s">
        <v>810</v>
      </c>
      <c r="B376" s="47" t="s">
        <v>811</v>
      </c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8" t="s">
        <v>812</v>
      </c>
      <c r="B377" s="48" t="s">
        <v>809</v>
      </c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7" t="s">
        <v>813</v>
      </c>
      <c r="B378" s="47" t="s">
        <v>814</v>
      </c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8" t="s">
        <v>815</v>
      </c>
      <c r="B379" s="48" t="s">
        <v>531</v>
      </c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7" t="s">
        <v>816</v>
      </c>
      <c r="B380" s="47" t="s">
        <v>706</v>
      </c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8" t="s">
        <v>817</v>
      </c>
      <c r="B381" s="48" t="s">
        <v>818</v>
      </c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7" t="s">
        <v>819</v>
      </c>
      <c r="B382" s="47" t="s">
        <v>820</v>
      </c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8" t="s">
        <v>821</v>
      </c>
      <c r="B383" s="48" t="s">
        <v>767</v>
      </c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7" t="s">
        <v>822</v>
      </c>
      <c r="B384" s="47" t="s">
        <v>550</v>
      </c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8" t="s">
        <v>822</v>
      </c>
      <c r="B385" s="48" t="s">
        <v>549</v>
      </c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7" t="s">
        <v>823</v>
      </c>
      <c r="B386" s="47" t="s">
        <v>824</v>
      </c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8" t="s">
        <v>825</v>
      </c>
      <c r="B387" s="48" t="s">
        <v>774</v>
      </c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7" t="s">
        <v>826</v>
      </c>
      <c r="B388" s="47" t="s">
        <v>682</v>
      </c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8" t="s">
        <v>827</v>
      </c>
      <c r="B389" s="48" t="s">
        <v>828</v>
      </c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7" t="s">
        <v>829</v>
      </c>
      <c r="B390" s="47" t="s">
        <v>830</v>
      </c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8" t="s">
        <v>831</v>
      </c>
      <c r="B391" s="48" t="s">
        <v>680</v>
      </c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7" t="s">
        <v>832</v>
      </c>
      <c r="B392" s="47" t="s">
        <v>801</v>
      </c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8" t="s">
        <v>833</v>
      </c>
      <c r="B393" s="48" t="s">
        <v>680</v>
      </c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7" t="s">
        <v>834</v>
      </c>
      <c r="B394" s="47" t="s">
        <v>835</v>
      </c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8" t="s">
        <v>836</v>
      </c>
      <c r="B395" s="48" t="s">
        <v>763</v>
      </c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7" t="s">
        <v>837</v>
      </c>
      <c r="B396" s="47" t="s">
        <v>838</v>
      </c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8" t="s">
        <v>839</v>
      </c>
      <c r="B397" s="48" t="s">
        <v>840</v>
      </c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7" t="s">
        <v>841</v>
      </c>
      <c r="B398" s="47" t="s">
        <v>801</v>
      </c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8" t="s">
        <v>842</v>
      </c>
      <c r="B399" s="48" t="s">
        <v>830</v>
      </c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7" t="s">
        <v>843</v>
      </c>
      <c r="B400" s="47" t="s">
        <v>680</v>
      </c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8" t="s">
        <v>844</v>
      </c>
      <c r="B401" s="48" t="s">
        <v>811</v>
      </c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7" t="s">
        <v>845</v>
      </c>
      <c r="B402" s="47" t="s">
        <v>846</v>
      </c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8" t="s">
        <v>847</v>
      </c>
      <c r="B403" s="48" t="s">
        <v>736</v>
      </c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7" t="s">
        <v>848</v>
      </c>
      <c r="B404" s="47" t="s">
        <v>824</v>
      </c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8" t="s">
        <v>849</v>
      </c>
      <c r="B405" s="48" t="s">
        <v>850</v>
      </c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7" t="s">
        <v>851</v>
      </c>
      <c r="B406" s="47" t="s">
        <v>852</v>
      </c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8" t="s">
        <v>853</v>
      </c>
      <c r="B407" s="48" t="s">
        <v>311</v>
      </c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7" t="s">
        <v>854</v>
      </c>
      <c r="B408" s="47" t="s">
        <v>767</v>
      </c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8" t="s">
        <v>855</v>
      </c>
      <c r="B409" s="48" t="s">
        <v>850</v>
      </c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7" t="s">
        <v>856</v>
      </c>
      <c r="B410" s="47" t="s">
        <v>850</v>
      </c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8" t="s">
        <v>857</v>
      </c>
      <c r="B411" s="48" t="s">
        <v>327</v>
      </c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7" t="s">
        <v>858</v>
      </c>
      <c r="B412" s="47" t="s">
        <v>211</v>
      </c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8" t="s">
        <v>859</v>
      </c>
      <c r="B413" s="48" t="s">
        <v>860</v>
      </c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7" t="s">
        <v>861</v>
      </c>
      <c r="B414" s="47" t="s">
        <v>862</v>
      </c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8" t="s">
        <v>863</v>
      </c>
      <c r="B415" s="48" t="s">
        <v>730</v>
      </c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7" t="s">
        <v>864</v>
      </c>
      <c r="B416" s="47" t="s">
        <v>692</v>
      </c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8" t="s">
        <v>865</v>
      </c>
      <c r="B417" s="48" t="s">
        <v>743</v>
      </c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7" t="s">
        <v>866</v>
      </c>
      <c r="B418" s="47" t="s">
        <v>862</v>
      </c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8" t="s">
        <v>867</v>
      </c>
      <c r="B419" s="48" t="s">
        <v>868</v>
      </c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7" t="s">
        <v>869</v>
      </c>
      <c r="B420" s="47" t="s">
        <v>390</v>
      </c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8" t="s">
        <v>870</v>
      </c>
      <c r="B421" s="48" t="s">
        <v>852</v>
      </c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7" t="s">
        <v>871</v>
      </c>
      <c r="B422" s="47" t="s">
        <v>767</v>
      </c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8" t="s">
        <v>872</v>
      </c>
      <c r="B423" s="48" t="s">
        <v>873</v>
      </c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7" t="s">
        <v>874</v>
      </c>
      <c r="B424" s="47" t="s">
        <v>875</v>
      </c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8" t="s">
        <v>876</v>
      </c>
      <c r="B425" s="48" t="s">
        <v>875</v>
      </c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7" t="s">
        <v>877</v>
      </c>
      <c r="B426" s="47" t="s">
        <v>828</v>
      </c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8" t="s">
        <v>878</v>
      </c>
      <c r="B427" s="48" t="s">
        <v>666</v>
      </c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7" t="s">
        <v>879</v>
      </c>
      <c r="B428" s="47" t="s">
        <v>880</v>
      </c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8" t="s">
        <v>881</v>
      </c>
      <c r="B429" s="48" t="s">
        <v>882</v>
      </c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7" t="s">
        <v>883</v>
      </c>
      <c r="B430" s="47" t="s">
        <v>767</v>
      </c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8" t="s">
        <v>884</v>
      </c>
      <c r="B431" s="48" t="s">
        <v>885</v>
      </c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7" t="s">
        <v>886</v>
      </c>
      <c r="B432" s="47" t="s">
        <v>887</v>
      </c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8" t="s">
        <v>888</v>
      </c>
      <c r="B433" s="48" t="s">
        <v>767</v>
      </c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7" t="s">
        <v>889</v>
      </c>
      <c r="B434" s="47" t="s">
        <v>890</v>
      </c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8" t="s">
        <v>891</v>
      </c>
      <c r="B435" s="48" t="s">
        <v>892</v>
      </c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7" t="s">
        <v>893</v>
      </c>
      <c r="B436" s="47" t="s">
        <v>717</v>
      </c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8" t="s">
        <v>894</v>
      </c>
      <c r="B437" s="48" t="s">
        <v>895</v>
      </c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7" t="s">
        <v>896</v>
      </c>
      <c r="B438" s="47" t="s">
        <v>895</v>
      </c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8" t="s">
        <v>897</v>
      </c>
      <c r="B439" s="48" t="s">
        <v>828</v>
      </c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7" t="s">
        <v>898</v>
      </c>
      <c r="B440" s="47" t="s">
        <v>898</v>
      </c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8" t="s">
        <v>899</v>
      </c>
      <c r="B441" s="48" t="s">
        <v>840</v>
      </c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7" t="s">
        <v>900</v>
      </c>
      <c r="B442" s="47" t="s">
        <v>745</v>
      </c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8" t="s">
        <v>901</v>
      </c>
      <c r="B443" s="48" t="s">
        <v>902</v>
      </c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7" t="s">
        <v>903</v>
      </c>
      <c r="B444" s="47" t="s">
        <v>904</v>
      </c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8" t="s">
        <v>905</v>
      </c>
      <c r="B445" s="48" t="s">
        <v>674</v>
      </c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7" t="s">
        <v>906</v>
      </c>
      <c r="B446" s="47" t="s">
        <v>804</v>
      </c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8" t="s">
        <v>907</v>
      </c>
      <c r="B447" s="48" t="s">
        <v>908</v>
      </c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7" t="s">
        <v>909</v>
      </c>
      <c r="B448" s="47" t="s">
        <v>660</v>
      </c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8" t="s">
        <v>910</v>
      </c>
      <c r="B449" s="48" t="s">
        <v>911</v>
      </c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7" t="s">
        <v>912</v>
      </c>
      <c r="B450" s="47" t="s">
        <v>912</v>
      </c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8" t="s">
        <v>913</v>
      </c>
      <c r="B451" s="48" t="s">
        <v>914</v>
      </c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7" t="s">
        <v>915</v>
      </c>
      <c r="B452" s="47" t="s">
        <v>916</v>
      </c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8" t="s">
        <v>917</v>
      </c>
      <c r="B453" s="48" t="s">
        <v>918</v>
      </c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7" t="s">
        <v>919</v>
      </c>
      <c r="B454" s="47" t="s">
        <v>920</v>
      </c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8" t="s">
        <v>921</v>
      </c>
      <c r="B455" s="48" t="s">
        <v>922</v>
      </c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7" t="s">
        <v>923</v>
      </c>
      <c r="B456" s="47" t="s">
        <v>923</v>
      </c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8" t="s">
        <v>924</v>
      </c>
      <c r="B457" s="48" t="s">
        <v>924</v>
      </c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7" t="s">
        <v>925</v>
      </c>
      <c r="B458" s="47" t="s">
        <v>916</v>
      </c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8" t="s">
        <v>926</v>
      </c>
      <c r="B459" s="48" t="s">
        <v>927</v>
      </c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7" t="s">
        <v>928</v>
      </c>
      <c r="B460" s="47" t="s">
        <v>929</v>
      </c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8" t="s">
        <v>930</v>
      </c>
      <c r="B461" s="48" t="s">
        <v>931</v>
      </c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7" t="s">
        <v>932</v>
      </c>
      <c r="B462" s="47" t="s">
        <v>931</v>
      </c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8" t="s">
        <v>933</v>
      </c>
      <c r="B463" s="48" t="s">
        <v>934</v>
      </c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7" t="s">
        <v>935</v>
      </c>
      <c r="B464" s="47" t="s">
        <v>934</v>
      </c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8" t="s">
        <v>936</v>
      </c>
      <c r="B465" s="48" t="s">
        <v>937</v>
      </c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7" t="s">
        <v>938</v>
      </c>
      <c r="B466" s="47" t="s">
        <v>939</v>
      </c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8" t="s">
        <v>940</v>
      </c>
      <c r="B467" s="48" t="s">
        <v>939</v>
      </c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7" t="s">
        <v>941</v>
      </c>
      <c r="B468" s="47" t="s">
        <v>937</v>
      </c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8" t="s">
        <v>942</v>
      </c>
      <c r="B469" s="48" t="s">
        <v>942</v>
      </c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7" t="s">
        <v>943</v>
      </c>
      <c r="B470" s="47" t="s">
        <v>944</v>
      </c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8" t="s">
        <v>945</v>
      </c>
      <c r="B471" s="48" t="s">
        <v>946</v>
      </c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7" t="s">
        <v>947</v>
      </c>
      <c r="B472" s="47" t="s">
        <v>946</v>
      </c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8" t="s">
        <v>948</v>
      </c>
      <c r="B473" s="48" t="s">
        <v>908</v>
      </c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7" t="s">
        <v>949</v>
      </c>
      <c r="B474" s="47" t="s">
        <v>949</v>
      </c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8" t="s">
        <v>950</v>
      </c>
      <c r="B475" s="48" t="s">
        <v>488</v>
      </c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7" t="s">
        <v>951</v>
      </c>
      <c r="B476" s="47" t="s">
        <v>952</v>
      </c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8" t="s">
        <v>953</v>
      </c>
      <c r="B477" s="48" t="s">
        <v>953</v>
      </c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7" t="s">
        <v>954</v>
      </c>
      <c r="B478" s="47" t="s">
        <v>772</v>
      </c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8" t="s">
        <v>955</v>
      </c>
      <c r="B479" s="48" t="s">
        <v>783</v>
      </c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7" t="s">
        <v>956</v>
      </c>
      <c r="B480" s="47" t="s">
        <v>957</v>
      </c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8" t="s">
        <v>958</v>
      </c>
      <c r="B481" s="48" t="s">
        <v>959</v>
      </c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7" t="s">
        <v>960</v>
      </c>
      <c r="B482" s="47" t="s">
        <v>959</v>
      </c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8" t="s">
        <v>961</v>
      </c>
      <c r="B483" s="48" t="s">
        <v>962</v>
      </c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7" t="s">
        <v>963</v>
      </c>
      <c r="B484" s="47" t="s">
        <v>962</v>
      </c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8" t="s">
        <v>964</v>
      </c>
      <c r="B485" s="48" t="s">
        <v>964</v>
      </c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7" t="s">
        <v>965</v>
      </c>
      <c r="B486" s="47" t="s">
        <v>862</v>
      </c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8" t="s">
        <v>966</v>
      </c>
      <c r="B487" s="48" t="s">
        <v>967</v>
      </c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7" t="s">
        <v>968</v>
      </c>
      <c r="B488" s="47" t="s">
        <v>967</v>
      </c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8" t="s">
        <v>969</v>
      </c>
      <c r="B489" s="48" t="s">
        <v>967</v>
      </c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7" t="s">
        <v>970</v>
      </c>
      <c r="B490" s="47" t="s">
        <v>971</v>
      </c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8" t="s">
        <v>972</v>
      </c>
      <c r="B491" s="48" t="s">
        <v>973</v>
      </c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7" t="s">
        <v>974</v>
      </c>
      <c r="B492" s="47" t="s">
        <v>975</v>
      </c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8" t="s">
        <v>976</v>
      </c>
      <c r="B493" s="48" t="s">
        <v>971</v>
      </c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7" t="s">
        <v>977</v>
      </c>
      <c r="B494" s="47" t="s">
        <v>978</v>
      </c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8" t="s">
        <v>979</v>
      </c>
      <c r="B495" s="48" t="s">
        <v>980</v>
      </c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7" t="s">
        <v>981</v>
      </c>
      <c r="B496" s="47" t="s">
        <v>980</v>
      </c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8" t="s">
        <v>982</v>
      </c>
      <c r="B497" s="48" t="s">
        <v>983</v>
      </c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7" t="s">
        <v>984</v>
      </c>
      <c r="B498" s="47" t="s">
        <v>984</v>
      </c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8" t="s">
        <v>985</v>
      </c>
      <c r="B499" s="48" t="s">
        <v>985</v>
      </c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7" t="s">
        <v>986</v>
      </c>
      <c r="B500" s="47" t="s">
        <v>986</v>
      </c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8" t="s">
        <v>987</v>
      </c>
      <c r="B501" s="48" t="s">
        <v>987</v>
      </c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7" t="s">
        <v>988</v>
      </c>
      <c r="B502" s="47" t="s">
        <v>988</v>
      </c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8" t="s">
        <v>989</v>
      </c>
      <c r="B503" s="48" t="s">
        <v>990</v>
      </c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7" t="s">
        <v>991</v>
      </c>
      <c r="B504" s="47" t="s">
        <v>991</v>
      </c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8" t="s">
        <v>992</v>
      </c>
      <c r="B505" s="48" t="s">
        <v>992</v>
      </c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7" t="s">
        <v>993</v>
      </c>
      <c r="B506" s="47" t="s">
        <v>993</v>
      </c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8" t="s">
        <v>994</v>
      </c>
      <c r="B507" s="48" t="s">
        <v>486</v>
      </c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7" t="s">
        <v>995</v>
      </c>
      <c r="B508" s="47" t="s">
        <v>591</v>
      </c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8" t="s">
        <v>996</v>
      </c>
      <c r="B509" s="48" t="s">
        <v>996</v>
      </c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7" t="s">
        <v>997</v>
      </c>
      <c r="B510" s="47" t="s">
        <v>998</v>
      </c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8" t="s">
        <v>999</v>
      </c>
      <c r="B511" s="48" t="s">
        <v>999</v>
      </c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7" t="s">
        <v>1000</v>
      </c>
      <c r="B512" s="47" t="s">
        <v>1000</v>
      </c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8" t="s">
        <v>1001</v>
      </c>
      <c r="B513" s="48" t="s">
        <v>1001</v>
      </c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7" t="s">
        <v>1002</v>
      </c>
      <c r="B514" s="47" t="s">
        <v>1003</v>
      </c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8" t="s">
        <v>1004</v>
      </c>
      <c r="B515" s="48" t="s">
        <v>1005</v>
      </c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7" t="s">
        <v>1006</v>
      </c>
      <c r="B516" s="47" t="s">
        <v>1007</v>
      </c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8" t="s">
        <v>1008</v>
      </c>
      <c r="B517" s="48" t="s">
        <v>1008</v>
      </c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7" t="s">
        <v>1009</v>
      </c>
      <c r="B518" s="47" t="s">
        <v>1010</v>
      </c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8" t="s">
        <v>1011</v>
      </c>
      <c r="B519" s="48" t="s">
        <v>1010</v>
      </c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7" t="s">
        <v>1012</v>
      </c>
      <c r="B520" s="47" t="s">
        <v>1013</v>
      </c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8" t="s">
        <v>1014</v>
      </c>
      <c r="B521" s="48" t="s">
        <v>937</v>
      </c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7" t="s">
        <v>1015</v>
      </c>
      <c r="B522" s="47" t="s">
        <v>846</v>
      </c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8" t="s">
        <v>1016</v>
      </c>
      <c r="B523" s="48" t="s">
        <v>607</v>
      </c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7" t="s">
        <v>1017</v>
      </c>
      <c r="B524" s="47" t="s">
        <v>922</v>
      </c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8" t="s">
        <v>1018</v>
      </c>
      <c r="B525" s="48" t="s">
        <v>715</v>
      </c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7" t="s">
        <v>1019</v>
      </c>
      <c r="B526" s="47" t="s">
        <v>1020</v>
      </c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8" t="s">
        <v>1021</v>
      </c>
      <c r="B527" s="48" t="s">
        <v>1022</v>
      </c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7" t="s">
        <v>1023</v>
      </c>
      <c r="B528" s="47" t="s">
        <v>1024</v>
      </c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8" t="s">
        <v>1025</v>
      </c>
      <c r="B529" s="48" t="s">
        <v>944</v>
      </c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7" t="s">
        <v>1026</v>
      </c>
      <c r="B530" s="47" t="s">
        <v>952</v>
      </c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8" t="s">
        <v>1027</v>
      </c>
      <c r="B531" s="48" t="s">
        <v>835</v>
      </c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7" t="s">
        <v>1028</v>
      </c>
      <c r="B532" s="47" t="s">
        <v>797</v>
      </c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8" t="s">
        <v>1029</v>
      </c>
      <c r="B533" s="48" t="s">
        <v>674</v>
      </c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7" t="s">
        <v>1030</v>
      </c>
      <c r="B534" s="47" t="s">
        <v>765</v>
      </c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8" t="s">
        <v>1031</v>
      </c>
      <c r="B535" s="48" t="s">
        <v>598</v>
      </c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7" t="s">
        <v>1032</v>
      </c>
      <c r="B536" s="47" t="s">
        <v>1033</v>
      </c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1"/>
      <c r="B537" s="41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1"/>
      <c r="B538" s="41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1"/>
      <c r="B539" s="41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1"/>
      <c r="B540" s="41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1"/>
      <c r="B541" s="41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1"/>
      <c r="B542" s="41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1"/>
      <c r="B543" s="41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1"/>
      <c r="B544" s="41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1"/>
      <c r="B545" s="41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1"/>
      <c r="B546" s="41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1"/>
      <c r="B547" s="41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1"/>
      <c r="B548" s="41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1"/>
      <c r="B549" s="41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1"/>
      <c r="B550" s="41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1"/>
      <c r="B551" s="41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1"/>
      <c r="B552" s="41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1"/>
      <c r="B553" s="41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1"/>
      <c r="B554" s="41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1"/>
      <c r="B555" s="41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1"/>
      <c r="B556" s="41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1"/>
      <c r="B557" s="41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1"/>
      <c r="B558" s="41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1"/>
      <c r="B559" s="41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1"/>
      <c r="B560" s="41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1"/>
      <c r="B561" s="41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1"/>
      <c r="B562" s="41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1"/>
      <c r="B563" s="41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1"/>
      <c r="B564" s="41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1"/>
      <c r="B565" s="41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1"/>
      <c r="B566" s="41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1"/>
      <c r="B567" s="41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1"/>
      <c r="B568" s="41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1"/>
      <c r="B569" s="41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1"/>
      <c r="B570" s="41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1"/>
      <c r="B571" s="41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1"/>
      <c r="B572" s="41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1"/>
      <c r="B573" s="41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1"/>
      <c r="B574" s="41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1"/>
      <c r="B575" s="41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1"/>
      <c r="B576" s="41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1"/>
      <c r="B577" s="41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1"/>
      <c r="B578" s="41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1"/>
      <c r="B579" s="41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1"/>
      <c r="B580" s="41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1"/>
      <c r="B581" s="41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1"/>
      <c r="B582" s="41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1"/>
      <c r="B583" s="41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1"/>
      <c r="B584" s="41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1"/>
      <c r="B585" s="41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1"/>
      <c r="B586" s="41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1"/>
      <c r="B587" s="41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1"/>
      <c r="B588" s="41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1"/>
      <c r="B589" s="41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1"/>
      <c r="B590" s="41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1"/>
      <c r="B591" s="41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1"/>
      <c r="B592" s="41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1"/>
      <c r="B593" s="41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1"/>
      <c r="B594" s="41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1"/>
      <c r="B595" s="41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1"/>
      <c r="B596" s="41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1"/>
      <c r="B597" s="41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1"/>
      <c r="B598" s="41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1"/>
      <c r="B599" s="41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1"/>
      <c r="B600" s="41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1"/>
      <c r="B601" s="41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1"/>
      <c r="B602" s="41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1"/>
      <c r="B603" s="41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1"/>
      <c r="B604" s="41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1"/>
      <c r="B605" s="41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1"/>
      <c r="B606" s="41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1"/>
      <c r="B607" s="41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1"/>
      <c r="B608" s="41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1"/>
      <c r="B609" s="41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1"/>
      <c r="B610" s="41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1"/>
      <c r="B611" s="41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1"/>
      <c r="B612" s="41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1"/>
      <c r="B613" s="41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1"/>
      <c r="B614" s="41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1"/>
      <c r="B615" s="41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1"/>
      <c r="B616" s="41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1"/>
      <c r="B617" s="41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1"/>
      <c r="B618" s="41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1"/>
      <c r="B619" s="41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1"/>
      <c r="B620" s="41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1"/>
      <c r="B621" s="41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1"/>
      <c r="B622" s="41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1"/>
      <c r="B623" s="41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1"/>
      <c r="B624" s="41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1"/>
      <c r="B625" s="41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1"/>
      <c r="B626" s="41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1"/>
      <c r="B627" s="41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1"/>
      <c r="B628" s="41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1"/>
      <c r="B629" s="41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1"/>
      <c r="B630" s="41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1"/>
      <c r="B631" s="41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1"/>
      <c r="B632" s="41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1"/>
      <c r="B633" s="41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1"/>
      <c r="B634" s="41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1"/>
      <c r="B635" s="41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1"/>
      <c r="B636" s="41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1"/>
      <c r="B637" s="41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1"/>
      <c r="B638" s="41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1"/>
      <c r="B639" s="41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1"/>
      <c r="B640" s="41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1"/>
      <c r="B641" s="41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1"/>
      <c r="B642" s="41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1"/>
      <c r="B643" s="41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1"/>
      <c r="B644" s="41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1"/>
      <c r="B645" s="41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1"/>
      <c r="B646" s="41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1"/>
      <c r="B647" s="41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1"/>
      <c r="B648" s="41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1"/>
      <c r="B649" s="41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1"/>
      <c r="B650" s="41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1"/>
      <c r="B651" s="41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1"/>
      <c r="B652" s="41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1"/>
      <c r="B653" s="41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1"/>
      <c r="B654" s="41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1"/>
      <c r="B655" s="41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1"/>
      <c r="B656" s="41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1"/>
      <c r="B657" s="41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1"/>
      <c r="B658" s="41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1"/>
      <c r="B659" s="41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1"/>
      <c r="B660" s="41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1"/>
      <c r="B661" s="41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1"/>
      <c r="B662" s="41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1"/>
      <c r="B663" s="41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1"/>
      <c r="B664" s="41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1"/>
      <c r="B665" s="41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1"/>
      <c r="B666" s="41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1"/>
      <c r="B667" s="41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1"/>
      <c r="B668" s="41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1"/>
      <c r="B669" s="41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1"/>
      <c r="B670" s="41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1"/>
      <c r="B671" s="41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1"/>
      <c r="B672" s="41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1"/>
      <c r="B673" s="41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1"/>
      <c r="B674" s="41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1"/>
      <c r="B675" s="41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1"/>
      <c r="B676" s="41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1"/>
      <c r="B677" s="41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1"/>
      <c r="B678" s="41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1"/>
      <c r="B679" s="41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1"/>
      <c r="B680" s="41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1"/>
      <c r="B681" s="41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1"/>
      <c r="B682" s="41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1"/>
      <c r="B683" s="41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1"/>
      <c r="B684" s="41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1"/>
      <c r="B685" s="41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1"/>
      <c r="B686" s="41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1"/>
      <c r="B687" s="41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1"/>
      <c r="B688" s="41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1"/>
      <c r="B689" s="41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1"/>
      <c r="B690" s="41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1"/>
      <c r="B691" s="41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1"/>
      <c r="B692" s="41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1"/>
      <c r="B693" s="41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1"/>
      <c r="B694" s="41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1"/>
      <c r="B695" s="41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1"/>
      <c r="B696" s="41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1"/>
      <c r="B697" s="41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1"/>
      <c r="B698" s="41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1"/>
      <c r="B699" s="41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1"/>
      <c r="B700" s="41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1"/>
      <c r="B701" s="41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1"/>
      <c r="B702" s="41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1"/>
      <c r="B703" s="41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1"/>
      <c r="B704" s="41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1"/>
      <c r="B705" s="41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1"/>
      <c r="B706" s="41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1"/>
      <c r="B707" s="41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1"/>
      <c r="B708" s="41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1"/>
      <c r="B709" s="41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1"/>
      <c r="B710" s="41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1"/>
      <c r="B711" s="41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1"/>
      <c r="B712" s="41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1"/>
      <c r="B713" s="41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1"/>
      <c r="B714" s="41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1"/>
      <c r="B715" s="41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1"/>
      <c r="B716" s="41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1"/>
      <c r="B717" s="41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1"/>
      <c r="B718" s="41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1"/>
      <c r="B719" s="41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1"/>
      <c r="B720" s="41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1"/>
      <c r="B721" s="41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1"/>
      <c r="B722" s="41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1"/>
      <c r="B723" s="41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1"/>
      <c r="B724" s="41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1"/>
      <c r="B725" s="41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1"/>
      <c r="B726" s="41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1"/>
      <c r="B727" s="41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1"/>
      <c r="B728" s="41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1"/>
      <c r="B729" s="41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1"/>
      <c r="B730" s="41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1"/>
      <c r="B731" s="41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1"/>
      <c r="B732" s="41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1"/>
      <c r="B733" s="41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1"/>
      <c r="B734" s="41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1"/>
      <c r="B735" s="41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1"/>
      <c r="B736" s="41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1"/>
      <c r="B737" s="41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1"/>
      <c r="B738" s="41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1"/>
      <c r="B739" s="41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1"/>
      <c r="B740" s="41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1"/>
      <c r="B741" s="41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1"/>
      <c r="B742" s="41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1"/>
      <c r="B743" s="41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1"/>
      <c r="B744" s="41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1"/>
      <c r="B745" s="41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1"/>
      <c r="B746" s="41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1"/>
      <c r="B747" s="41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1"/>
      <c r="B748" s="41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1"/>
      <c r="B749" s="41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1"/>
      <c r="B750" s="41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1"/>
      <c r="B751" s="41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1"/>
      <c r="B752" s="41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1"/>
      <c r="B753" s="41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1"/>
      <c r="B754" s="41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1"/>
      <c r="B755" s="41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1"/>
      <c r="B756" s="41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1"/>
      <c r="B757" s="41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1"/>
      <c r="B758" s="41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1"/>
      <c r="B759" s="41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1"/>
      <c r="B760" s="41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1"/>
      <c r="B761" s="41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1"/>
      <c r="B762" s="41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1"/>
      <c r="B763" s="41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1"/>
      <c r="B764" s="41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1"/>
      <c r="B765" s="41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1"/>
      <c r="B766" s="41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1"/>
      <c r="B767" s="41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1"/>
      <c r="B768" s="41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1"/>
      <c r="B769" s="41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1"/>
      <c r="B770" s="41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1"/>
      <c r="B771" s="41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1"/>
      <c r="B772" s="41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1"/>
      <c r="B773" s="41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1"/>
      <c r="B774" s="41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1"/>
      <c r="B775" s="41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1"/>
      <c r="B776" s="41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1"/>
      <c r="B777" s="41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1"/>
      <c r="B778" s="41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1"/>
      <c r="B779" s="41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1"/>
      <c r="B780" s="41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1"/>
      <c r="B781" s="41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1"/>
      <c r="B782" s="41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1"/>
      <c r="B783" s="41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1"/>
      <c r="B784" s="41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1"/>
      <c r="B785" s="41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1"/>
      <c r="B786" s="41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1"/>
      <c r="B787" s="41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1"/>
      <c r="B788" s="41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1"/>
      <c r="B789" s="41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1"/>
      <c r="B790" s="41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1"/>
      <c r="B791" s="41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1"/>
      <c r="B792" s="41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1"/>
      <c r="B793" s="41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1"/>
      <c r="B794" s="41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1"/>
      <c r="B795" s="41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1"/>
      <c r="B796" s="41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1"/>
      <c r="B797" s="41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1"/>
      <c r="B798" s="41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1"/>
      <c r="B799" s="41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1"/>
      <c r="B800" s="41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1"/>
      <c r="B801" s="41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1"/>
      <c r="B802" s="41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1"/>
      <c r="B803" s="41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1"/>
      <c r="B804" s="41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1"/>
      <c r="B805" s="41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1"/>
      <c r="B806" s="41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1"/>
      <c r="B807" s="41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1"/>
      <c r="B808" s="41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1"/>
      <c r="B809" s="41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1"/>
      <c r="B810" s="41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1"/>
      <c r="B811" s="41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1"/>
      <c r="B812" s="41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1"/>
      <c r="B813" s="41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1"/>
      <c r="B814" s="41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1"/>
      <c r="B815" s="41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1"/>
      <c r="B816" s="41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1"/>
      <c r="B817" s="41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1"/>
      <c r="B818" s="41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1"/>
      <c r="B819" s="41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1"/>
      <c r="B820" s="41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1"/>
      <c r="B821" s="41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1"/>
      <c r="B822" s="41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1"/>
      <c r="B823" s="41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1"/>
      <c r="B824" s="41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1"/>
      <c r="B825" s="41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1"/>
      <c r="B826" s="41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1"/>
      <c r="B827" s="41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1"/>
      <c r="B828" s="41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1"/>
      <c r="B829" s="41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1"/>
      <c r="B830" s="41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1"/>
      <c r="B831" s="41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1"/>
      <c r="B832" s="41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1"/>
      <c r="B833" s="41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1"/>
      <c r="B834" s="41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1"/>
      <c r="B835" s="41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1"/>
      <c r="B836" s="41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1"/>
      <c r="B837" s="41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1"/>
      <c r="B838" s="41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1"/>
      <c r="B839" s="41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1"/>
      <c r="B840" s="41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1"/>
      <c r="B841" s="41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1"/>
      <c r="B842" s="41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1"/>
      <c r="B843" s="41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1"/>
      <c r="B844" s="41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1"/>
      <c r="B845" s="41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1"/>
      <c r="B846" s="41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1"/>
      <c r="B847" s="41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1"/>
      <c r="B848" s="41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1"/>
      <c r="B849" s="41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1"/>
      <c r="B850" s="41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1"/>
      <c r="B851" s="41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1"/>
      <c r="B852" s="41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1"/>
      <c r="B853" s="41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1"/>
      <c r="B854" s="41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1"/>
      <c r="B855" s="41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1"/>
      <c r="B856" s="41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1"/>
      <c r="B857" s="41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1"/>
      <c r="B858" s="41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1"/>
      <c r="B859" s="41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1"/>
      <c r="B860" s="41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1"/>
      <c r="B861" s="41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1"/>
      <c r="B862" s="41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1"/>
      <c r="B863" s="41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1"/>
      <c r="B864" s="41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1"/>
      <c r="B865" s="41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1"/>
      <c r="B866" s="41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1"/>
      <c r="B867" s="41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1"/>
      <c r="B868" s="41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1"/>
      <c r="B869" s="41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1"/>
      <c r="B870" s="41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1"/>
      <c r="B871" s="41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1"/>
      <c r="B872" s="41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1"/>
      <c r="B873" s="41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1"/>
      <c r="B874" s="41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1"/>
      <c r="B875" s="41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1"/>
      <c r="B876" s="41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1"/>
      <c r="B877" s="41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1"/>
      <c r="B878" s="41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1"/>
      <c r="B879" s="41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1"/>
      <c r="B880" s="41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1"/>
      <c r="B881" s="41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1"/>
      <c r="B882" s="41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1"/>
      <c r="B883" s="41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1"/>
      <c r="B884" s="41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1"/>
      <c r="B885" s="41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1"/>
      <c r="B886" s="41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1"/>
      <c r="B887" s="41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1"/>
      <c r="B888" s="41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1"/>
      <c r="B889" s="41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1"/>
      <c r="B890" s="41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1"/>
      <c r="B891" s="41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1"/>
      <c r="B892" s="41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1"/>
      <c r="B893" s="41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1"/>
      <c r="B894" s="41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1"/>
      <c r="B895" s="41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1"/>
      <c r="B896" s="41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1"/>
      <c r="B897" s="41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1"/>
      <c r="B898" s="41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1"/>
      <c r="B899" s="41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1"/>
      <c r="B900" s="41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1"/>
      <c r="B901" s="41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1"/>
      <c r="B902" s="41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1"/>
      <c r="B903" s="41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1"/>
      <c r="B904" s="41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1"/>
      <c r="B905" s="41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1"/>
      <c r="B906" s="41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1"/>
      <c r="B907" s="41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1"/>
      <c r="B908" s="41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1"/>
      <c r="B909" s="41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1"/>
      <c r="B910" s="41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1"/>
      <c r="B911" s="41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1"/>
      <c r="B912" s="41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1"/>
      <c r="B913" s="41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1"/>
      <c r="B914" s="41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1"/>
      <c r="B915" s="41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1"/>
      <c r="B916" s="41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1"/>
      <c r="B917" s="41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1"/>
      <c r="B918" s="41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1"/>
      <c r="B919" s="41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1"/>
      <c r="B920" s="41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1"/>
      <c r="B921" s="41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1"/>
      <c r="B922" s="41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1"/>
      <c r="B923" s="41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1"/>
      <c r="B924" s="41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1"/>
      <c r="B925" s="41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1"/>
      <c r="B926" s="41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1"/>
      <c r="B927" s="41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1"/>
      <c r="B928" s="41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1"/>
      <c r="B929" s="41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1"/>
      <c r="B930" s="41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1"/>
      <c r="B931" s="41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1"/>
      <c r="B932" s="41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1"/>
      <c r="B933" s="41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1"/>
      <c r="B934" s="41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1"/>
      <c r="B935" s="41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1"/>
      <c r="B936" s="41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1"/>
      <c r="B937" s="41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1"/>
      <c r="B938" s="41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1"/>
      <c r="B939" s="41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1"/>
      <c r="B940" s="41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1"/>
      <c r="B941" s="41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1"/>
      <c r="B942" s="41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1"/>
      <c r="B943" s="41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1"/>
      <c r="B944" s="41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1"/>
      <c r="B945" s="41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1"/>
      <c r="B946" s="41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1"/>
      <c r="B947" s="41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1"/>
      <c r="B948" s="41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1"/>
      <c r="B949" s="41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1"/>
      <c r="B950" s="41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1"/>
      <c r="B951" s="41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1"/>
      <c r="B952" s="41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1"/>
      <c r="B953" s="41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1"/>
      <c r="B954" s="41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1"/>
      <c r="B955" s="41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1"/>
      <c r="B956" s="41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1"/>
      <c r="B957" s="41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1"/>
      <c r="B958" s="41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1"/>
      <c r="B959" s="41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1"/>
      <c r="B960" s="41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1"/>
      <c r="B961" s="41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1"/>
      <c r="B962" s="41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1"/>
      <c r="B963" s="41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1"/>
      <c r="B964" s="41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1"/>
      <c r="B965" s="41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1"/>
      <c r="B966" s="41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1"/>
      <c r="B967" s="41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1"/>
      <c r="B968" s="41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1"/>
      <c r="B969" s="41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1"/>
      <c r="B970" s="41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1"/>
      <c r="B971" s="41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1"/>
      <c r="B972" s="41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1"/>
      <c r="B973" s="41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1"/>
      <c r="B974" s="41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1"/>
      <c r="B975" s="41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1"/>
      <c r="B976" s="41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1"/>
      <c r="B977" s="41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1"/>
      <c r="B978" s="41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1"/>
      <c r="B979" s="41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1"/>
      <c r="B980" s="41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1"/>
      <c r="B981" s="41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1"/>
      <c r="B982" s="41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1"/>
      <c r="B983" s="41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1"/>
      <c r="B984" s="41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1"/>
      <c r="B985" s="41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1"/>
      <c r="B986" s="41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1"/>
      <c r="B987" s="41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1"/>
      <c r="B988" s="41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1"/>
      <c r="B989" s="41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1"/>
      <c r="B990" s="41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1"/>
      <c r="B991" s="41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1"/>
      <c r="B992" s="41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1"/>
      <c r="B993" s="41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1"/>
      <c r="B994" s="41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1"/>
      <c r="B995" s="41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1"/>
      <c r="B996" s="41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1"/>
      <c r="B997" s="41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1"/>
      <c r="B998" s="41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1"/>
      <c r="B999" s="41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1"/>
      <c r="B1000" s="41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3" max="3" width="12.13"/>
  </cols>
  <sheetData>
    <row r="1">
      <c r="A1" s="50" t="s">
        <v>172</v>
      </c>
      <c r="B1" s="50" t="s">
        <v>173</v>
      </c>
      <c r="C1" s="51" t="s">
        <v>1034</v>
      </c>
    </row>
    <row r="2">
      <c r="A2" s="52" t="s">
        <v>211</v>
      </c>
      <c r="B2" s="52" t="s">
        <v>1035</v>
      </c>
      <c r="C2" s="53">
        <v>60.0</v>
      </c>
    </row>
    <row r="3">
      <c r="A3" s="52" t="s">
        <v>262</v>
      </c>
      <c r="B3" s="52" t="s">
        <v>1036</v>
      </c>
      <c r="C3" s="53">
        <v>30.0</v>
      </c>
    </row>
    <row r="4">
      <c r="A4" s="52" t="s">
        <v>209</v>
      </c>
      <c r="B4" s="52" t="s">
        <v>1037</v>
      </c>
      <c r="C4" s="53">
        <v>70.0</v>
      </c>
    </row>
    <row r="5">
      <c r="A5" s="52" t="s">
        <v>293</v>
      </c>
      <c r="B5" s="52" t="s">
        <v>1038</v>
      </c>
      <c r="C5" s="53">
        <v>100.0</v>
      </c>
    </row>
    <row r="6">
      <c r="A6" s="52" t="s">
        <v>335</v>
      </c>
      <c r="B6" s="52" t="s">
        <v>1039</v>
      </c>
      <c r="C6" s="53">
        <v>100.0</v>
      </c>
    </row>
    <row r="7">
      <c r="A7" s="52" t="s">
        <v>240</v>
      </c>
      <c r="B7" s="52" t="s">
        <v>1037</v>
      </c>
      <c r="C7" s="53">
        <v>15.0</v>
      </c>
    </row>
    <row r="8">
      <c r="A8" s="52" t="s">
        <v>214</v>
      </c>
      <c r="B8" s="52" t="s">
        <v>1036</v>
      </c>
      <c r="C8" s="53">
        <v>80.0</v>
      </c>
    </row>
    <row r="9">
      <c r="A9" s="52" t="s">
        <v>277</v>
      </c>
      <c r="B9" s="52" t="s">
        <v>1040</v>
      </c>
      <c r="C9" s="53">
        <v>40.0</v>
      </c>
    </row>
    <row r="10">
      <c r="A10" s="52" t="s">
        <v>220</v>
      </c>
      <c r="B10" s="52" t="s">
        <v>1041</v>
      </c>
      <c r="C10" s="53">
        <v>90.0</v>
      </c>
    </row>
    <row r="11">
      <c r="A11" s="52" t="s">
        <v>312</v>
      </c>
      <c r="B11" s="52" t="s">
        <v>1042</v>
      </c>
      <c r="C11" s="53">
        <v>40.0</v>
      </c>
    </row>
    <row r="12">
      <c r="A12" s="52" t="s">
        <v>327</v>
      </c>
      <c r="B12" s="52" t="s">
        <v>1043</v>
      </c>
      <c r="C12" s="53">
        <v>20.0</v>
      </c>
    </row>
    <row r="13">
      <c r="A13" s="52" t="s">
        <v>217</v>
      </c>
      <c r="B13" s="52" t="s">
        <v>1044</v>
      </c>
      <c r="C13" s="53">
        <v>10.0</v>
      </c>
    </row>
    <row r="14">
      <c r="A14" s="52" t="s">
        <v>309</v>
      </c>
      <c r="B14" s="52" t="s">
        <v>1037</v>
      </c>
      <c r="C14" s="53">
        <v>10.0</v>
      </c>
    </row>
    <row r="15">
      <c r="A15" s="52" t="s">
        <v>225</v>
      </c>
      <c r="B15" s="52" t="s">
        <v>1039</v>
      </c>
      <c r="C15" s="53">
        <v>20.0</v>
      </c>
    </row>
    <row r="16">
      <c r="A16" s="52" t="s">
        <v>250</v>
      </c>
      <c r="B16" s="52" t="s">
        <v>1035</v>
      </c>
      <c r="C16" s="53">
        <v>70.0</v>
      </c>
    </row>
    <row r="17">
      <c r="A17" s="52" t="s">
        <v>289</v>
      </c>
      <c r="B17" s="52" t="s">
        <v>1045</v>
      </c>
      <c r="C17" s="53">
        <v>50.0</v>
      </c>
    </row>
    <row r="18">
      <c r="A18" s="52" t="s">
        <v>276</v>
      </c>
      <c r="B18" s="52" t="s">
        <v>1046</v>
      </c>
      <c r="C18" s="53">
        <v>80.0</v>
      </c>
    </row>
    <row r="19">
      <c r="A19" s="52" t="s">
        <v>222</v>
      </c>
      <c r="B19" s="52" t="s">
        <v>1047</v>
      </c>
      <c r="C19" s="53">
        <v>40.0</v>
      </c>
    </row>
    <row r="20">
      <c r="A20" s="52" t="s">
        <v>283</v>
      </c>
      <c r="B20" s="52" t="s">
        <v>1048</v>
      </c>
      <c r="C20" s="53">
        <v>50.0</v>
      </c>
    </row>
    <row r="21">
      <c r="A21" s="52" t="s">
        <v>216</v>
      </c>
      <c r="B21" s="52" t="s">
        <v>1041</v>
      </c>
      <c r="C21" s="53">
        <v>80.0</v>
      </c>
    </row>
    <row r="22">
      <c r="A22" s="52" t="s">
        <v>251</v>
      </c>
      <c r="B22" s="52" t="s">
        <v>1049</v>
      </c>
      <c r="C22" s="53">
        <v>25.0</v>
      </c>
    </row>
    <row r="23">
      <c r="A23" s="52" t="s">
        <v>257</v>
      </c>
      <c r="B23" s="52" t="s">
        <v>1050</v>
      </c>
      <c r="C23" s="53">
        <v>70.0</v>
      </c>
    </row>
    <row r="24">
      <c r="A24" s="52" t="s">
        <v>242</v>
      </c>
      <c r="B24" s="52" t="s">
        <v>1051</v>
      </c>
      <c r="C24" s="53">
        <v>80.0</v>
      </c>
    </row>
    <row r="25">
      <c r="A25" s="52" t="s">
        <v>362</v>
      </c>
      <c r="B25" s="52" t="s">
        <v>1052</v>
      </c>
      <c r="C25" s="53">
        <v>20.0</v>
      </c>
    </row>
    <row r="26">
      <c r="A26" s="52" t="s">
        <v>239</v>
      </c>
      <c r="B26" s="52" t="s">
        <v>1053</v>
      </c>
      <c r="C26" s="53">
        <v>10.0</v>
      </c>
    </row>
    <row r="27">
      <c r="A27" s="52" t="s">
        <v>213</v>
      </c>
      <c r="B27" s="52" t="s">
        <v>1054</v>
      </c>
      <c r="C27" s="53">
        <v>20.0</v>
      </c>
    </row>
    <row r="28">
      <c r="A28" s="52" t="s">
        <v>308</v>
      </c>
      <c r="B28" s="52" t="s">
        <v>1055</v>
      </c>
      <c r="C28" s="53">
        <v>70.0</v>
      </c>
    </row>
    <row r="29">
      <c r="A29" s="52" t="s">
        <v>279</v>
      </c>
      <c r="B29" s="52" t="s">
        <v>1052</v>
      </c>
      <c r="C29" s="53">
        <v>20.0</v>
      </c>
    </row>
    <row r="30">
      <c r="A30" s="52" t="s">
        <v>296</v>
      </c>
      <c r="B30" s="52" t="s">
        <v>1056</v>
      </c>
      <c r="C30" s="53">
        <v>20.0</v>
      </c>
    </row>
    <row r="31">
      <c r="A31" s="52" t="s">
        <v>231</v>
      </c>
      <c r="B31" s="52" t="s">
        <v>1057</v>
      </c>
      <c r="C31" s="53">
        <v>20.0</v>
      </c>
    </row>
    <row r="32">
      <c r="A32" s="52" t="s">
        <v>322</v>
      </c>
      <c r="B32" s="52" t="s">
        <v>1037</v>
      </c>
      <c r="C32" s="53">
        <v>20.0</v>
      </c>
    </row>
    <row r="33">
      <c r="A33" s="52" t="s">
        <v>219</v>
      </c>
      <c r="B33" s="52" t="s">
        <v>1058</v>
      </c>
      <c r="C33" s="53">
        <v>50.0</v>
      </c>
    </row>
    <row r="34">
      <c r="A34" s="52" t="s">
        <v>236</v>
      </c>
      <c r="B34" s="52" t="s">
        <v>1041</v>
      </c>
      <c r="C34" s="53">
        <v>200.0</v>
      </c>
    </row>
    <row r="35">
      <c r="A35" s="52" t="s">
        <v>274</v>
      </c>
      <c r="B35" s="52" t="s">
        <v>1059</v>
      </c>
      <c r="C35" s="53">
        <v>90.0</v>
      </c>
    </row>
    <row r="36">
      <c r="A36" s="52" t="s">
        <v>278</v>
      </c>
      <c r="B36" s="52" t="s">
        <v>1035</v>
      </c>
      <c r="C36" s="53">
        <v>120.0</v>
      </c>
    </row>
    <row r="37">
      <c r="A37" s="52" t="s">
        <v>326</v>
      </c>
      <c r="B37" s="52" t="s">
        <v>1060</v>
      </c>
      <c r="C37" s="53">
        <v>80.0</v>
      </c>
    </row>
    <row r="38">
      <c r="A38" s="52" t="s">
        <v>344</v>
      </c>
      <c r="B38" s="52" t="s">
        <v>1049</v>
      </c>
      <c r="C38" s="53">
        <v>70.0</v>
      </c>
    </row>
    <row r="39">
      <c r="A39" s="52" t="s">
        <v>207</v>
      </c>
      <c r="B39" s="52" t="s">
        <v>1061</v>
      </c>
      <c r="C39" s="53">
        <v>60.0</v>
      </c>
    </row>
    <row r="40">
      <c r="A40" s="52" t="s">
        <v>259</v>
      </c>
      <c r="B40" s="52" t="s">
        <v>1035</v>
      </c>
      <c r="C40" s="53">
        <v>120.0</v>
      </c>
    </row>
    <row r="41">
      <c r="A41" s="52" t="s">
        <v>256</v>
      </c>
      <c r="B41" s="52" t="s">
        <v>1062</v>
      </c>
      <c r="C41" s="53">
        <v>10.0</v>
      </c>
    </row>
    <row r="42">
      <c r="A42" s="52" t="s">
        <v>232</v>
      </c>
      <c r="B42" s="52" t="s">
        <v>1039</v>
      </c>
      <c r="C42" s="53">
        <v>60.0</v>
      </c>
    </row>
    <row r="43">
      <c r="A43" s="52" t="s">
        <v>258</v>
      </c>
      <c r="B43" s="52" t="s">
        <v>1053</v>
      </c>
      <c r="C43" s="53">
        <v>10.0</v>
      </c>
    </row>
    <row r="44">
      <c r="A44" s="52" t="s">
        <v>271</v>
      </c>
      <c r="B44" s="52" t="s">
        <v>1049</v>
      </c>
      <c r="C44" s="53">
        <v>30.0</v>
      </c>
    </row>
    <row r="45">
      <c r="A45" s="52" t="s">
        <v>243</v>
      </c>
      <c r="B45" s="52" t="s">
        <v>1063</v>
      </c>
      <c r="C45" s="53">
        <v>20.0</v>
      </c>
    </row>
    <row r="46">
      <c r="A46" s="52" t="s">
        <v>299</v>
      </c>
      <c r="B46" s="52" t="s">
        <v>1064</v>
      </c>
      <c r="C46" s="53">
        <v>10.0</v>
      </c>
    </row>
    <row r="47">
      <c r="A47" s="52" t="s">
        <v>345</v>
      </c>
      <c r="B47" s="52" t="s">
        <v>1065</v>
      </c>
      <c r="C47" s="53">
        <v>40.0</v>
      </c>
    </row>
    <row r="48">
      <c r="A48" s="52" t="s">
        <v>355</v>
      </c>
      <c r="B48" s="52" t="s">
        <v>1066</v>
      </c>
      <c r="C48" s="53">
        <v>30.0</v>
      </c>
    </row>
    <row r="49">
      <c r="A49" s="52" t="s">
        <v>253</v>
      </c>
      <c r="B49" s="52" t="s">
        <v>1039</v>
      </c>
      <c r="C49" s="53">
        <v>70.0</v>
      </c>
    </row>
    <row r="50">
      <c r="A50" s="52" t="s">
        <v>311</v>
      </c>
      <c r="B50" s="52" t="s">
        <v>1039</v>
      </c>
      <c r="C50" s="53">
        <v>60.0</v>
      </c>
    </row>
    <row r="51">
      <c r="A51" s="52" t="s">
        <v>321</v>
      </c>
      <c r="B51" s="52" t="s">
        <v>1039</v>
      </c>
      <c r="C51" s="53">
        <v>15.0</v>
      </c>
    </row>
    <row r="52">
      <c r="A52" s="52" t="s">
        <v>275</v>
      </c>
      <c r="B52" s="52" t="s">
        <v>1067</v>
      </c>
      <c r="C52" s="53">
        <v>60.0</v>
      </c>
    </row>
    <row r="53">
      <c r="A53" s="52" t="s">
        <v>349</v>
      </c>
      <c r="B53" s="52" t="s">
        <v>1068</v>
      </c>
      <c r="C53" s="53">
        <v>40.0</v>
      </c>
    </row>
    <row r="54">
      <c r="A54" s="52" t="s">
        <v>119</v>
      </c>
      <c r="B54" s="52"/>
      <c r="C54" s="53"/>
    </row>
    <row r="55">
      <c r="A55" s="52" t="s">
        <v>325</v>
      </c>
      <c r="B55" s="52" t="s">
        <v>1069</v>
      </c>
      <c r="C55" s="53">
        <v>20.0</v>
      </c>
    </row>
    <row r="56">
      <c r="A56" s="52" t="s">
        <v>218</v>
      </c>
      <c r="B56" s="52" t="s">
        <v>1045</v>
      </c>
      <c r="C56" s="53">
        <v>50.0</v>
      </c>
    </row>
    <row r="57">
      <c r="A57" s="52" t="s">
        <v>379</v>
      </c>
      <c r="B57" s="52" t="s">
        <v>1070</v>
      </c>
      <c r="C57" s="53">
        <v>20.0</v>
      </c>
    </row>
    <row r="58">
      <c r="A58" s="52" t="s">
        <v>380</v>
      </c>
      <c r="B58" s="52" t="s">
        <v>1039</v>
      </c>
      <c r="C58" s="53">
        <v>25.0</v>
      </c>
    </row>
    <row r="59">
      <c r="A59" s="52" t="s">
        <v>318</v>
      </c>
      <c r="B59" s="52" t="s">
        <v>1071</v>
      </c>
      <c r="C59" s="53">
        <v>10.0</v>
      </c>
    </row>
    <row r="60">
      <c r="A60" s="52" t="s">
        <v>339</v>
      </c>
      <c r="B60" s="52" t="s">
        <v>1064</v>
      </c>
      <c r="C60" s="53">
        <v>85.0</v>
      </c>
    </row>
    <row r="61">
      <c r="A61" s="52" t="s">
        <v>311</v>
      </c>
      <c r="B61" s="52" t="s">
        <v>1039</v>
      </c>
      <c r="C61" s="53">
        <v>60.0</v>
      </c>
    </row>
    <row r="62">
      <c r="A62" s="52" t="s">
        <v>221</v>
      </c>
      <c r="B62" s="52" t="s">
        <v>1072</v>
      </c>
      <c r="C62" s="53">
        <v>15.0</v>
      </c>
    </row>
    <row r="63">
      <c r="A63" s="52" t="s">
        <v>354</v>
      </c>
      <c r="B63" s="52" t="s">
        <v>1073</v>
      </c>
      <c r="C63" s="53">
        <v>40.0</v>
      </c>
    </row>
    <row r="64">
      <c r="A64" s="52" t="s">
        <v>330</v>
      </c>
      <c r="B64" s="52" t="s">
        <v>1074</v>
      </c>
      <c r="C64" s="53">
        <v>95.0</v>
      </c>
    </row>
    <row r="65">
      <c r="A65" s="52" t="s">
        <v>235</v>
      </c>
      <c r="B65" s="52" t="s">
        <v>1048</v>
      </c>
      <c r="C65" s="53">
        <v>10.0</v>
      </c>
    </row>
    <row r="66">
      <c r="A66" s="52" t="s">
        <v>348</v>
      </c>
      <c r="B66" s="52" t="s">
        <v>1075</v>
      </c>
      <c r="C66" s="53">
        <v>115.0</v>
      </c>
    </row>
    <row r="67">
      <c r="A67" s="52" t="s">
        <v>267</v>
      </c>
      <c r="B67" s="52" t="s">
        <v>1073</v>
      </c>
      <c r="C67" s="53">
        <v>60.0</v>
      </c>
    </row>
    <row r="68">
      <c r="A68" s="52" t="s">
        <v>310</v>
      </c>
      <c r="B68" s="52" t="s">
        <v>1076</v>
      </c>
      <c r="C68" s="53">
        <v>50.0</v>
      </c>
    </row>
    <row r="69">
      <c r="A69" s="52" t="s">
        <v>223</v>
      </c>
      <c r="B69" s="52" t="s">
        <v>1077</v>
      </c>
      <c r="C69" s="53">
        <v>50.0</v>
      </c>
    </row>
    <row r="70">
      <c r="A70" s="52" t="s">
        <v>252</v>
      </c>
      <c r="B70" s="52" t="s">
        <v>1078</v>
      </c>
      <c r="C70" s="53">
        <v>45.0</v>
      </c>
    </row>
    <row r="71">
      <c r="A71" s="52" t="s">
        <v>210</v>
      </c>
      <c r="B71" s="52" t="s">
        <v>1079</v>
      </c>
      <c r="C71" s="53">
        <v>19.0</v>
      </c>
    </row>
    <row r="72">
      <c r="A72" s="52" t="s">
        <v>286</v>
      </c>
      <c r="B72" s="52" t="s">
        <v>1080</v>
      </c>
      <c r="C72" s="53">
        <v>20.0</v>
      </c>
    </row>
    <row r="73">
      <c r="A73" s="52" t="s">
        <v>313</v>
      </c>
      <c r="B73" s="52" t="s">
        <v>1081</v>
      </c>
      <c r="C73" s="53">
        <v>15.0</v>
      </c>
    </row>
    <row r="74">
      <c r="A74" s="52" t="s">
        <v>208</v>
      </c>
      <c r="B74" s="52" t="s">
        <v>1042</v>
      </c>
      <c r="C74" s="53">
        <v>43.0</v>
      </c>
    </row>
    <row r="75">
      <c r="A75" s="52" t="s">
        <v>224</v>
      </c>
      <c r="B75" s="52" t="s">
        <v>1048</v>
      </c>
      <c r="C75" s="53">
        <v>55.0</v>
      </c>
    </row>
    <row r="76">
      <c r="A76" s="52" t="s">
        <v>282</v>
      </c>
      <c r="B76" s="52" t="s">
        <v>1082</v>
      </c>
      <c r="C76" s="53">
        <v>45.0</v>
      </c>
    </row>
    <row r="77">
      <c r="A77" s="52" t="s">
        <v>292</v>
      </c>
      <c r="B77" s="52" t="s">
        <v>1083</v>
      </c>
      <c r="C77" s="53">
        <v>65.0</v>
      </c>
    </row>
    <row r="78">
      <c r="A78" s="52" t="s">
        <v>226</v>
      </c>
      <c r="B78" s="52" t="s">
        <v>1084</v>
      </c>
      <c r="C78" s="53">
        <v>48.0</v>
      </c>
    </row>
    <row r="79">
      <c r="A79" s="52" t="s">
        <v>212</v>
      </c>
      <c r="B79" s="52" t="s">
        <v>1085</v>
      </c>
      <c r="C79" s="53">
        <v>50.0</v>
      </c>
    </row>
    <row r="80">
      <c r="A80" s="52" t="s">
        <v>215</v>
      </c>
      <c r="B80" s="52" t="s">
        <v>1044</v>
      </c>
      <c r="C80" s="53">
        <v>21.0</v>
      </c>
    </row>
    <row r="81">
      <c r="C81" s="38"/>
    </row>
    <row r="82">
      <c r="C82" s="38"/>
    </row>
    <row r="83">
      <c r="C83" s="38"/>
    </row>
    <row r="84">
      <c r="C84" s="38"/>
    </row>
    <row r="85">
      <c r="C85" s="38"/>
    </row>
    <row r="86">
      <c r="C86" s="38"/>
    </row>
    <row r="87">
      <c r="C87" s="38"/>
    </row>
    <row r="88">
      <c r="C88" s="38"/>
    </row>
    <row r="89">
      <c r="C89" s="38"/>
    </row>
    <row r="90">
      <c r="C90" s="38"/>
    </row>
    <row r="91">
      <c r="C91" s="38"/>
    </row>
    <row r="92">
      <c r="C92" s="38"/>
    </row>
    <row r="93">
      <c r="C93" s="38"/>
    </row>
    <row r="94">
      <c r="C94" s="38"/>
    </row>
    <row r="95">
      <c r="C95" s="38"/>
    </row>
    <row r="96">
      <c r="C96" s="38"/>
    </row>
    <row r="97">
      <c r="C97" s="38"/>
    </row>
    <row r="98">
      <c r="C98" s="38"/>
    </row>
    <row r="99">
      <c r="C99" s="38"/>
    </row>
    <row r="100">
      <c r="C100" s="38"/>
    </row>
    <row r="101">
      <c r="C101" s="38"/>
    </row>
    <row r="102">
      <c r="C102" s="38"/>
    </row>
    <row r="103">
      <c r="C103" s="38"/>
    </row>
    <row r="104">
      <c r="C104" s="38"/>
    </row>
    <row r="105">
      <c r="C105" s="38"/>
    </row>
    <row r="106">
      <c r="C106" s="38"/>
    </row>
    <row r="107">
      <c r="C107" s="38"/>
    </row>
    <row r="108">
      <c r="C108" s="38"/>
    </row>
    <row r="109">
      <c r="C109" s="38"/>
    </row>
    <row r="110">
      <c r="C110" s="38"/>
    </row>
    <row r="111">
      <c r="C111" s="38"/>
    </row>
    <row r="112">
      <c r="C112" s="38"/>
    </row>
    <row r="113">
      <c r="C113" s="38"/>
    </row>
    <row r="114">
      <c r="C114" s="38"/>
    </row>
    <row r="115">
      <c r="C115" s="38"/>
    </row>
    <row r="116">
      <c r="C116" s="38"/>
    </row>
    <row r="117">
      <c r="C117" s="38"/>
    </row>
    <row r="118">
      <c r="C118" s="38"/>
    </row>
    <row r="119">
      <c r="C119" s="38"/>
    </row>
    <row r="120">
      <c r="C120" s="38"/>
    </row>
    <row r="121">
      <c r="C121" s="38"/>
    </row>
    <row r="122">
      <c r="C122" s="38"/>
    </row>
    <row r="123">
      <c r="C123" s="38"/>
    </row>
    <row r="124">
      <c r="C124" s="38"/>
    </row>
    <row r="125">
      <c r="C125" s="38"/>
    </row>
    <row r="126">
      <c r="C126" s="38"/>
    </row>
    <row r="127">
      <c r="C127" s="38"/>
    </row>
    <row r="128">
      <c r="C128" s="38"/>
    </row>
    <row r="129">
      <c r="C129" s="38"/>
    </row>
    <row r="130">
      <c r="C130" s="38"/>
    </row>
    <row r="131">
      <c r="C131" s="38"/>
    </row>
    <row r="132">
      <c r="C132" s="38"/>
    </row>
    <row r="133">
      <c r="C133" s="38"/>
    </row>
    <row r="134">
      <c r="C134" s="38"/>
    </row>
    <row r="135">
      <c r="C135" s="38"/>
    </row>
    <row r="136">
      <c r="C136" s="38"/>
    </row>
    <row r="137">
      <c r="C137" s="38"/>
    </row>
    <row r="138">
      <c r="C138" s="38"/>
    </row>
    <row r="139">
      <c r="C139" s="38"/>
    </row>
    <row r="140">
      <c r="C140" s="38"/>
    </row>
    <row r="141">
      <c r="C141" s="38"/>
    </row>
    <row r="142">
      <c r="C142" s="38"/>
    </row>
    <row r="143">
      <c r="C143" s="38"/>
    </row>
    <row r="144">
      <c r="C144" s="38"/>
    </row>
    <row r="145">
      <c r="C145" s="38"/>
    </row>
    <row r="146">
      <c r="C146" s="38"/>
    </row>
    <row r="147">
      <c r="C147" s="38"/>
    </row>
    <row r="148">
      <c r="C148" s="38"/>
    </row>
    <row r="149">
      <c r="C149" s="38"/>
    </row>
    <row r="150">
      <c r="C150" s="38"/>
    </row>
    <row r="151">
      <c r="C151" s="38"/>
    </row>
    <row r="152">
      <c r="C152" s="38"/>
    </row>
    <row r="153">
      <c r="C153" s="38"/>
    </row>
    <row r="154">
      <c r="C154" s="38"/>
    </row>
    <row r="155">
      <c r="C155" s="38"/>
    </row>
    <row r="156">
      <c r="C156" s="38"/>
    </row>
    <row r="157">
      <c r="C157" s="38"/>
    </row>
    <row r="158">
      <c r="C158" s="38"/>
    </row>
    <row r="159">
      <c r="C159" s="38"/>
    </row>
    <row r="160">
      <c r="C160" s="38"/>
    </row>
    <row r="161">
      <c r="C161" s="38"/>
    </row>
    <row r="162">
      <c r="C162" s="38"/>
    </row>
    <row r="163">
      <c r="C163" s="38"/>
    </row>
    <row r="164">
      <c r="C164" s="38"/>
    </row>
    <row r="165">
      <c r="C165" s="38"/>
    </row>
    <row r="166">
      <c r="C166" s="38"/>
    </row>
    <row r="167">
      <c r="C167" s="38"/>
    </row>
    <row r="168">
      <c r="C168" s="38"/>
    </row>
    <row r="169">
      <c r="C169" s="38"/>
    </row>
    <row r="170">
      <c r="C170" s="38"/>
    </row>
    <row r="171">
      <c r="C171" s="38"/>
    </row>
    <row r="172">
      <c r="C172" s="38"/>
    </row>
    <row r="173">
      <c r="C173" s="38"/>
    </row>
    <row r="174">
      <c r="C174" s="38"/>
    </row>
    <row r="175">
      <c r="C175" s="38"/>
    </row>
    <row r="176">
      <c r="C176" s="38"/>
    </row>
    <row r="177">
      <c r="C177" s="38"/>
    </row>
    <row r="178">
      <c r="C178" s="38"/>
    </row>
    <row r="179">
      <c r="C179" s="38"/>
    </row>
    <row r="180">
      <c r="C180" s="38"/>
    </row>
    <row r="181">
      <c r="C181" s="38"/>
    </row>
    <row r="182">
      <c r="C182" s="38"/>
    </row>
    <row r="183">
      <c r="C183" s="38"/>
    </row>
    <row r="184">
      <c r="C184" s="38"/>
    </row>
    <row r="185">
      <c r="C185" s="38"/>
    </row>
    <row r="186">
      <c r="C186" s="38"/>
    </row>
    <row r="187">
      <c r="C187" s="38"/>
    </row>
    <row r="188">
      <c r="C188" s="38"/>
    </row>
    <row r="189">
      <c r="C189" s="38"/>
    </row>
    <row r="190">
      <c r="C190" s="38"/>
    </row>
    <row r="191">
      <c r="C191" s="38"/>
    </row>
    <row r="192">
      <c r="C192" s="38"/>
    </row>
    <row r="193">
      <c r="C193" s="38"/>
    </row>
    <row r="194">
      <c r="C194" s="38"/>
    </row>
    <row r="195">
      <c r="C195" s="38"/>
    </row>
    <row r="196">
      <c r="C196" s="38"/>
    </row>
    <row r="197">
      <c r="C197" s="38"/>
    </row>
    <row r="198">
      <c r="C198" s="38"/>
    </row>
    <row r="199">
      <c r="C199" s="38"/>
    </row>
    <row r="200">
      <c r="C200" s="38"/>
    </row>
    <row r="201">
      <c r="C201" s="38"/>
    </row>
    <row r="202">
      <c r="C202" s="38"/>
    </row>
    <row r="203">
      <c r="C203" s="38"/>
    </row>
    <row r="204">
      <c r="C204" s="38"/>
    </row>
    <row r="205">
      <c r="C205" s="38"/>
    </row>
    <row r="206">
      <c r="C206" s="38"/>
    </row>
    <row r="207">
      <c r="C207" s="38"/>
    </row>
    <row r="208">
      <c r="C208" s="38"/>
    </row>
    <row r="209">
      <c r="C209" s="38"/>
    </row>
    <row r="210">
      <c r="C210" s="38"/>
    </row>
    <row r="211">
      <c r="C211" s="38"/>
    </row>
    <row r="212">
      <c r="C212" s="38"/>
    </row>
    <row r="213">
      <c r="C213" s="38"/>
    </row>
    <row r="214">
      <c r="C214" s="38"/>
    </row>
    <row r="215">
      <c r="C215" s="38"/>
    </row>
    <row r="216">
      <c r="C216" s="38"/>
    </row>
    <row r="217">
      <c r="C217" s="38"/>
    </row>
    <row r="218">
      <c r="C218" s="38"/>
    </row>
    <row r="219">
      <c r="C219" s="38"/>
    </row>
    <row r="220">
      <c r="C220" s="38"/>
    </row>
    <row r="221">
      <c r="C221" s="38"/>
    </row>
    <row r="222">
      <c r="C222" s="38"/>
    </row>
    <row r="223">
      <c r="C223" s="38"/>
    </row>
    <row r="224">
      <c r="C224" s="38"/>
    </row>
    <row r="225">
      <c r="C225" s="38"/>
    </row>
    <row r="226">
      <c r="C226" s="38"/>
    </row>
    <row r="227">
      <c r="C227" s="38"/>
    </row>
    <row r="228">
      <c r="C228" s="38"/>
    </row>
    <row r="229">
      <c r="C229" s="38"/>
    </row>
    <row r="230">
      <c r="C230" s="38"/>
    </row>
    <row r="231">
      <c r="C231" s="38"/>
    </row>
    <row r="232">
      <c r="C232" s="38"/>
    </row>
    <row r="233">
      <c r="C233" s="38"/>
    </row>
    <row r="234">
      <c r="C234" s="38"/>
    </row>
    <row r="235">
      <c r="C235" s="38"/>
    </row>
    <row r="236">
      <c r="C236" s="38"/>
    </row>
    <row r="237">
      <c r="C237" s="38"/>
    </row>
    <row r="238">
      <c r="C238" s="38"/>
    </row>
    <row r="239">
      <c r="C239" s="38"/>
    </row>
    <row r="240">
      <c r="C240" s="38"/>
    </row>
    <row r="241">
      <c r="C241" s="38"/>
    </row>
    <row r="242">
      <c r="C242" s="38"/>
    </row>
    <row r="243">
      <c r="C243" s="38"/>
    </row>
    <row r="244">
      <c r="C244" s="38"/>
    </row>
    <row r="245">
      <c r="C245" s="38"/>
    </row>
    <row r="246">
      <c r="C246" s="38"/>
    </row>
    <row r="247">
      <c r="C247" s="38"/>
    </row>
    <row r="248">
      <c r="C248" s="38"/>
    </row>
    <row r="249">
      <c r="C249" s="38"/>
    </row>
    <row r="250">
      <c r="C250" s="38"/>
    </row>
    <row r="251">
      <c r="C251" s="38"/>
    </row>
    <row r="252">
      <c r="C252" s="38"/>
    </row>
    <row r="253">
      <c r="C253" s="38"/>
    </row>
    <row r="254">
      <c r="C254" s="38"/>
    </row>
    <row r="255">
      <c r="C255" s="38"/>
    </row>
    <row r="256">
      <c r="C256" s="38"/>
    </row>
    <row r="257">
      <c r="C257" s="38"/>
    </row>
    <row r="258">
      <c r="C258" s="38"/>
    </row>
    <row r="259">
      <c r="C259" s="38"/>
    </row>
    <row r="260">
      <c r="C260" s="38"/>
    </row>
    <row r="261">
      <c r="C261" s="38"/>
    </row>
    <row r="262">
      <c r="C262" s="38"/>
    </row>
    <row r="263">
      <c r="C263" s="38"/>
    </row>
    <row r="264">
      <c r="C264" s="38"/>
    </row>
    <row r="265">
      <c r="C265" s="38"/>
    </row>
    <row r="266">
      <c r="C266" s="38"/>
    </row>
    <row r="267">
      <c r="C267" s="38"/>
    </row>
    <row r="268">
      <c r="C268" s="38"/>
    </row>
    <row r="269">
      <c r="C269" s="38"/>
    </row>
    <row r="270">
      <c r="C270" s="38"/>
    </row>
    <row r="271">
      <c r="C271" s="38"/>
    </row>
    <row r="272">
      <c r="C272" s="38"/>
    </row>
    <row r="273">
      <c r="C273" s="38"/>
    </row>
    <row r="274">
      <c r="C274" s="38"/>
    </row>
    <row r="275">
      <c r="C275" s="38"/>
    </row>
    <row r="276">
      <c r="C276" s="38"/>
    </row>
    <row r="277">
      <c r="C277" s="38"/>
    </row>
    <row r="278">
      <c r="C278" s="38"/>
    </row>
    <row r="279">
      <c r="C279" s="38"/>
    </row>
    <row r="280">
      <c r="C280" s="38"/>
    </row>
    <row r="281">
      <c r="C281" s="38"/>
    </row>
    <row r="282">
      <c r="C282" s="38"/>
    </row>
    <row r="283">
      <c r="C283" s="38"/>
    </row>
    <row r="284">
      <c r="C284" s="38"/>
    </row>
    <row r="285">
      <c r="C285" s="38"/>
    </row>
    <row r="286">
      <c r="C286" s="38"/>
    </row>
    <row r="287">
      <c r="C287" s="38"/>
    </row>
    <row r="288">
      <c r="C288" s="38"/>
    </row>
    <row r="289">
      <c r="C289" s="38"/>
    </row>
    <row r="290">
      <c r="C290" s="38"/>
    </row>
    <row r="291">
      <c r="C291" s="38"/>
    </row>
    <row r="292">
      <c r="C292" s="38"/>
    </row>
    <row r="293">
      <c r="C293" s="38"/>
    </row>
    <row r="294">
      <c r="C294" s="38"/>
    </row>
    <row r="295">
      <c r="C295" s="38"/>
    </row>
    <row r="296">
      <c r="C296" s="38"/>
    </row>
    <row r="297">
      <c r="C297" s="38"/>
    </row>
    <row r="298">
      <c r="C298" s="38"/>
    </row>
    <row r="299">
      <c r="C299" s="38"/>
    </row>
    <row r="300">
      <c r="C300" s="38"/>
    </row>
    <row r="301">
      <c r="C301" s="38"/>
    </row>
    <row r="302">
      <c r="C302" s="38"/>
    </row>
    <row r="303">
      <c r="C303" s="38"/>
    </row>
    <row r="304">
      <c r="C304" s="38"/>
    </row>
    <row r="305">
      <c r="C305" s="38"/>
    </row>
    <row r="306">
      <c r="C306" s="38"/>
    </row>
    <row r="307">
      <c r="C307" s="38"/>
    </row>
    <row r="308">
      <c r="C308" s="38"/>
    </row>
    <row r="309">
      <c r="C309" s="38"/>
    </row>
    <row r="310">
      <c r="C310" s="38"/>
    </row>
    <row r="311">
      <c r="C311" s="38"/>
    </row>
    <row r="312">
      <c r="C312" s="38"/>
    </row>
    <row r="313">
      <c r="C313" s="38"/>
    </row>
    <row r="314">
      <c r="C314" s="38"/>
    </row>
    <row r="315">
      <c r="C315" s="38"/>
    </row>
    <row r="316">
      <c r="C316" s="38"/>
    </row>
    <row r="317">
      <c r="C317" s="38"/>
    </row>
    <row r="318">
      <c r="C318" s="38"/>
    </row>
    <row r="319">
      <c r="C319" s="38"/>
    </row>
    <row r="320">
      <c r="C320" s="38"/>
    </row>
    <row r="321">
      <c r="C321" s="38"/>
    </row>
    <row r="322">
      <c r="C322" s="38"/>
    </row>
    <row r="323">
      <c r="C323" s="38"/>
    </row>
    <row r="324">
      <c r="C324" s="38"/>
    </row>
    <row r="325">
      <c r="C325" s="38"/>
    </row>
    <row r="326">
      <c r="C326" s="38"/>
    </row>
    <row r="327">
      <c r="C327" s="38"/>
    </row>
    <row r="328">
      <c r="C328" s="38"/>
    </row>
    <row r="329">
      <c r="C329" s="38"/>
    </row>
    <row r="330">
      <c r="C330" s="38"/>
    </row>
    <row r="331">
      <c r="C331" s="38"/>
    </row>
    <row r="332">
      <c r="C332" s="38"/>
    </row>
    <row r="333">
      <c r="C333" s="38"/>
    </row>
    <row r="334">
      <c r="C334" s="38"/>
    </row>
    <row r="335">
      <c r="C335" s="38"/>
    </row>
    <row r="336">
      <c r="C336" s="38"/>
    </row>
    <row r="337">
      <c r="C337" s="38"/>
    </row>
    <row r="338">
      <c r="C338" s="38"/>
    </row>
    <row r="339">
      <c r="C339" s="38"/>
    </row>
    <row r="340">
      <c r="C340" s="38"/>
    </row>
    <row r="341">
      <c r="C341" s="38"/>
    </row>
    <row r="342">
      <c r="C342" s="38"/>
    </row>
    <row r="343">
      <c r="C343" s="38"/>
    </row>
    <row r="344">
      <c r="C344" s="38"/>
    </row>
    <row r="345">
      <c r="C345" s="38"/>
    </row>
    <row r="346">
      <c r="C346" s="38"/>
    </row>
    <row r="347">
      <c r="C347" s="38"/>
    </row>
    <row r="348">
      <c r="C348" s="38"/>
    </row>
    <row r="349">
      <c r="C349" s="38"/>
    </row>
    <row r="350">
      <c r="C350" s="38"/>
    </row>
    <row r="351">
      <c r="C351" s="38"/>
    </row>
    <row r="352">
      <c r="C352" s="38"/>
    </row>
    <row r="353">
      <c r="C353" s="38"/>
    </row>
    <row r="354">
      <c r="C354" s="38"/>
    </row>
    <row r="355">
      <c r="C355" s="38"/>
    </row>
    <row r="356">
      <c r="C356" s="38"/>
    </row>
    <row r="357">
      <c r="C357" s="38"/>
    </row>
    <row r="358">
      <c r="C358" s="38"/>
    </row>
    <row r="359">
      <c r="C359" s="38"/>
    </row>
    <row r="360">
      <c r="C360" s="38"/>
    </row>
    <row r="361">
      <c r="C361" s="38"/>
    </row>
    <row r="362">
      <c r="C362" s="38"/>
    </row>
    <row r="363">
      <c r="C363" s="38"/>
    </row>
    <row r="364">
      <c r="C364" s="38"/>
    </row>
    <row r="365">
      <c r="C365" s="38"/>
    </row>
    <row r="366">
      <c r="C366" s="38"/>
    </row>
    <row r="367">
      <c r="C367" s="38"/>
    </row>
    <row r="368">
      <c r="C368" s="38"/>
    </row>
    <row r="369">
      <c r="C369" s="38"/>
    </row>
    <row r="370">
      <c r="C370" s="38"/>
    </row>
    <row r="371">
      <c r="C371" s="38"/>
    </row>
    <row r="372">
      <c r="C372" s="38"/>
    </row>
    <row r="373">
      <c r="C373" s="38"/>
    </row>
    <row r="374">
      <c r="C374" s="38"/>
    </row>
    <row r="375">
      <c r="C375" s="38"/>
    </row>
    <row r="376">
      <c r="C376" s="38"/>
    </row>
    <row r="377">
      <c r="C377" s="38"/>
    </row>
    <row r="378">
      <c r="C378" s="38"/>
    </row>
    <row r="379">
      <c r="C379" s="38"/>
    </row>
    <row r="380">
      <c r="C380" s="38"/>
    </row>
    <row r="381">
      <c r="C381" s="38"/>
    </row>
    <row r="382">
      <c r="C382" s="38"/>
    </row>
    <row r="383">
      <c r="C383" s="38"/>
    </row>
    <row r="384">
      <c r="C384" s="38"/>
    </row>
    <row r="385">
      <c r="C385" s="38"/>
    </row>
    <row r="386">
      <c r="C386" s="38"/>
    </row>
    <row r="387">
      <c r="C387" s="38"/>
    </row>
    <row r="388">
      <c r="C388" s="38"/>
    </row>
    <row r="389">
      <c r="C389" s="38"/>
    </row>
    <row r="390">
      <c r="C390" s="38"/>
    </row>
    <row r="391">
      <c r="C391" s="38"/>
    </row>
    <row r="392">
      <c r="C392" s="38"/>
    </row>
    <row r="393">
      <c r="C393" s="38"/>
    </row>
    <row r="394">
      <c r="C394" s="38"/>
    </row>
    <row r="395">
      <c r="C395" s="38"/>
    </row>
    <row r="396">
      <c r="C396" s="38"/>
    </row>
    <row r="397">
      <c r="C397" s="38"/>
    </row>
    <row r="398">
      <c r="C398" s="38"/>
    </row>
    <row r="399">
      <c r="C399" s="38"/>
    </row>
    <row r="400">
      <c r="C400" s="38"/>
    </row>
    <row r="401">
      <c r="C401" s="38"/>
    </row>
    <row r="402">
      <c r="C402" s="38"/>
    </row>
    <row r="403">
      <c r="C403" s="38"/>
    </row>
    <row r="404">
      <c r="C404" s="38"/>
    </row>
    <row r="405">
      <c r="C405" s="38"/>
    </row>
    <row r="406">
      <c r="C406" s="38"/>
    </row>
    <row r="407">
      <c r="C407" s="38"/>
    </row>
    <row r="408">
      <c r="C408" s="38"/>
    </row>
    <row r="409">
      <c r="C409" s="38"/>
    </row>
    <row r="410">
      <c r="C410" s="38"/>
    </row>
    <row r="411">
      <c r="C411" s="38"/>
    </row>
    <row r="412">
      <c r="C412" s="38"/>
    </row>
    <row r="413">
      <c r="C413" s="38"/>
    </row>
    <row r="414">
      <c r="C414" s="38"/>
    </row>
    <row r="415">
      <c r="C415" s="38"/>
    </row>
    <row r="416">
      <c r="C416" s="38"/>
    </row>
    <row r="417">
      <c r="C417" s="38"/>
    </row>
    <row r="418">
      <c r="C418" s="38"/>
    </row>
    <row r="419">
      <c r="C419" s="38"/>
    </row>
    <row r="420">
      <c r="C420" s="38"/>
    </row>
    <row r="421">
      <c r="C421" s="38"/>
    </row>
    <row r="422">
      <c r="C422" s="38"/>
    </row>
    <row r="423">
      <c r="C423" s="38"/>
    </row>
    <row r="424">
      <c r="C424" s="38"/>
    </row>
    <row r="425">
      <c r="C425" s="38"/>
    </row>
    <row r="426">
      <c r="C426" s="38"/>
    </row>
    <row r="427">
      <c r="C427" s="38"/>
    </row>
    <row r="428">
      <c r="C428" s="38"/>
    </row>
    <row r="429">
      <c r="C429" s="38"/>
    </row>
    <row r="430">
      <c r="C430" s="38"/>
    </row>
    <row r="431">
      <c r="C431" s="38"/>
    </row>
    <row r="432">
      <c r="C432" s="38"/>
    </row>
    <row r="433">
      <c r="C433" s="38"/>
    </row>
    <row r="434">
      <c r="C434" s="38"/>
    </row>
    <row r="435">
      <c r="C435" s="38"/>
    </row>
    <row r="436">
      <c r="C436" s="38"/>
    </row>
    <row r="437">
      <c r="C437" s="38"/>
    </row>
    <row r="438">
      <c r="C438" s="38"/>
    </row>
    <row r="439">
      <c r="C439" s="38"/>
    </row>
    <row r="440">
      <c r="C440" s="38"/>
    </row>
    <row r="441">
      <c r="C441" s="38"/>
    </row>
    <row r="442">
      <c r="C442" s="38"/>
    </row>
    <row r="443">
      <c r="C443" s="38"/>
    </row>
    <row r="444">
      <c r="C444" s="38"/>
    </row>
    <row r="445">
      <c r="C445" s="38"/>
    </row>
    <row r="446">
      <c r="C446" s="38"/>
    </row>
    <row r="447">
      <c r="C447" s="38"/>
    </row>
    <row r="448">
      <c r="C448" s="38"/>
    </row>
    <row r="449">
      <c r="C449" s="38"/>
    </row>
    <row r="450">
      <c r="C450" s="38"/>
    </row>
    <row r="451">
      <c r="C451" s="38"/>
    </row>
    <row r="452">
      <c r="C452" s="38"/>
    </row>
    <row r="453">
      <c r="C453" s="38"/>
    </row>
    <row r="454">
      <c r="C454" s="38"/>
    </row>
    <row r="455">
      <c r="C455" s="38"/>
    </row>
    <row r="456">
      <c r="C456" s="38"/>
    </row>
    <row r="457">
      <c r="C457" s="38"/>
    </row>
    <row r="458">
      <c r="C458" s="38"/>
    </row>
    <row r="459">
      <c r="C459" s="38"/>
    </row>
    <row r="460">
      <c r="C460" s="38"/>
    </row>
    <row r="461">
      <c r="C461" s="38"/>
    </row>
    <row r="462">
      <c r="C462" s="38"/>
    </row>
    <row r="463">
      <c r="C463" s="38"/>
    </row>
    <row r="464">
      <c r="C464" s="38"/>
    </row>
    <row r="465">
      <c r="C465" s="38"/>
    </row>
    <row r="466">
      <c r="C466" s="38"/>
    </row>
    <row r="467">
      <c r="C467" s="38"/>
    </row>
    <row r="468">
      <c r="C468" s="38"/>
    </row>
    <row r="469">
      <c r="C469" s="38"/>
    </row>
    <row r="470">
      <c r="C470" s="38"/>
    </row>
    <row r="471">
      <c r="C471" s="38"/>
    </row>
    <row r="472">
      <c r="C472" s="38"/>
    </row>
    <row r="473">
      <c r="C473" s="38"/>
    </row>
    <row r="474">
      <c r="C474" s="38"/>
    </row>
    <row r="475">
      <c r="C475" s="38"/>
    </row>
    <row r="476">
      <c r="C476" s="38"/>
    </row>
    <row r="477">
      <c r="C477" s="38"/>
    </row>
    <row r="478">
      <c r="C478" s="38"/>
    </row>
    <row r="479">
      <c r="C479" s="38"/>
    </row>
    <row r="480">
      <c r="C480" s="38"/>
    </row>
    <row r="481">
      <c r="C481" s="38"/>
    </row>
    <row r="482">
      <c r="C482" s="38"/>
    </row>
    <row r="483">
      <c r="C483" s="38"/>
    </row>
    <row r="484">
      <c r="C484" s="38"/>
    </row>
    <row r="485">
      <c r="C485" s="38"/>
    </row>
    <row r="486">
      <c r="C486" s="38"/>
    </row>
    <row r="487">
      <c r="C487" s="38"/>
    </row>
    <row r="488">
      <c r="C488" s="38"/>
    </row>
    <row r="489">
      <c r="C489" s="38"/>
    </row>
    <row r="490">
      <c r="C490" s="38"/>
    </row>
    <row r="491">
      <c r="C491" s="38"/>
    </row>
    <row r="492">
      <c r="C492" s="38"/>
    </row>
    <row r="493">
      <c r="C493" s="38"/>
    </row>
    <row r="494">
      <c r="C494" s="38"/>
    </row>
    <row r="495">
      <c r="C495" s="38"/>
    </row>
    <row r="496">
      <c r="C496" s="38"/>
    </row>
    <row r="497">
      <c r="C497" s="38"/>
    </row>
    <row r="498">
      <c r="C498" s="38"/>
    </row>
    <row r="499">
      <c r="C499" s="38"/>
    </row>
    <row r="500">
      <c r="C500" s="38"/>
    </row>
    <row r="501">
      <c r="C501" s="38"/>
    </row>
    <row r="502">
      <c r="C502" s="38"/>
    </row>
    <row r="503">
      <c r="C503" s="38"/>
    </row>
    <row r="504">
      <c r="C504" s="38"/>
    </row>
    <row r="505">
      <c r="C505" s="38"/>
    </row>
    <row r="506">
      <c r="C506" s="38"/>
    </row>
    <row r="507">
      <c r="C507" s="38"/>
    </row>
    <row r="508">
      <c r="C508" s="38"/>
    </row>
    <row r="509">
      <c r="C509" s="38"/>
    </row>
    <row r="510">
      <c r="C510" s="38"/>
    </row>
    <row r="511">
      <c r="C511" s="38"/>
    </row>
    <row r="512">
      <c r="C512" s="38"/>
    </row>
    <row r="513">
      <c r="C513" s="38"/>
    </row>
    <row r="514">
      <c r="C514" s="38"/>
    </row>
    <row r="515">
      <c r="C515" s="38"/>
    </row>
    <row r="516">
      <c r="C516" s="38"/>
    </row>
    <row r="517">
      <c r="C517" s="38"/>
    </row>
    <row r="518">
      <c r="C518" s="38"/>
    </row>
    <row r="519">
      <c r="C519" s="38"/>
    </row>
    <row r="520">
      <c r="C520" s="38"/>
    </row>
    <row r="521">
      <c r="C521" s="38"/>
    </row>
    <row r="522">
      <c r="C522" s="38"/>
    </row>
    <row r="523">
      <c r="C523" s="38"/>
    </row>
    <row r="524">
      <c r="C524" s="38"/>
    </row>
    <row r="525">
      <c r="C525" s="38"/>
    </row>
    <row r="526">
      <c r="C526" s="38"/>
    </row>
    <row r="527">
      <c r="C527" s="38"/>
    </row>
    <row r="528">
      <c r="C528" s="38"/>
    </row>
    <row r="529">
      <c r="C529" s="38"/>
    </row>
    <row r="530">
      <c r="C530" s="38"/>
    </row>
    <row r="531">
      <c r="C531" s="38"/>
    </row>
    <row r="532">
      <c r="C532" s="38"/>
    </row>
    <row r="533">
      <c r="C533" s="38"/>
    </row>
    <row r="534">
      <c r="C534" s="38"/>
    </row>
    <row r="535">
      <c r="C535" s="38"/>
    </row>
    <row r="536">
      <c r="C536" s="38"/>
    </row>
    <row r="537">
      <c r="C537" s="38"/>
    </row>
    <row r="538">
      <c r="C538" s="38"/>
    </row>
    <row r="539">
      <c r="C539" s="38"/>
    </row>
    <row r="540">
      <c r="C540" s="38"/>
    </row>
    <row r="541">
      <c r="C541" s="38"/>
    </row>
    <row r="542">
      <c r="C542" s="38"/>
    </row>
    <row r="543">
      <c r="C543" s="38"/>
    </row>
    <row r="544">
      <c r="C544" s="38"/>
    </row>
    <row r="545">
      <c r="C545" s="38"/>
    </row>
    <row r="546">
      <c r="C546" s="38"/>
    </row>
    <row r="547">
      <c r="C547" s="38"/>
    </row>
    <row r="548">
      <c r="C548" s="38"/>
    </row>
    <row r="549">
      <c r="C549" s="38"/>
    </row>
    <row r="550">
      <c r="C550" s="38"/>
    </row>
    <row r="551">
      <c r="C551" s="38"/>
    </row>
    <row r="552">
      <c r="C552" s="38"/>
    </row>
    <row r="553">
      <c r="C553" s="38"/>
    </row>
    <row r="554">
      <c r="C554" s="38"/>
    </row>
    <row r="555">
      <c r="C555" s="38"/>
    </row>
    <row r="556">
      <c r="C556" s="38"/>
    </row>
    <row r="557">
      <c r="C557" s="38"/>
    </row>
    <row r="558">
      <c r="C558" s="38"/>
    </row>
    <row r="559">
      <c r="C559" s="38"/>
    </row>
    <row r="560">
      <c r="C560" s="38"/>
    </row>
    <row r="561">
      <c r="C561" s="38"/>
    </row>
    <row r="562">
      <c r="C562" s="38"/>
    </row>
    <row r="563">
      <c r="C563" s="38"/>
    </row>
    <row r="564">
      <c r="C564" s="38"/>
    </row>
    <row r="565">
      <c r="C565" s="38"/>
    </row>
    <row r="566">
      <c r="C566" s="38"/>
    </row>
    <row r="567">
      <c r="C567" s="38"/>
    </row>
    <row r="568">
      <c r="C568" s="38"/>
    </row>
    <row r="569">
      <c r="C569" s="38"/>
    </row>
    <row r="570">
      <c r="C570" s="38"/>
    </row>
    <row r="571">
      <c r="C571" s="38"/>
    </row>
    <row r="572">
      <c r="C572" s="38"/>
    </row>
    <row r="573">
      <c r="C573" s="38"/>
    </row>
    <row r="574">
      <c r="C574" s="38"/>
    </row>
    <row r="575">
      <c r="C575" s="38"/>
    </row>
    <row r="576">
      <c r="C576" s="38"/>
    </row>
    <row r="577">
      <c r="C577" s="38"/>
    </row>
    <row r="578">
      <c r="C578" s="38"/>
    </row>
    <row r="579">
      <c r="C579" s="38"/>
    </row>
    <row r="580">
      <c r="C580" s="38"/>
    </row>
    <row r="581">
      <c r="C581" s="38"/>
    </row>
    <row r="582">
      <c r="C582" s="38"/>
    </row>
    <row r="583">
      <c r="C583" s="38"/>
    </row>
    <row r="584">
      <c r="C584" s="38"/>
    </row>
    <row r="585">
      <c r="C585" s="38"/>
    </row>
    <row r="586">
      <c r="C586" s="38"/>
    </row>
    <row r="587">
      <c r="C587" s="38"/>
    </row>
    <row r="588">
      <c r="C588" s="38"/>
    </row>
    <row r="589">
      <c r="C589" s="38"/>
    </row>
    <row r="590">
      <c r="C590" s="38"/>
    </row>
    <row r="591">
      <c r="C591" s="38"/>
    </row>
    <row r="592">
      <c r="C592" s="38"/>
    </row>
    <row r="593">
      <c r="C593" s="38"/>
    </row>
    <row r="594">
      <c r="C594" s="38"/>
    </row>
    <row r="595">
      <c r="C595" s="38"/>
    </row>
    <row r="596">
      <c r="C596" s="38"/>
    </row>
    <row r="597">
      <c r="C597" s="38"/>
    </row>
    <row r="598">
      <c r="C598" s="38"/>
    </row>
    <row r="599">
      <c r="C599" s="38"/>
    </row>
    <row r="600">
      <c r="C600" s="38"/>
    </row>
    <row r="601">
      <c r="C601" s="38"/>
    </row>
    <row r="602">
      <c r="C602" s="38"/>
    </row>
    <row r="603">
      <c r="C603" s="38"/>
    </row>
    <row r="604">
      <c r="C604" s="38"/>
    </row>
    <row r="605">
      <c r="C605" s="38"/>
    </row>
    <row r="606">
      <c r="C606" s="38"/>
    </row>
    <row r="607">
      <c r="C607" s="38"/>
    </row>
    <row r="608">
      <c r="C608" s="38"/>
    </row>
    <row r="609">
      <c r="C609" s="38"/>
    </row>
    <row r="610">
      <c r="C610" s="38"/>
    </row>
    <row r="611">
      <c r="C611" s="38"/>
    </row>
    <row r="612">
      <c r="C612" s="38"/>
    </row>
    <row r="613">
      <c r="C613" s="38"/>
    </row>
    <row r="614">
      <c r="C614" s="38"/>
    </row>
    <row r="615">
      <c r="C615" s="38"/>
    </row>
    <row r="616">
      <c r="C616" s="38"/>
    </row>
    <row r="617">
      <c r="C617" s="38"/>
    </row>
    <row r="618">
      <c r="C618" s="38"/>
    </row>
    <row r="619">
      <c r="C619" s="38"/>
    </row>
    <row r="620">
      <c r="C620" s="38"/>
    </row>
    <row r="621">
      <c r="C621" s="38"/>
    </row>
    <row r="622">
      <c r="C622" s="38"/>
    </row>
    <row r="623">
      <c r="C623" s="38"/>
    </row>
    <row r="624">
      <c r="C624" s="38"/>
    </row>
    <row r="625">
      <c r="C625" s="38"/>
    </row>
    <row r="626">
      <c r="C626" s="38"/>
    </row>
    <row r="627">
      <c r="C627" s="38"/>
    </row>
    <row r="628">
      <c r="C628" s="38"/>
    </row>
    <row r="629">
      <c r="C629" s="38"/>
    </row>
    <row r="630">
      <c r="C630" s="38"/>
    </row>
    <row r="631">
      <c r="C631" s="38"/>
    </row>
    <row r="632">
      <c r="C632" s="38"/>
    </row>
    <row r="633">
      <c r="C633" s="38"/>
    </row>
    <row r="634">
      <c r="C634" s="38"/>
    </row>
    <row r="635">
      <c r="C635" s="38"/>
    </row>
    <row r="636">
      <c r="C636" s="38"/>
    </row>
    <row r="637">
      <c r="C637" s="38"/>
    </row>
    <row r="638">
      <c r="C638" s="38"/>
    </row>
    <row r="639">
      <c r="C639" s="38"/>
    </row>
    <row r="640">
      <c r="C640" s="38"/>
    </row>
    <row r="641">
      <c r="C641" s="38"/>
    </row>
    <row r="642">
      <c r="C642" s="38"/>
    </row>
    <row r="643">
      <c r="C643" s="38"/>
    </row>
    <row r="644">
      <c r="C644" s="38"/>
    </row>
    <row r="645">
      <c r="C645" s="38"/>
    </row>
    <row r="646">
      <c r="C646" s="38"/>
    </row>
    <row r="647">
      <c r="C647" s="38"/>
    </row>
    <row r="648">
      <c r="C648" s="38"/>
    </row>
    <row r="649">
      <c r="C649" s="38"/>
    </row>
    <row r="650">
      <c r="C650" s="38"/>
    </row>
    <row r="651">
      <c r="C651" s="38"/>
    </row>
    <row r="652">
      <c r="C652" s="38"/>
    </row>
    <row r="653">
      <c r="C653" s="38"/>
    </row>
    <row r="654">
      <c r="C654" s="38"/>
    </row>
    <row r="655">
      <c r="C655" s="38"/>
    </row>
    <row r="656">
      <c r="C656" s="38"/>
    </row>
    <row r="657">
      <c r="C657" s="38"/>
    </row>
    <row r="658">
      <c r="C658" s="38"/>
    </row>
    <row r="659">
      <c r="C659" s="38"/>
    </row>
    <row r="660">
      <c r="C660" s="38"/>
    </row>
    <row r="661">
      <c r="C661" s="38"/>
    </row>
    <row r="662">
      <c r="C662" s="38"/>
    </row>
    <row r="663">
      <c r="C663" s="38"/>
    </row>
    <row r="664">
      <c r="C664" s="38"/>
    </row>
    <row r="665">
      <c r="C665" s="38"/>
    </row>
    <row r="666">
      <c r="C666" s="38"/>
    </row>
    <row r="667">
      <c r="C667" s="38"/>
    </row>
    <row r="668">
      <c r="C668" s="38"/>
    </row>
    <row r="669">
      <c r="C669" s="38"/>
    </row>
    <row r="670">
      <c r="C670" s="38"/>
    </row>
    <row r="671">
      <c r="C671" s="38"/>
    </row>
    <row r="672">
      <c r="C672" s="38"/>
    </row>
    <row r="673">
      <c r="C673" s="38"/>
    </row>
    <row r="674">
      <c r="C674" s="38"/>
    </row>
    <row r="675">
      <c r="C675" s="38"/>
    </row>
    <row r="676">
      <c r="C676" s="38"/>
    </row>
    <row r="677">
      <c r="C677" s="38"/>
    </row>
    <row r="678">
      <c r="C678" s="38"/>
    </row>
    <row r="679">
      <c r="C679" s="38"/>
    </row>
    <row r="680">
      <c r="C680" s="38"/>
    </row>
    <row r="681">
      <c r="C681" s="38"/>
    </row>
    <row r="682">
      <c r="C682" s="38"/>
    </row>
    <row r="683">
      <c r="C683" s="38"/>
    </row>
    <row r="684">
      <c r="C684" s="38"/>
    </row>
    <row r="685">
      <c r="C685" s="38"/>
    </row>
    <row r="686">
      <c r="C686" s="38"/>
    </row>
    <row r="687">
      <c r="C687" s="38"/>
    </row>
    <row r="688">
      <c r="C688" s="38"/>
    </row>
    <row r="689">
      <c r="C689" s="38"/>
    </row>
    <row r="690">
      <c r="C690" s="38"/>
    </row>
    <row r="691">
      <c r="C691" s="38"/>
    </row>
    <row r="692">
      <c r="C692" s="38"/>
    </row>
    <row r="693">
      <c r="C693" s="38"/>
    </row>
    <row r="694">
      <c r="C694" s="38"/>
    </row>
    <row r="695">
      <c r="C695" s="38"/>
    </row>
    <row r="696">
      <c r="C696" s="38"/>
    </row>
    <row r="697">
      <c r="C697" s="38"/>
    </row>
    <row r="698">
      <c r="C698" s="38"/>
    </row>
    <row r="699">
      <c r="C699" s="38"/>
    </row>
    <row r="700">
      <c r="C700" s="38"/>
    </row>
    <row r="701">
      <c r="C701" s="38"/>
    </row>
    <row r="702">
      <c r="C702" s="38"/>
    </row>
    <row r="703">
      <c r="C703" s="38"/>
    </row>
    <row r="704">
      <c r="C704" s="38"/>
    </row>
    <row r="705">
      <c r="C705" s="38"/>
    </row>
    <row r="706">
      <c r="C706" s="38"/>
    </row>
    <row r="707">
      <c r="C707" s="38"/>
    </row>
    <row r="708">
      <c r="C708" s="38"/>
    </row>
    <row r="709">
      <c r="C709" s="38"/>
    </row>
    <row r="710">
      <c r="C710" s="38"/>
    </row>
    <row r="711">
      <c r="C711" s="38"/>
    </row>
    <row r="712">
      <c r="C712" s="38"/>
    </row>
    <row r="713">
      <c r="C713" s="38"/>
    </row>
    <row r="714">
      <c r="C714" s="38"/>
    </row>
    <row r="715">
      <c r="C715" s="38"/>
    </row>
    <row r="716">
      <c r="C716" s="38"/>
    </row>
    <row r="717">
      <c r="C717" s="38"/>
    </row>
    <row r="718">
      <c r="C718" s="38"/>
    </row>
    <row r="719">
      <c r="C719" s="38"/>
    </row>
    <row r="720">
      <c r="C720" s="38"/>
    </row>
    <row r="721">
      <c r="C721" s="38"/>
    </row>
    <row r="722">
      <c r="C722" s="38"/>
    </row>
    <row r="723">
      <c r="C723" s="38"/>
    </row>
    <row r="724">
      <c r="C724" s="38"/>
    </row>
    <row r="725">
      <c r="C725" s="38"/>
    </row>
    <row r="726">
      <c r="C726" s="38"/>
    </row>
    <row r="727">
      <c r="C727" s="38"/>
    </row>
    <row r="728">
      <c r="C728" s="38"/>
    </row>
    <row r="729">
      <c r="C729" s="38"/>
    </row>
    <row r="730">
      <c r="C730" s="38"/>
    </row>
    <row r="731">
      <c r="C731" s="38"/>
    </row>
    <row r="732">
      <c r="C732" s="38"/>
    </row>
    <row r="733">
      <c r="C733" s="38"/>
    </row>
    <row r="734">
      <c r="C734" s="38"/>
    </row>
    <row r="735">
      <c r="C735" s="38"/>
    </row>
    <row r="736">
      <c r="C736" s="38"/>
    </row>
    <row r="737">
      <c r="C737" s="38"/>
    </row>
    <row r="738">
      <c r="C738" s="38"/>
    </row>
    <row r="739">
      <c r="C739" s="38"/>
    </row>
    <row r="740">
      <c r="C740" s="38"/>
    </row>
    <row r="741">
      <c r="C741" s="38"/>
    </row>
    <row r="742">
      <c r="C742" s="38"/>
    </row>
    <row r="743">
      <c r="C743" s="38"/>
    </row>
    <row r="744">
      <c r="C744" s="38"/>
    </row>
    <row r="745">
      <c r="C745" s="38"/>
    </row>
    <row r="746">
      <c r="C746" s="38"/>
    </row>
    <row r="747">
      <c r="C747" s="38"/>
    </row>
    <row r="748">
      <c r="C748" s="38"/>
    </row>
    <row r="749">
      <c r="C749" s="38"/>
    </row>
    <row r="750">
      <c r="C750" s="38"/>
    </row>
    <row r="751">
      <c r="C751" s="38"/>
    </row>
    <row r="752">
      <c r="C752" s="38"/>
    </row>
    <row r="753">
      <c r="C753" s="38"/>
    </row>
    <row r="754">
      <c r="C754" s="38"/>
    </row>
    <row r="755">
      <c r="C755" s="38"/>
    </row>
    <row r="756">
      <c r="C756" s="38"/>
    </row>
    <row r="757">
      <c r="C757" s="38"/>
    </row>
    <row r="758">
      <c r="C758" s="38"/>
    </row>
    <row r="759">
      <c r="C759" s="38"/>
    </row>
    <row r="760">
      <c r="C760" s="38"/>
    </row>
    <row r="761">
      <c r="C761" s="38"/>
    </row>
    <row r="762">
      <c r="C762" s="38"/>
    </row>
    <row r="763">
      <c r="C763" s="38"/>
    </row>
    <row r="764">
      <c r="C764" s="38"/>
    </row>
    <row r="765">
      <c r="C765" s="38"/>
    </row>
    <row r="766">
      <c r="C766" s="38"/>
    </row>
    <row r="767">
      <c r="C767" s="38"/>
    </row>
    <row r="768">
      <c r="C768" s="38"/>
    </row>
    <row r="769">
      <c r="C769" s="38"/>
    </row>
    <row r="770">
      <c r="C770" s="38"/>
    </row>
    <row r="771">
      <c r="C771" s="38"/>
    </row>
    <row r="772">
      <c r="C772" s="38"/>
    </row>
    <row r="773">
      <c r="C773" s="38"/>
    </row>
    <row r="774">
      <c r="C774" s="38"/>
    </row>
    <row r="775">
      <c r="C775" s="38"/>
    </row>
    <row r="776">
      <c r="C776" s="38"/>
    </row>
    <row r="777">
      <c r="C777" s="38"/>
    </row>
    <row r="778">
      <c r="C778" s="38"/>
    </row>
    <row r="779">
      <c r="C779" s="38"/>
    </row>
    <row r="780">
      <c r="C780" s="38"/>
    </row>
    <row r="781">
      <c r="C781" s="38"/>
    </row>
    <row r="782">
      <c r="C782" s="38"/>
    </row>
    <row r="783">
      <c r="C783" s="38"/>
    </row>
    <row r="784">
      <c r="C784" s="38"/>
    </row>
    <row r="785">
      <c r="C785" s="38"/>
    </row>
    <row r="786">
      <c r="C786" s="38"/>
    </row>
    <row r="787">
      <c r="C787" s="38"/>
    </row>
    <row r="788">
      <c r="C788" s="38"/>
    </row>
    <row r="789">
      <c r="C789" s="38"/>
    </row>
    <row r="790">
      <c r="C790" s="38"/>
    </row>
    <row r="791">
      <c r="C791" s="38"/>
    </row>
    <row r="792">
      <c r="C792" s="38"/>
    </row>
    <row r="793">
      <c r="C793" s="38"/>
    </row>
    <row r="794">
      <c r="C794" s="38"/>
    </row>
    <row r="795">
      <c r="C795" s="38"/>
    </row>
    <row r="796">
      <c r="C796" s="38"/>
    </row>
    <row r="797">
      <c r="C797" s="38"/>
    </row>
    <row r="798">
      <c r="C798" s="38"/>
    </row>
    <row r="799">
      <c r="C799" s="38"/>
    </row>
    <row r="800">
      <c r="C800" s="38"/>
    </row>
    <row r="801">
      <c r="C801" s="38"/>
    </row>
    <row r="802">
      <c r="C802" s="38"/>
    </row>
    <row r="803">
      <c r="C803" s="38"/>
    </row>
    <row r="804">
      <c r="C804" s="38"/>
    </row>
    <row r="805">
      <c r="C805" s="38"/>
    </row>
    <row r="806">
      <c r="C806" s="38"/>
    </row>
    <row r="807">
      <c r="C807" s="38"/>
    </row>
    <row r="808">
      <c r="C808" s="38"/>
    </row>
    <row r="809">
      <c r="C809" s="38"/>
    </row>
    <row r="810">
      <c r="C810" s="38"/>
    </row>
    <row r="811">
      <c r="C811" s="38"/>
    </row>
    <row r="812">
      <c r="C812" s="38"/>
    </row>
    <row r="813">
      <c r="C813" s="38"/>
    </row>
    <row r="814">
      <c r="C814" s="38"/>
    </row>
    <row r="815">
      <c r="C815" s="38"/>
    </row>
    <row r="816">
      <c r="C816" s="38"/>
    </row>
    <row r="817">
      <c r="C817" s="38"/>
    </row>
    <row r="818">
      <c r="C818" s="38"/>
    </row>
    <row r="819">
      <c r="C819" s="38"/>
    </row>
    <row r="820">
      <c r="C820" s="38"/>
    </row>
    <row r="821">
      <c r="C821" s="38"/>
    </row>
    <row r="822">
      <c r="C822" s="38"/>
    </row>
    <row r="823">
      <c r="C823" s="38"/>
    </row>
    <row r="824">
      <c r="C824" s="38"/>
    </row>
    <row r="825">
      <c r="C825" s="38"/>
    </row>
    <row r="826">
      <c r="C826" s="38"/>
    </row>
    <row r="827">
      <c r="C827" s="38"/>
    </row>
    <row r="828">
      <c r="C828" s="38"/>
    </row>
    <row r="829">
      <c r="C829" s="38"/>
    </row>
    <row r="830">
      <c r="C830" s="38"/>
    </row>
    <row r="831">
      <c r="C831" s="38"/>
    </row>
    <row r="832">
      <c r="C832" s="38"/>
    </row>
    <row r="833">
      <c r="C833" s="38"/>
    </row>
    <row r="834">
      <c r="C834" s="38"/>
    </row>
    <row r="835">
      <c r="C835" s="38"/>
    </row>
    <row r="836">
      <c r="C836" s="38"/>
    </row>
    <row r="837">
      <c r="C837" s="38"/>
    </row>
    <row r="838">
      <c r="C838" s="38"/>
    </row>
    <row r="839">
      <c r="C839" s="38"/>
    </row>
    <row r="840">
      <c r="C840" s="38"/>
    </row>
    <row r="841">
      <c r="C841" s="38"/>
    </row>
    <row r="842">
      <c r="C842" s="38"/>
    </row>
    <row r="843">
      <c r="C843" s="38"/>
    </row>
    <row r="844">
      <c r="C844" s="38"/>
    </row>
    <row r="845">
      <c r="C845" s="38"/>
    </row>
    <row r="846">
      <c r="C846" s="38"/>
    </row>
    <row r="847">
      <c r="C847" s="38"/>
    </row>
    <row r="848">
      <c r="C848" s="38"/>
    </row>
    <row r="849">
      <c r="C849" s="38"/>
    </row>
    <row r="850">
      <c r="C850" s="38"/>
    </row>
    <row r="851">
      <c r="C851" s="38"/>
    </row>
    <row r="852">
      <c r="C852" s="38"/>
    </row>
    <row r="853">
      <c r="C853" s="38"/>
    </row>
    <row r="854">
      <c r="C854" s="38"/>
    </row>
    <row r="855">
      <c r="C855" s="38"/>
    </row>
    <row r="856">
      <c r="C856" s="38"/>
    </row>
    <row r="857">
      <c r="C857" s="38"/>
    </row>
    <row r="858">
      <c r="C858" s="38"/>
    </row>
    <row r="859">
      <c r="C859" s="38"/>
    </row>
    <row r="860">
      <c r="C860" s="38"/>
    </row>
    <row r="861">
      <c r="C861" s="38"/>
    </row>
    <row r="862">
      <c r="C862" s="38"/>
    </row>
    <row r="863">
      <c r="C863" s="38"/>
    </row>
    <row r="864">
      <c r="C864" s="38"/>
    </row>
    <row r="865">
      <c r="C865" s="38"/>
    </row>
    <row r="866">
      <c r="C866" s="38"/>
    </row>
    <row r="867">
      <c r="C867" s="38"/>
    </row>
    <row r="868">
      <c r="C868" s="38"/>
    </row>
    <row r="869">
      <c r="C869" s="38"/>
    </row>
    <row r="870">
      <c r="C870" s="38"/>
    </row>
    <row r="871">
      <c r="C871" s="38"/>
    </row>
    <row r="872">
      <c r="C872" s="38"/>
    </row>
    <row r="873">
      <c r="C873" s="38"/>
    </row>
    <row r="874">
      <c r="C874" s="38"/>
    </row>
    <row r="875">
      <c r="C875" s="38"/>
    </row>
    <row r="876">
      <c r="C876" s="38"/>
    </row>
    <row r="877">
      <c r="C877" s="38"/>
    </row>
    <row r="878">
      <c r="C878" s="38"/>
    </row>
    <row r="879">
      <c r="C879" s="38"/>
    </row>
    <row r="880">
      <c r="C880" s="38"/>
    </row>
    <row r="881">
      <c r="C881" s="38"/>
    </row>
    <row r="882">
      <c r="C882" s="38"/>
    </row>
    <row r="883">
      <c r="C883" s="38"/>
    </row>
    <row r="884">
      <c r="C884" s="38"/>
    </row>
    <row r="885">
      <c r="C885" s="38"/>
    </row>
    <row r="886">
      <c r="C886" s="38"/>
    </row>
    <row r="887">
      <c r="C887" s="38"/>
    </row>
    <row r="888">
      <c r="C888" s="38"/>
    </row>
    <row r="889">
      <c r="C889" s="38"/>
    </row>
    <row r="890">
      <c r="C890" s="38"/>
    </row>
    <row r="891">
      <c r="C891" s="38"/>
    </row>
    <row r="892">
      <c r="C892" s="38"/>
    </row>
    <row r="893">
      <c r="C893" s="38"/>
    </row>
    <row r="894">
      <c r="C894" s="38"/>
    </row>
    <row r="895">
      <c r="C895" s="38"/>
    </row>
    <row r="896">
      <c r="C896" s="38"/>
    </row>
    <row r="897">
      <c r="C897" s="38"/>
    </row>
    <row r="898">
      <c r="C898" s="38"/>
    </row>
    <row r="899">
      <c r="C899" s="38"/>
    </row>
    <row r="900">
      <c r="C900" s="38"/>
    </row>
    <row r="901">
      <c r="C901" s="38"/>
    </row>
    <row r="902">
      <c r="C902" s="38"/>
    </row>
    <row r="903">
      <c r="C903" s="38"/>
    </row>
    <row r="904">
      <c r="C904" s="38"/>
    </row>
    <row r="905">
      <c r="C905" s="38"/>
    </row>
    <row r="906">
      <c r="C906" s="38"/>
    </row>
    <row r="907">
      <c r="C907" s="38"/>
    </row>
    <row r="908">
      <c r="C908" s="38"/>
    </row>
    <row r="909">
      <c r="C909" s="38"/>
    </row>
    <row r="910">
      <c r="C910" s="38"/>
    </row>
    <row r="911">
      <c r="C911" s="38"/>
    </row>
    <row r="912">
      <c r="C912" s="38"/>
    </row>
    <row r="913">
      <c r="C913" s="38"/>
    </row>
    <row r="914">
      <c r="C914" s="38"/>
    </row>
    <row r="915">
      <c r="C915" s="38"/>
    </row>
    <row r="916">
      <c r="C916" s="38"/>
    </row>
    <row r="917">
      <c r="C917" s="38"/>
    </row>
    <row r="918">
      <c r="C918" s="38"/>
    </row>
    <row r="919">
      <c r="C919" s="38"/>
    </row>
    <row r="920">
      <c r="C920" s="38"/>
    </row>
    <row r="921">
      <c r="C921" s="38"/>
    </row>
    <row r="922">
      <c r="C922" s="38"/>
    </row>
    <row r="923">
      <c r="C923" s="38"/>
    </row>
    <row r="924">
      <c r="C924" s="38"/>
    </row>
    <row r="925">
      <c r="C925" s="38"/>
    </row>
    <row r="926">
      <c r="C926" s="38"/>
    </row>
    <row r="927">
      <c r="C927" s="38"/>
    </row>
    <row r="928">
      <c r="C928" s="38"/>
    </row>
    <row r="929">
      <c r="C929" s="38"/>
    </row>
    <row r="930">
      <c r="C930" s="38"/>
    </row>
    <row r="931">
      <c r="C931" s="38"/>
    </row>
    <row r="932">
      <c r="C932" s="38"/>
    </row>
    <row r="933">
      <c r="C933" s="38"/>
    </row>
    <row r="934">
      <c r="C934" s="38"/>
    </row>
    <row r="935">
      <c r="C935" s="38"/>
    </row>
    <row r="936">
      <c r="C936" s="38"/>
    </row>
    <row r="937">
      <c r="C937" s="38"/>
    </row>
    <row r="938">
      <c r="C938" s="38"/>
    </row>
    <row r="939">
      <c r="C939" s="38"/>
    </row>
    <row r="940">
      <c r="C940" s="38"/>
    </row>
    <row r="941">
      <c r="C941" s="38"/>
    </row>
    <row r="942">
      <c r="C942" s="38"/>
    </row>
    <row r="943">
      <c r="C943" s="38"/>
    </row>
    <row r="944">
      <c r="C944" s="38"/>
    </row>
    <row r="945">
      <c r="C945" s="38"/>
    </row>
    <row r="946">
      <c r="C946" s="38"/>
    </row>
    <row r="947">
      <c r="C947" s="38"/>
    </row>
    <row r="948">
      <c r="C948" s="38"/>
    </row>
    <row r="949">
      <c r="C949" s="38"/>
    </row>
    <row r="950">
      <c r="C950" s="38"/>
    </row>
    <row r="951">
      <c r="C951" s="38"/>
    </row>
    <row r="952">
      <c r="C952" s="38"/>
    </row>
    <row r="953">
      <c r="C953" s="38"/>
    </row>
    <row r="954">
      <c r="C954" s="38"/>
    </row>
    <row r="955">
      <c r="C955" s="38"/>
    </row>
    <row r="956">
      <c r="C956" s="38"/>
    </row>
    <row r="957">
      <c r="C957" s="38"/>
    </row>
    <row r="958">
      <c r="C958" s="38"/>
    </row>
    <row r="959">
      <c r="C959" s="38"/>
    </row>
    <row r="960">
      <c r="C960" s="38"/>
    </row>
    <row r="961">
      <c r="C961" s="38"/>
    </row>
    <row r="962">
      <c r="C962" s="38"/>
    </row>
    <row r="963">
      <c r="C963" s="38"/>
    </row>
    <row r="964">
      <c r="C964" s="38"/>
    </row>
    <row r="965">
      <c r="C965" s="38"/>
    </row>
    <row r="966">
      <c r="C966" s="38"/>
    </row>
    <row r="967">
      <c r="C967" s="38"/>
    </row>
    <row r="968">
      <c r="C968" s="38"/>
    </row>
    <row r="969">
      <c r="C969" s="38"/>
    </row>
    <row r="970">
      <c r="C970" s="38"/>
    </row>
    <row r="971">
      <c r="C971" s="38"/>
    </row>
    <row r="972">
      <c r="C972" s="38"/>
    </row>
    <row r="973">
      <c r="C973" s="38"/>
    </row>
    <row r="974">
      <c r="C974" s="38"/>
    </row>
    <row r="975">
      <c r="C975" s="38"/>
    </row>
    <row r="976">
      <c r="C976" s="38"/>
    </row>
    <row r="977">
      <c r="C977" s="38"/>
    </row>
    <row r="978">
      <c r="C978" s="38"/>
    </row>
    <row r="979">
      <c r="C979" s="38"/>
    </row>
    <row r="980">
      <c r="C980" s="38"/>
    </row>
    <row r="981">
      <c r="C981" s="38"/>
    </row>
    <row r="982">
      <c r="C982" s="38"/>
    </row>
    <row r="983">
      <c r="C983" s="38"/>
    </row>
    <row r="984">
      <c r="C984" s="38"/>
    </row>
    <row r="985">
      <c r="C985" s="38"/>
    </row>
    <row r="986">
      <c r="C986" s="38"/>
    </row>
    <row r="987">
      <c r="C987" s="38"/>
    </row>
    <row r="988">
      <c r="C988" s="38"/>
    </row>
    <row r="989">
      <c r="C989" s="38"/>
    </row>
    <row r="990">
      <c r="C990" s="38"/>
    </row>
    <row r="991">
      <c r="C991" s="38"/>
    </row>
    <row r="992">
      <c r="C992" s="38"/>
    </row>
    <row r="993">
      <c r="C993" s="38"/>
    </row>
    <row r="994">
      <c r="C994" s="38"/>
    </row>
    <row r="995">
      <c r="C995" s="38"/>
    </row>
    <row r="996">
      <c r="C996" s="38"/>
    </row>
    <row r="997">
      <c r="C997" s="38"/>
    </row>
    <row r="998">
      <c r="C998" s="38"/>
    </row>
    <row r="999">
      <c r="C999" s="38"/>
    </row>
    <row r="1000">
      <c r="C1000" s="38"/>
    </row>
  </sheetData>
  <drawing r:id="rId1"/>
</worksheet>
</file>