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Disciplinas!$A$1:$Z$458</definedName>
    <definedName hidden="1" localSheetId="2" name="_xlnm._FilterDatabase">Cursos!$B$1:$B$26</definedName>
    <definedName hidden="1" localSheetId="3" name="_xlnm._FilterDatabase">Turmas!$B$1:$B$94</definedName>
  </definedNames>
  <calcPr/>
</workbook>
</file>

<file path=xl/sharedStrings.xml><?xml version="1.0" encoding="utf-8"?>
<sst xmlns="http://schemas.openxmlformats.org/spreadsheetml/2006/main" count="4277" uniqueCount="1466">
  <si>
    <t>ID</t>
  </si>
  <si>
    <t>Código de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</si>
  <si>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</si>
  <si>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</si>
  <si>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</si>
  <si>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</si>
  <si>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</si>
  <si>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</si>
  <si>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</si>
  <si>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Minimo</t>
  </si>
  <si>
    <t>Split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</si>
  <si>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</si>
  <si>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</si>
  <si>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</si>
  <si>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</si>
  <si>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</si>
  <si>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</si>
  <si>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</si>
  <si>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</si>
  <si>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SANDRA MARA SANTOS LEMOS</t>
  </si>
  <si>
    <t>20221.02ADM11N.1N</t>
  </si>
  <si>
    <t>RV.ADM02</t>
  </si>
  <si>
    <t>ÉTICA</t>
  </si>
  <si>
    <t>LORENA AZEVEDO LIMA</t>
  </si>
  <si>
    <t>RV.ADM03</t>
  </si>
  <si>
    <t>CENáRIOS ECONôMICOS E MERCADOS</t>
  </si>
  <si>
    <t>SAMANTHA REZENDE MENDES</t>
  </si>
  <si>
    <t>RV.ADM04</t>
  </si>
  <si>
    <t>SOCIOLOGIA APLICADA à ADMINISTRAçãO</t>
  </si>
  <si>
    <t>EMIVAL DA CUNHA RIBEIRO</t>
  </si>
  <si>
    <t>RV.ADM401</t>
  </si>
  <si>
    <t>GESTãO EMPRESARIAL</t>
  </si>
  <si>
    <t>KENNEDY DE ARAúJO BARBOSA</t>
  </si>
  <si>
    <t>RV.EXA808</t>
  </si>
  <si>
    <t>MATEMáTICA FINANCEIRA</t>
  </si>
  <si>
    <t>RENATO CRUVINEL DE OLIVEIRA</t>
  </si>
  <si>
    <t>RV.HUM824</t>
  </si>
  <si>
    <t>DIREITO</t>
  </si>
  <si>
    <t>RV.ADM09</t>
  </si>
  <si>
    <t>ANáLISE DE CUSTO E FORMAçãO DE PREçOS</t>
  </si>
  <si>
    <t>FLAVIA FARIA LOPES</t>
  </si>
  <si>
    <t>20221.02ADM11N.3N</t>
  </si>
  <si>
    <t>RV.ADM10</t>
  </si>
  <si>
    <t>GESTãO DE PESSOAS</t>
  </si>
  <si>
    <t>RV.ADM11</t>
  </si>
  <si>
    <t>COMéRCIO ELETRôNICO E AUTOMAçãO COMERCIAL</t>
  </si>
  <si>
    <t>JOSé AURELIO VAZQUEZ RUBIO</t>
  </si>
  <si>
    <t>RV.ADM405</t>
  </si>
  <si>
    <t>ADMINISTRAçãO DE RECURSOS MATERIAIS, PATRIMONIAIS E LOGíSTICA</t>
  </si>
  <si>
    <t>RV.ADM413</t>
  </si>
  <si>
    <t>PLANEJAMENTO ESTRATéGICO</t>
  </si>
  <si>
    <t>RV.ADM811</t>
  </si>
  <si>
    <t>ADMINISTRAçãO FINANCEIRA</t>
  </si>
  <si>
    <t>JEAN MARC NACIFE</t>
  </si>
  <si>
    <t>TADMRV33</t>
  </si>
  <si>
    <t>EMPREENDEDORISMO</t>
  </si>
  <si>
    <t>LUCIENE DE OLIVEIRA GUERRA</t>
  </si>
  <si>
    <t>RV.PRO001</t>
  </si>
  <si>
    <t>ARTES</t>
  </si>
  <si>
    <t>WILCIENE NUNES DO VALE</t>
  </si>
  <si>
    <t>20221.02ADM12N.1N</t>
  </si>
  <si>
    <t>RV.PRO003</t>
  </si>
  <si>
    <t>GEOGRAFIA I</t>
  </si>
  <si>
    <t>FERNANDO UHLMANN SOARES</t>
  </si>
  <si>
    <t>RV.PRO004</t>
  </si>
  <si>
    <t>HISTóRIA I</t>
  </si>
  <si>
    <t>RV.PRO025</t>
  </si>
  <si>
    <t>GEOGRAFIA IV</t>
  </si>
  <si>
    <t>20221.02ADM12N.4N</t>
  </si>
  <si>
    <t>RV.PRO14</t>
  </si>
  <si>
    <t>MATEMáTICA V</t>
  </si>
  <si>
    <t>PAULO CARDOZO CARVALHO DE ARAUJO</t>
  </si>
  <si>
    <t>20221.02ADM12N.5N</t>
  </si>
  <si>
    <t>RV.CON817</t>
  </si>
  <si>
    <t>CONTABILIDADE BáSICA</t>
  </si>
  <si>
    <t>20221.02ADM12N.6N</t>
  </si>
  <si>
    <t>RV.PRO031</t>
  </si>
  <si>
    <t>INGLêS II</t>
  </si>
  <si>
    <t>RV.PRO032</t>
  </si>
  <si>
    <t>QUíMICA II</t>
  </si>
  <si>
    <t>GEOVANY ALBINO DE SOUZA</t>
  </si>
  <si>
    <t>RV.PRO029</t>
  </si>
  <si>
    <t>QUíMICA III</t>
  </si>
  <si>
    <t>LUISMAR DE PAULA SOUZA</t>
  </si>
  <si>
    <t>20221.02ADM12N.7N</t>
  </si>
  <si>
    <t>RV.PRO030</t>
  </si>
  <si>
    <t>PORTUGUêS IV</t>
  </si>
  <si>
    <t>GRAD.ADM.CO.04</t>
  </si>
  <si>
    <t>COMPORTAMENTO ORGANIZACIONAL</t>
  </si>
  <si>
    <t>CARLOS ANTONIO CARDOSO SOBRINHO</t>
  </si>
  <si>
    <t>20221.02ADM20N.1N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</si>
  <si>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</si>
  <si>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</si>
  <si>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</si>
  <si>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</si>
  <si>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</si>
  <si>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</si>
  <si>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IDALCI CRUVINEL DOS REIS</t>
  </si>
  <si>
    <t>GRAD.ADM.TGA-I.02</t>
  </si>
  <si>
    <t>TEORIA GERAL DA ADMINISTRAçãO I</t>
  </si>
  <si>
    <t>GRAD.ADM.CONT.11</t>
  </si>
  <si>
    <t>CONTABILIDADE</t>
  </si>
  <si>
    <t>20221.02ADM20N.3N</t>
  </si>
  <si>
    <t>GRAD.ADM.DLE.09</t>
  </si>
  <si>
    <t>DIREITO E LEGISLAçãO EMPRESARIAL</t>
  </si>
  <si>
    <t>MáRCIA CRISTINA PUYDINGER DE FAZIO</t>
  </si>
  <si>
    <t>GRAD.ADM.GP-II.10</t>
  </si>
  <si>
    <t>GESTãO DE PESSOAS II</t>
  </si>
  <si>
    <t>HAIHANI SILVA PASSOS</t>
  </si>
  <si>
    <t>GRAD.ADM.SO.12</t>
  </si>
  <si>
    <t>SOCIOLOGIA ORGANIZACIONAL</t>
  </si>
  <si>
    <t>GRAD.ECOBRAS.01</t>
  </si>
  <si>
    <t>ECONOMIA BRASILEIRA</t>
  </si>
  <si>
    <t>ROGéRIO ANTôNIO MAURO</t>
  </si>
  <si>
    <t>GRAD.ADM.AP.19</t>
  </si>
  <si>
    <t>ADMINISTRAçãO DA PRODUçãO</t>
  </si>
  <si>
    <t>WENDERSON SOUSA FERREIRA</t>
  </si>
  <si>
    <t>20221.02ADM20N.5N</t>
  </si>
  <si>
    <t>GRAD.ADM.DT.18</t>
  </si>
  <si>
    <t>DIREITO TRABALHISTA</t>
  </si>
  <si>
    <t>GRAD.ADM.LOGIST.21</t>
  </si>
  <si>
    <t>LOGíSTICA</t>
  </si>
  <si>
    <t>GRAD.ADM.MARK-II.20</t>
  </si>
  <si>
    <t>MARKETING II</t>
  </si>
  <si>
    <t>GRAD.GESTAGRO.01</t>
  </si>
  <si>
    <t>GESTãO AGROINDUSTRIAL</t>
  </si>
  <si>
    <t>GRAD.ADM.ADF.29</t>
  </si>
  <si>
    <t>ANáLISE DAS DEMONSTRAçõES FINANCEIRAS</t>
  </si>
  <si>
    <t>FRANKCIONE BORGES DE ALMEIDA</t>
  </si>
  <si>
    <t>20221.02ADM20N.7N</t>
  </si>
  <si>
    <t>GRAD.ADM.APME.27</t>
  </si>
  <si>
    <t>ADMINISTRAçãO DE PEQUENAS E MéDIAS EMPRESAS</t>
  </si>
  <si>
    <t>GRAD.ADM.EAP.26</t>
  </si>
  <si>
    <t>ELABORAçãO E ADMINISTRAçãO DE PROJETOS</t>
  </si>
  <si>
    <t>MARCO ANTONIO HARMS DIAS</t>
  </si>
  <si>
    <t>GRAD.ADM.JE.28</t>
  </si>
  <si>
    <t>JOGOS EMPRESARIAIS</t>
  </si>
  <si>
    <t>GRAD.MERCCAP.01</t>
  </si>
  <si>
    <t>MERCADO DE CAPITAIS</t>
  </si>
  <si>
    <t>RV.TCC212</t>
  </si>
  <si>
    <t>TRABALHO DE CURSO I</t>
  </si>
  <si>
    <t>20221.02AGN21N.6N</t>
  </si>
  <si>
    <t>RV.TCC213</t>
  </si>
  <si>
    <t>TRABALHO DE CURSO II</t>
  </si>
  <si>
    <t>RV.EXA224</t>
  </si>
  <si>
    <t>MATEMáTICA APLICADA</t>
  </si>
  <si>
    <t>LUCAS FRANCO DE ASSIS</t>
  </si>
  <si>
    <t>20221.02AGP11M.1M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</si>
  <si>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</si>
  <si>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</si>
  <si>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</si>
  <si>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</si>
  <si>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</si>
  <si>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</si>
  <si>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</si>
  <si>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</si>
  <si>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MILTON BERNARDES FERREIRA</t>
  </si>
  <si>
    <t>RV.TAG503</t>
  </si>
  <si>
    <t>MECANIZAçãO AGRíCOLA</t>
  </si>
  <si>
    <t>GILBERTO COLODRO</t>
  </si>
  <si>
    <t>RV.TAG001</t>
  </si>
  <si>
    <t>ARMAZENAMENTO DE GRãOS</t>
  </si>
  <si>
    <t>JOSé WESELLI DE Sá ANDRADE</t>
  </si>
  <si>
    <t>20221.02AGP11M.3M</t>
  </si>
  <si>
    <t>RV.TAG002</t>
  </si>
  <si>
    <t>CULTURAS ANUAIS I</t>
  </si>
  <si>
    <t>RV.TAG010</t>
  </si>
  <si>
    <t>FORRAGICULTURA</t>
  </si>
  <si>
    <t>DARLIANE DE CASTRO SANTOS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</si>
  <si>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</si>
  <si>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</si>
  <si>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</si>
  <si>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</si>
  <si>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</si>
  <si>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</si>
  <si>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</si>
  <si>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</si>
  <si>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</si>
  <si>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20221.02AGP11V.1V</t>
  </si>
  <si>
    <t>20221.02AGP11V.3V</t>
  </si>
  <si>
    <t>LEONARDO DE CASTRO SANTOS</t>
  </si>
  <si>
    <t>GRAD.AA.01</t>
  </si>
  <si>
    <t>ADUBOS E ADUBAçãO</t>
  </si>
  <si>
    <t>CARLOS RIBEIRO RODRIGUES</t>
  </si>
  <si>
    <t>20221.02AGR20I.10MV</t>
  </si>
  <si>
    <t>GRAD.AP.02</t>
  </si>
  <si>
    <t>AGRICULTURA DE PRECISãO</t>
  </si>
  <si>
    <t>JOSé MILTON ALVES</t>
  </si>
  <si>
    <t>GRAD.FLORIC.01</t>
  </si>
  <si>
    <t>FLORICULTURA</t>
  </si>
  <si>
    <t>ANíSIO CORREA DA ROCHA</t>
  </si>
  <si>
    <t>GRAD.RAD.01</t>
  </si>
  <si>
    <t>RECUPERAçãO DE ÁREAS DEGRADADAS</t>
  </si>
  <si>
    <t>GRAD.BC.12</t>
  </si>
  <si>
    <t>BIOLOGIA CELULAR</t>
  </si>
  <si>
    <t>PABLO DIEGO SILVA CABRAL</t>
  </si>
  <si>
    <t>20221.02AGR20I.1MV</t>
  </si>
  <si>
    <t>GRAD.CDI.01</t>
  </si>
  <si>
    <t>CáLCULO DIFERENCIAL E INTEGRAL I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</si>
  <si>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</si>
  <si>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</si>
  <si>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</si>
  <si>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</si>
  <si>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</si>
  <si>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</si>
  <si>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</si>
  <si>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</si>
  <si>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FERNANDO HIGINO DE LIMA E SILVA</t>
  </si>
  <si>
    <t>GRAD.MC.01</t>
  </si>
  <si>
    <t>METODOLOGIA CIENTíFICA</t>
  </si>
  <si>
    <t>EDNALVA PATRíCIA DE ANDRADE SILVA</t>
  </si>
  <si>
    <t>GRAD.QG.01</t>
  </si>
  <si>
    <t>QUíMICA GERAL</t>
  </si>
  <si>
    <t>SUBSTITUTO QUÍMICA</t>
  </si>
  <si>
    <t>GRAD.EB.01</t>
  </si>
  <si>
    <t>ESTATíSTICA BáSICA</t>
  </si>
  <si>
    <t>20221.02AGR20I.2MV</t>
  </si>
  <si>
    <t>GRAD.F.01</t>
  </si>
  <si>
    <t>FíSICA</t>
  </si>
  <si>
    <t>TIAGO CLARIMUNDO RAMOS</t>
  </si>
  <si>
    <t>GRAD.GMS.01</t>
  </si>
  <si>
    <t>GêNESE E MORFOLOGIA DO SOLO</t>
  </si>
  <si>
    <t>GRAD.M.01</t>
  </si>
  <si>
    <t>MICROBIOLOGIA</t>
  </si>
  <si>
    <t>EDSON LUIZ SOUCHIE</t>
  </si>
  <si>
    <t>GRAD.OSV.01</t>
  </si>
  <si>
    <t>ORGANOGRAFIA E SISTEMáTICA VEGETAL</t>
  </si>
  <si>
    <t>GISELE CRISTINA DE OLIVEIRA MENINO</t>
  </si>
  <si>
    <t>GRAD.QO.01</t>
  </si>
  <si>
    <t>QUíMICA ORGâNICA</t>
  </si>
  <si>
    <t>CASSIA CRISTINA FERNANDES ALVES</t>
  </si>
  <si>
    <t>GRAD.AV.1</t>
  </si>
  <si>
    <t>ANATOMIA VEGETAL</t>
  </si>
  <si>
    <t>SEBASTIãO CARVALHO VASCONCELOS FILHO</t>
  </si>
  <si>
    <t>20221.02AGR20I.3MV</t>
  </si>
  <si>
    <t>GRAD.EE.01</t>
  </si>
  <si>
    <t>ESTATíSTICA EXPERIMENTAL</t>
  </si>
  <si>
    <t>AURELIO RUBIO NETO</t>
  </si>
  <si>
    <t>GRAD.EG.05</t>
  </si>
  <si>
    <t>ENTOMOLOGIA GERAL</t>
  </si>
  <si>
    <t>TAVVS MICAEL ALVES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</si>
  <si>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</si>
  <si>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</si>
  <si>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</si>
  <si>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</si>
  <si>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</si>
  <si>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</si>
  <si>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</si>
  <si>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GRAD.T.01</t>
  </si>
  <si>
    <t>TOPOGRAFIA - PLANIMETRIA</t>
  </si>
  <si>
    <t>GRAD.BB.01</t>
  </si>
  <si>
    <t>BIOQUíMICA BáSICA</t>
  </si>
  <si>
    <t>FLAVIA DE FIGUEIREDO MACHADO</t>
  </si>
  <si>
    <t>20221.02AGR20I.4MV</t>
  </si>
  <si>
    <t>GRAD.CLS.01</t>
  </si>
  <si>
    <t>CLASSIFICAçãO E LEVANTAMENTO DO SOLO</t>
  </si>
  <si>
    <t>GRAD.EA.31</t>
  </si>
  <si>
    <t>ENTOMOLOGIA AGRíCOLA</t>
  </si>
  <si>
    <t>PABLO DA COSTA GONTIJO</t>
  </si>
  <si>
    <t>GRAD.FS.02</t>
  </si>
  <si>
    <t>FERTILIDADE DO SOLO</t>
  </si>
  <si>
    <t>GRAD.MMA.01</t>
  </si>
  <si>
    <t>MECâNICA E MECANIZAçãO AGRíCOLA</t>
  </si>
  <si>
    <t>JOãO CLEBER MODERNEL DA SILVEIRA</t>
  </si>
  <si>
    <t>GRAD.T.02</t>
  </si>
  <si>
    <t>TOPOGRAFIA - ALTIMETRIA</t>
  </si>
  <si>
    <t>GRAD.A.25</t>
  </si>
  <si>
    <t>AGROMETEOROLOGIA</t>
  </si>
  <si>
    <t>20221.02AGR20I.5MV</t>
  </si>
  <si>
    <t>GRAD.F.32</t>
  </si>
  <si>
    <t>FITOPALOGIA I</t>
  </si>
  <si>
    <t>GRAD.FV.01</t>
  </si>
  <si>
    <t>FISIOLOGIA VEGETAL</t>
  </si>
  <si>
    <t>FERNANDA DOS SANTOS FARNESE</t>
  </si>
  <si>
    <t>GRAD.G.01</t>
  </si>
  <si>
    <t>GEOPROCESSAMENTO</t>
  </si>
  <si>
    <t>LUCAS PERES ANGELINI</t>
  </si>
  <si>
    <t>GRAD.G.02</t>
  </si>
  <si>
    <t>GENéTICA</t>
  </si>
  <si>
    <t>MARIA ANDREIA CORREA MENDONçA</t>
  </si>
  <si>
    <t>GRAD.MCSA.01</t>
  </si>
  <si>
    <t>MANEJO E CONSERVAçãO DO SOLO E DA ÁGUA</t>
  </si>
  <si>
    <t>GRAD.ZG.02</t>
  </si>
  <si>
    <t>JéSSIKA  MARA MARTINS RIBEIRO; FRANCISCO RIBEIRO DE ARAUJO NETO</t>
  </si>
  <si>
    <t>GRAD.B.49</t>
  </si>
  <si>
    <t>BIOTECNOLOGIA</t>
  </si>
  <si>
    <t>20221.02AGR20I.7MV</t>
  </si>
  <si>
    <t>GRAD.CMCAST.01</t>
  </si>
  <si>
    <t>CULTURAS I (MILHO, CANA-DE-AçúCAR, ARROZ, SORGO E TRIGO)</t>
  </si>
  <si>
    <t>ALAERSON MAIA GERALDINE</t>
  </si>
  <si>
    <t>GRAD.FP.01</t>
  </si>
  <si>
    <t>FORRAGICULTURA E PASTAGENS</t>
  </si>
  <si>
    <t>KáTIA APARECIDA DE PINHO COSTA</t>
  </si>
  <si>
    <t>GRAD.O.45</t>
  </si>
  <si>
    <t>OLERICULTURA</t>
  </si>
  <si>
    <t>GRAD.PTS.01</t>
  </si>
  <si>
    <t>PRODUçãO E TECNOLOGIA DE SEMENTES</t>
  </si>
  <si>
    <t>JULIANA DE FáTIMA SALES</t>
  </si>
  <si>
    <t>GRAD.S.01</t>
  </si>
  <si>
    <t>SILVICULTURA</t>
  </si>
  <si>
    <t>LEANDRO CARLOS</t>
  </si>
  <si>
    <t>GRAD.AP.01</t>
  </si>
  <si>
    <t>AVALIAçãO E PERíCIAS</t>
  </si>
  <si>
    <t>20221.02AGR20I.9MV</t>
  </si>
  <si>
    <t>GRAD.EA.52</t>
  </si>
  <si>
    <t>ECONOMIA AGRíCOLA</t>
  </si>
  <si>
    <t>GRAD.EGP.02</t>
  </si>
  <si>
    <t>ELABORAçãO E GESTãO DE PROJETOS</t>
  </si>
  <si>
    <t>GRAD.EP.03</t>
  </si>
  <si>
    <t>ÉTICA PROFISSIONAL</t>
  </si>
  <si>
    <t>GRAD.FMPC.01</t>
  </si>
  <si>
    <t>FISIOLOGIA E MANEJO DE PóS-COLHEITA</t>
  </si>
  <si>
    <t>PAULO EDUARDO DE MENEZES SILVA</t>
  </si>
  <si>
    <t>GRAD.PPR.01</t>
  </si>
  <si>
    <t>PROTEçãO DE PLANTAS E RECEITUáRIO AGRONôMICO</t>
  </si>
  <si>
    <t>RENATA PEREIRA MARQUES</t>
  </si>
  <si>
    <t>GRAD.SAG.01</t>
  </si>
  <si>
    <t>SECAGEM E ARMAZENAMENTO DE GRãOS</t>
  </si>
  <si>
    <t>OSVALDO RESENDE</t>
  </si>
  <si>
    <t>GRAD.SER.03</t>
  </si>
  <si>
    <t>SOCIOLOGIA E EXTENSãO RURAL</t>
  </si>
  <si>
    <t>RV.BIO256</t>
  </si>
  <si>
    <t>ZOOLOGIA</t>
  </si>
  <si>
    <t>FáBIO MARTINS VILAR DE CARVALHO</t>
  </si>
  <si>
    <t>20221.02AGR20I.TE.2MV</t>
  </si>
  <si>
    <t>RV.AGR239</t>
  </si>
  <si>
    <t>PARQUES E JARDINS</t>
  </si>
  <si>
    <t>20221.02AGR20I.TE.7MV</t>
  </si>
  <si>
    <t>RV.AGR238</t>
  </si>
  <si>
    <t>CULTURAS III (CANA-DE-AçúCAR, CAFé E MANDIOCA)</t>
  </si>
  <si>
    <t>20221.02AGR20I.TE-2010.MV</t>
  </si>
  <si>
    <t>RV.ENG213</t>
  </si>
  <si>
    <t>MECâNICA AGRíCOLA</t>
  </si>
  <si>
    <t>RV.ZOO230</t>
  </si>
  <si>
    <t>ANATOMIA E FISIOLOGIA ANIMAL</t>
  </si>
  <si>
    <t>KAREN MARTINS LEãO</t>
  </si>
  <si>
    <t>GRAD.CSFGAM.01</t>
  </si>
  <si>
    <t>CULTURAS II (SOJA, FEIJãO, GIRASSOL, ALGODãO, MANDIOCA)</t>
  </si>
  <si>
    <t>20221.02AGR20I.TE-2018.MV</t>
  </si>
  <si>
    <t>GRAD.F.02</t>
  </si>
  <si>
    <t>FRUTICULTURA</t>
  </si>
  <si>
    <t>GRAD.F.42</t>
  </si>
  <si>
    <t>FITOPATOLOGIA II</t>
  </si>
  <si>
    <t>RV.EXA722</t>
  </si>
  <si>
    <t>PAULO HENRIQUE RODRIGUES GONçALVES</t>
  </si>
  <si>
    <t>20221.02ALI11N.1N</t>
  </si>
  <si>
    <t>RV.QAP428</t>
  </si>
  <si>
    <t>QUíMICA APLICADA</t>
  </si>
  <si>
    <t>RV.TAL06</t>
  </si>
  <si>
    <t>SEGURANçA E BIOSSEGURANçA</t>
  </si>
  <si>
    <t>LIGIA CAMPOS DE MOURA SILVA</t>
  </si>
  <si>
    <t>RV.TAL07</t>
  </si>
  <si>
    <t>TECNOLOGIA DE OVOS E MEL</t>
  </si>
  <si>
    <t>PRISCILA ALONSO DOS SANTOS</t>
  </si>
  <si>
    <t>RV.TAL08</t>
  </si>
  <si>
    <t>ÉTICA E RELAçõES NO TRABALHO</t>
  </si>
  <si>
    <t>RV.TAL09</t>
  </si>
  <si>
    <t>PORTUGUêS TéCNICO</t>
  </si>
  <si>
    <t>RV.TAL81</t>
  </si>
  <si>
    <t>PRINCíPIOS DE QUíMICA E BIOQUíMICA DOS ALIMENTOS</t>
  </si>
  <si>
    <t>RV.TAL02</t>
  </si>
  <si>
    <t>TECNOLOGIA DE LEITE E DERIVADOS</t>
  </si>
  <si>
    <t>PRISCILA ALONSO DOS SANTOS; LEANDRO PEREIRA CAPPATO</t>
  </si>
  <si>
    <t>20221.02ALI11N.3N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</si>
  <si>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</si>
  <si>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</si>
  <si>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</si>
  <si>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</si>
  <si>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</si>
  <si>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</si>
  <si>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</si>
  <si>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</si>
  <si>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</si>
  <si>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</si>
  <si>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KAREN CARVALHO FERREIRA</t>
  </si>
  <si>
    <t>GRAD.BC.02</t>
  </si>
  <si>
    <t>VALDNéA CASAGRANDE DALVI</t>
  </si>
  <si>
    <t>20221.02ALI20I.1MV</t>
  </si>
  <si>
    <t>GRAD.IEA.01</t>
  </si>
  <si>
    <t>INTRODUçãO à ENGENHARIA DE ALIMENTOS</t>
  </si>
  <si>
    <t>LEANDRO PEREIRA CAPPATO</t>
  </si>
  <si>
    <t>GRAD.MC.02</t>
  </si>
  <si>
    <t>GRAD.QGA.01</t>
  </si>
  <si>
    <t>QUíMICA GERAL E ANALíTICA</t>
  </si>
  <si>
    <t>GRAD.AI.01</t>
  </si>
  <si>
    <t>ADMINISTRAçãO INDUSTRIAL</t>
  </si>
  <si>
    <t>20221.02ALI20I.3MV</t>
  </si>
  <si>
    <t>GRAD.EE.02</t>
  </si>
  <si>
    <t>ADRIANO CARVALHO COSTA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</si>
  <si>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</si>
  <si>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</si>
  <si>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</si>
  <si>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</si>
  <si>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</si>
  <si>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</si>
  <si>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</si>
  <si>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OSVALDO VALARINI JUNIOR</t>
  </si>
  <si>
    <t>GRAD.SEDO.02</t>
  </si>
  <si>
    <t>SéRIES E EQUAçõES DIFERENCIAIS ORDINáRIAS</t>
  </si>
  <si>
    <t>CAIKE DA ROCHA DAMKE</t>
  </si>
  <si>
    <t>GRAD.AA.02</t>
  </si>
  <si>
    <t>ANáLISE DE ALIMENTOS</t>
  </si>
  <si>
    <t>20221.02ALI20I.5MV</t>
  </si>
  <si>
    <t>GRAD.FT.02</t>
  </si>
  <si>
    <t>FENôMENOS DE TRANSPORTE II</t>
  </si>
  <si>
    <t>ROGéRIO FAVARETO</t>
  </si>
  <si>
    <t>GRAD.MA.03</t>
  </si>
  <si>
    <t>MICROBIOLOGIA DE ALIMENTOS</t>
  </si>
  <si>
    <t>GRAD.MS.01</t>
  </si>
  <si>
    <t>MECâNICA DOS SóLIDOS</t>
  </si>
  <si>
    <t>MáRCIO DA SILVA VILELA</t>
  </si>
  <si>
    <t>GRAD.NB.01</t>
  </si>
  <si>
    <t>NUTRIçãO BáSICA</t>
  </si>
  <si>
    <t>GRAD.OU.01</t>
  </si>
  <si>
    <t>OPERAçõES UNITáRIAS I</t>
  </si>
  <si>
    <t>20221.02ALI20I.7MV</t>
  </si>
  <si>
    <t>GRAD.RIA.01</t>
  </si>
  <si>
    <t>REFRIGERAçãO NA INDúSTRIA DE ALIMENTOS</t>
  </si>
  <si>
    <t>GRAD.TCAD.01</t>
  </si>
  <si>
    <t>TECNOLOGIA DE CEREAIS, AMIDOS E DERIVADOS</t>
  </si>
  <si>
    <t>GRAD.TCPD.01</t>
  </si>
  <si>
    <t>TECNOLOGIA DE CARNES, PESCADOS E DERIVADOS</t>
  </si>
  <si>
    <t>GRAD.AEA.01</t>
  </si>
  <si>
    <t>ACONDICIONAMENTO E EMBALAGEM DE ALIMENTOS</t>
  </si>
  <si>
    <t>20221.02ALI20I.9MV</t>
  </si>
  <si>
    <t>GRAD.CGQ.01</t>
  </si>
  <si>
    <t>CONTROLE E GESTãO DA QUALIDADE</t>
  </si>
  <si>
    <t>GRAD.DNP.01</t>
  </si>
  <si>
    <t>DESENVOLVIMENTO DE NOVOS PRODUTOS</t>
  </si>
  <si>
    <t>GRAD.EP.01</t>
  </si>
  <si>
    <t>GEOVANA ROCHA PLáCIDO</t>
  </si>
  <si>
    <t>GRAD.PI.01</t>
  </si>
  <si>
    <t>PROJETOS INDUSTRIAIS</t>
  </si>
  <si>
    <t>GRAD.TOGS.01</t>
  </si>
  <si>
    <t>TECNOLOGIA DE ÓLEOS, GORDURAS E SUBPRODUTOS</t>
  </si>
  <si>
    <t>GRAD.TRI.01</t>
  </si>
  <si>
    <t>TRATAMENTO DE REJEITOS INDUSTRIAIS</t>
  </si>
  <si>
    <t>EDUARDO MATHEUS GUIMARãES TELES</t>
  </si>
  <si>
    <t>GRAD.QO.02</t>
  </si>
  <si>
    <t>RODRIGO BRAGHIROLI</t>
  </si>
  <si>
    <t>20221.02ALI20I.TE.2MV</t>
  </si>
  <si>
    <t>20221.02BIO22N.1N</t>
  </si>
  <si>
    <t>GRAD.FC.02</t>
  </si>
  <si>
    <t>FUNDAMENTOS DE CáLCULO</t>
  </si>
  <si>
    <t>GUILHERME GUIMARAES ASCENDINO</t>
  </si>
  <si>
    <t>GRAD.FF.02</t>
  </si>
  <si>
    <t>FUNDAMENTOS DA FíSICA</t>
  </si>
  <si>
    <t>SALMON LANDI JUNIOR</t>
  </si>
  <si>
    <t>GRAD.FFE.01</t>
  </si>
  <si>
    <t>FUNDAMENTOS FILOSóFICOS DA EDUCAçãO</t>
  </si>
  <si>
    <t>RENATA SILVA PAMPLONA</t>
  </si>
  <si>
    <t>ALINE DITOMASO</t>
  </si>
  <si>
    <t>SUZANA MARIA LOURES DE OLIVEIRA MARCIONILIO</t>
  </si>
  <si>
    <t>GRAD.BIOESTAT.01</t>
  </si>
  <si>
    <t>BIOESTATíSTICA</t>
  </si>
  <si>
    <t>FRANCISCO RIBEIRO DE ARAUJO NETO</t>
  </si>
  <si>
    <t>20221.02BIO22N.3N</t>
  </si>
  <si>
    <t>GRAD.BIOQ.03</t>
  </si>
  <si>
    <t>BIOQUíMICA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</si>
  <si>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</si>
  <si>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</si>
  <si>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</si>
  <si>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</si>
  <si>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</si>
  <si>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</si>
  <si>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</si>
  <si>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LIA RAQUEL DE SOUZA SANTOS; FERNANDO HENRIQUE ANTONIOLLI FARACHE</t>
  </si>
  <si>
    <t>GRAD.EPC.01</t>
  </si>
  <si>
    <t>ECOLOGIA DE POPULAçõES E COMUNIDADES</t>
  </si>
  <si>
    <t>ALESSANDRO RIBEIRO DE MORAIS</t>
  </si>
  <si>
    <t>20221.02BIO22N.5N</t>
  </si>
  <si>
    <t>GRAD.GENéT.02</t>
  </si>
  <si>
    <t>MARIA ANDREIA CORREA MENDONçA; LAURO BUCKER NETO</t>
  </si>
  <si>
    <t>GRAD.MOV.02</t>
  </si>
  <si>
    <t>MORFOLOGIA E ORGANOGRAFIA VEGETAL</t>
  </si>
  <si>
    <t>GRAD.PE-II.01</t>
  </si>
  <si>
    <t>PSICOLOGIA DA EDUCAçãO II</t>
  </si>
  <si>
    <t>GRAD.PPIE-I.01</t>
  </si>
  <si>
    <t>PESQUISA E PRáTICAS DE INTERVENçãO EM EDUCAçãO I</t>
  </si>
  <si>
    <t>ROSENILDE NOGUEIRA PANIAGO</t>
  </si>
  <si>
    <t>GRAD.SCE.01</t>
  </si>
  <si>
    <t>SOCIEDADE, CULTURA E EDUCAçãO</t>
  </si>
  <si>
    <t>GRAD.EA.03</t>
  </si>
  <si>
    <t>EDUCAçãO AMBIENTAL</t>
  </si>
  <si>
    <t>HIPóLITO TADEU FERREIRA DA SILVA; JUAREZ MARTINS RODRIGUES</t>
  </si>
  <si>
    <t>20221.02BIO22N.7N</t>
  </si>
  <si>
    <t>GRAD.ECRER.02</t>
  </si>
  <si>
    <t>EDUCAçãO, CULTURA E RELAçõES ÉTINICO-RACIAIS</t>
  </si>
  <si>
    <t>GRAD.EVOLUç.02</t>
  </si>
  <si>
    <t>EVOLUçãO</t>
  </si>
  <si>
    <t>JANIO CORDEIRO MOREIRA</t>
  </si>
  <si>
    <t>GRAD.IMUNOL.02</t>
  </si>
  <si>
    <t>IMUNOLOGIA</t>
  </si>
  <si>
    <t>LAURO BUCKER NETO</t>
  </si>
  <si>
    <t>GRAD.LIBRAS.02</t>
  </si>
  <si>
    <t>LIBRAS</t>
  </si>
  <si>
    <t>CALIXTO JUNIOR DE SOUZA</t>
  </si>
  <si>
    <t>GRAD.PPIE-II.01</t>
  </si>
  <si>
    <t>PESQUISA E PRáTICAS DE INTERVENçãO EM EDUCAçãO II</t>
  </si>
  <si>
    <t>SEBASTIãO CARVALHO VASCONCELOS FILHO; VALDNéA CASAGRANDE DALVI</t>
  </si>
  <si>
    <t>20221.02BIO23I.1MV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</si>
  <si>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</si>
  <si>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</si>
  <si>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</si>
  <si>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</si>
  <si>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</si>
  <si>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</si>
  <si>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GRAD.RC.03</t>
  </si>
  <si>
    <t>REDAçãO CIENTíFICA</t>
  </si>
  <si>
    <t>GRAD.AV.01</t>
  </si>
  <si>
    <t>20221.02BIO23I.3MV</t>
  </si>
  <si>
    <t>GRAD.BM.02</t>
  </si>
  <si>
    <t>BIOLOGIA MOLECULAR</t>
  </si>
  <si>
    <t>PAULO HENRIQUE MATAYOSHI CALIXTO</t>
  </si>
  <si>
    <t>GRAD.G.42</t>
  </si>
  <si>
    <t>GENéTICA II</t>
  </si>
  <si>
    <t>GRAD.ZI.02</t>
  </si>
  <si>
    <t>GRAD.CA.02</t>
  </si>
  <si>
    <t>COMPORTAMENTO ANIMAL</t>
  </si>
  <si>
    <t>20221.02BIO23I.5MV</t>
  </si>
  <si>
    <t>GRAD.EIA.01</t>
  </si>
  <si>
    <t>ESTUDOS DE IMPACTO AMBIENTAL</t>
  </si>
  <si>
    <t>GRAD.EVOLUç.01</t>
  </si>
  <si>
    <t>GRAD.MG.01</t>
  </si>
  <si>
    <t>MICROBIOLOGIA GERAL</t>
  </si>
  <si>
    <t>LUCIANA CRISTINA VITORINO</t>
  </si>
  <si>
    <t>GRAD.PARASITOL.01</t>
  </si>
  <si>
    <t>PARASITOLOGIA</t>
  </si>
  <si>
    <t>GRAD.SV.01</t>
  </si>
  <si>
    <t>SISTEMáTICA VEGETAL</t>
  </si>
  <si>
    <t>GRAD.ZV.02</t>
  </si>
  <si>
    <t>ZOOLOGIA DOS VERTEBRADOS II</t>
  </si>
  <si>
    <t>GRAD.APA.01</t>
  </si>
  <si>
    <t>AUDITORIA E PERíCIA AMBIENTAL</t>
  </si>
  <si>
    <t>CHARLYS ROWEDER</t>
  </si>
  <si>
    <t>20221.02BIO23I.7MV</t>
  </si>
  <si>
    <t>GRAD.FCV.01</t>
  </si>
  <si>
    <t>FISIOLOGIA COMPARADA DE VERTEBRADOS</t>
  </si>
  <si>
    <t>GRAD.GP.01</t>
  </si>
  <si>
    <t>GEOLOGIA E PALEONTOLOGIA</t>
  </si>
  <si>
    <t>RAFAEL MARQUES PEREIRA LEAL; JANIO CORDEIRO MOREIRA</t>
  </si>
  <si>
    <t>GRAD.ILFFC.01</t>
  </si>
  <si>
    <t>INVENTáRIO E LEVANTAMENTO DE FAUNA E FLORA DO CERRADO</t>
  </si>
  <si>
    <t>GISELE CRISTINA DE OLIVEIRA MENINO; JANIO CORDEIRO MOREIRA</t>
  </si>
  <si>
    <t>GRAD.AM.01</t>
  </si>
  <si>
    <t>ANATOMIA DA MADEIRA</t>
  </si>
  <si>
    <t>20221.02BIO23I.8MV</t>
  </si>
  <si>
    <t>GRAD.BIOINFORMáT.01</t>
  </si>
  <si>
    <t>BIOINFORMáTICA</t>
  </si>
  <si>
    <t>LUCAS ANJOS DE SOUZA</t>
  </si>
  <si>
    <t>GRAD.TEE.01</t>
  </si>
  <si>
    <t>TóPICOS ESPECIAIS DE ENTOMOLOGIA</t>
  </si>
  <si>
    <t>FERNANDO HENRIQUE ANTONIOLLI FARACHE</t>
  </si>
  <si>
    <t>CTBIOTRV.1</t>
  </si>
  <si>
    <t>20221.02BTC11N.1N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</si>
  <si>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</si>
  <si>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</si>
  <si>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</si>
  <si>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</si>
  <si>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</si>
  <si>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</si>
  <si>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 CONTROLE E ASSEPSIA DE BIOPROCESSOS</t>
  </si>
  <si>
    <t>RV.EXA810</t>
  </si>
  <si>
    <t>CTBIOTRV.10</t>
  </si>
  <si>
    <t>MICROBIOLOGIA APLICADA</t>
  </si>
  <si>
    <t>20221.02BTC11N.3N</t>
  </si>
  <si>
    <t>CTBIOTRV.13</t>
  </si>
  <si>
    <t>TECNOLOGIA GENéTICA E IMUNOLóGICA</t>
  </si>
  <si>
    <t>CTBIOTRV.18</t>
  </si>
  <si>
    <t>PAULO EDUARDO DE MENEZES SILVA; FERNANDA DOS SANTOS FARNESE</t>
  </si>
  <si>
    <t>CTBIOTRV.24</t>
  </si>
  <si>
    <t>BIOéTICA</t>
  </si>
  <si>
    <t>TIAGO CARNEVALLE ROMAO</t>
  </si>
  <si>
    <t>CTBIOTRV.25</t>
  </si>
  <si>
    <t>HISTOLOGIA E FISIOLOGIA ANIMAL</t>
  </si>
  <si>
    <t>GRAD.AC.01</t>
  </si>
  <si>
    <t>ANáLISE COMBINATóRIA</t>
  </si>
  <si>
    <t>MARCIO ANTONIO FERREIRA BELO FILHO</t>
  </si>
  <si>
    <t>20221.02CDC20I.1MV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</si>
  <si>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</si>
  <si>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</si>
  <si>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</si>
  <si>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</si>
  <si>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</si>
  <si>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</si>
  <si>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</si>
  <si>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</si>
  <si>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</si>
  <si>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</si>
  <si>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</si>
  <si>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</si>
  <si>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</si>
  <si>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</si>
  <si>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20221.02CDC20I.3MV</t>
  </si>
  <si>
    <t>GRAD.EB.02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</si>
  <si>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</si>
  <si>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</si>
  <si>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</si>
  <si>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</si>
  <si>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</si>
  <si>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</si>
  <si>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</si>
  <si>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</si>
  <si>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HEYDE FRANCIELLE DO CARMO FRANçA</t>
  </si>
  <si>
    <t>GRAD.POO.01</t>
  </si>
  <si>
    <t>PROGRAMAçãO ORIENTADA A OBJETOS</t>
  </si>
  <si>
    <t>MARLUS DIAS SILVA</t>
  </si>
  <si>
    <t>GRAD.ES.01</t>
  </si>
  <si>
    <t>ENGENHARIA DE SOFTWARE</t>
  </si>
  <si>
    <t>20221.02CDC20I.5MV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</si>
  <si>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</si>
  <si>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</si>
  <si>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</si>
  <si>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</si>
  <si>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</si>
  <si>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</si>
  <si>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</si>
  <si>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</si>
  <si>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</si>
  <si>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</si>
  <si>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</si>
  <si>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GRAD.IA.01</t>
  </si>
  <si>
    <t>INTELIGêNCIA ARTIFICIAL</t>
  </si>
  <si>
    <t>20221.02CDC20I.7MV</t>
  </si>
  <si>
    <t>GRAD.IH.01</t>
  </si>
  <si>
    <t>INTERAçãO HUMANO - COMPUTADOR</t>
  </si>
  <si>
    <t>LEANDRO RODRIGUES DA SILVA SOUZA</t>
  </si>
  <si>
    <t>GRAD.PLP.05</t>
  </si>
  <si>
    <t>PRáTICA DE LABORATóRIO DE PESQUISA (TCC - PARTE 1)</t>
  </si>
  <si>
    <t>GRAD.PS.01</t>
  </si>
  <si>
    <t>PROJETO DE SOFTWARE</t>
  </si>
  <si>
    <t>GRAD.SD.02</t>
  </si>
  <si>
    <t>SISTEMAS DISTRIBUíDOS</t>
  </si>
  <si>
    <t>GRAD.CDI.03</t>
  </si>
  <si>
    <t>20221.02CIV20I.1MV</t>
  </si>
  <si>
    <t>GRAD.DT.02</t>
  </si>
  <si>
    <t>BRUNA OLIVEIRA CAMPOS</t>
  </si>
  <si>
    <t>GRAD.FE.01</t>
  </si>
  <si>
    <t>FíSICA EXPERIMENTAL I</t>
  </si>
  <si>
    <t>GRAD.FíSICA I.01</t>
  </si>
  <si>
    <t>FíSICA I</t>
  </si>
  <si>
    <t>GRAD.IEC.01</t>
  </si>
  <si>
    <t>INTRODUçãO à ENGENHARIA CIVIL</t>
  </si>
  <si>
    <t>PHILIPPE BARBOSA SILVA</t>
  </si>
  <si>
    <t>GRAD.QE.01</t>
  </si>
  <si>
    <t>QUíMICA EXPERIMENTAL</t>
  </si>
  <si>
    <t>GRAD.QG.03</t>
  </si>
  <si>
    <t>ELOIZA DA SILVA NUNES</t>
  </si>
  <si>
    <t>GRAD.AU.01</t>
  </si>
  <si>
    <t>ARQUITETURA E URBANISMO</t>
  </si>
  <si>
    <t>20221.02CIV20I.3MV</t>
  </si>
  <si>
    <t>GRAD.FE-III.01</t>
  </si>
  <si>
    <t>FíSICA EXPERIMENTAL III</t>
  </si>
  <si>
    <t>GUSTAVO QUEREZA DE FREITAS</t>
  </si>
  <si>
    <t>GRAD.FíSICA III.01</t>
  </si>
  <si>
    <t>FíSICA III</t>
  </si>
  <si>
    <t>GRAD.FT.05</t>
  </si>
  <si>
    <t>FENôMENOS DOS TRANSPORTES</t>
  </si>
  <si>
    <t>HUGO LEONARDO SOUZA LARA LEãO</t>
  </si>
  <si>
    <t>GRAD.GAA.01</t>
  </si>
  <si>
    <t>GEOMETRIA ANALíTICA E ÁLGEBRA LINEAR</t>
  </si>
  <si>
    <t>GRAD.SED.01</t>
  </si>
  <si>
    <t>GRAD.TOPOG.02</t>
  </si>
  <si>
    <t>WELLINGTON DONIZETE GUIMARãES</t>
  </si>
  <si>
    <t>GRAD.HIDRáUL.I.01</t>
  </si>
  <si>
    <t>HIDRáULICA I</t>
  </si>
  <si>
    <t>20221.02CIV20I.5MV</t>
  </si>
  <si>
    <t>GRAD.HIDROLOG.02</t>
  </si>
  <si>
    <t>HIDROLOGIA</t>
  </si>
  <si>
    <t>ÉDIO DAMáSIO DA SILVA JUNIOR</t>
  </si>
  <si>
    <t>GRAD.MCC-II.01</t>
  </si>
  <si>
    <t>MATERIAIS DE CONSTRUçãO CIVIL II</t>
  </si>
  <si>
    <t>BACUS DE OLIVEIRA NAHIME</t>
  </si>
  <si>
    <t>GRAD.MS-I.01</t>
  </si>
  <si>
    <t>MECâNICA DOS SOLOS I</t>
  </si>
  <si>
    <t>FLAVIO HIOCHIO SATO</t>
  </si>
  <si>
    <t>GRAD.RM-I.01</t>
  </si>
  <si>
    <t>RESISTêNCIA DOS MATERIAIS I</t>
  </si>
  <si>
    <t>MARCEL WILLIAN REIS SALES</t>
  </si>
  <si>
    <t>GRAD.TE-I.01</t>
  </si>
  <si>
    <t>TEORIA DAS ESTRUTURAS I</t>
  </si>
  <si>
    <t>MICHELL MACEDO ALVES</t>
  </si>
  <si>
    <t>GRAD.CC-II.01</t>
  </si>
  <si>
    <t>CONSTRUçãO CIVIL II</t>
  </si>
  <si>
    <t>ALEXSANDRO DOS SANTOS FELIPE</t>
  </si>
  <si>
    <t>20221.02CIV20I.7MV</t>
  </si>
  <si>
    <t>GRAD.ECA-I.01</t>
  </si>
  <si>
    <t>ESTRUTURAS DE CONCRETO ARMADO I</t>
  </si>
  <si>
    <t>GRAD.ESTMET.01</t>
  </si>
  <si>
    <t>ESTRUTURAS METáLICAS</t>
  </si>
  <si>
    <t>GRAD.PROJEST.01</t>
  </si>
  <si>
    <t>PROJETO DE ESTRADAS</t>
  </si>
  <si>
    <t>WILLER MOTA FERREIRA</t>
  </si>
  <si>
    <t>GRAD.PT.01</t>
  </si>
  <si>
    <t>PLANEJAMENTO DE TRANSPORTES</t>
  </si>
  <si>
    <t>GRAD.SAAE.01</t>
  </si>
  <si>
    <t>SISTEMAS DE ABASTECIMENTO DE ÁGUA E COLETA DE ESGOTO</t>
  </si>
  <si>
    <t>ELLEN KRISTINE SILVA COSTA SOUZA</t>
  </si>
  <si>
    <t>GRAD.ADMINISTRAç.01</t>
  </si>
  <si>
    <t>ADMINISTRAçãO</t>
  </si>
  <si>
    <t>20221.02CIV20I.9MV</t>
  </si>
  <si>
    <t>GRAD.ECONOM.01</t>
  </si>
  <si>
    <t>ECONOMIA</t>
  </si>
  <si>
    <t>GRAD.HST.01</t>
  </si>
  <si>
    <t>HIGIENE E SEGURANçA DO TRABALHO</t>
  </si>
  <si>
    <t>LAURA REZENDE SOUZA</t>
  </si>
  <si>
    <t>GRAD.LA.02</t>
  </si>
  <si>
    <t>LEGISLAçãO AMBIENTAL</t>
  </si>
  <si>
    <t>GRAD.LIBRAS.04</t>
  </si>
  <si>
    <t>GRAD.MASU.02</t>
  </si>
  <si>
    <t>MEIO AMBIENTE E SUSTENTABILIDADE URBANA</t>
  </si>
  <si>
    <t>JUAREZ MARTINS RODRIGUES</t>
  </si>
  <si>
    <t>GRAD.PC.01</t>
  </si>
  <si>
    <t>PATOLOGIA DAS CONSTRUçõES</t>
  </si>
  <si>
    <t>GRAD.TC-I.01</t>
  </si>
  <si>
    <t>RV.ADM410</t>
  </si>
  <si>
    <t>20221.02COT11N.1N</t>
  </si>
  <si>
    <t>RV.CON001</t>
  </si>
  <si>
    <t>CONTABILIDADE GERAL</t>
  </si>
  <si>
    <t>RúBIA CRISTINA ARANTES MARQUES</t>
  </si>
  <si>
    <t>RV.CON002</t>
  </si>
  <si>
    <t>RV.CON003</t>
  </si>
  <si>
    <t>PROCESSOS DE CONSTITUIçãO DE EMPRESAS</t>
  </si>
  <si>
    <t>RAQUEL MARIA PRADO</t>
  </si>
  <si>
    <t>RV.CON006</t>
  </si>
  <si>
    <t>CONTABILIDADE NãO GOVERNAMENTAL</t>
  </si>
  <si>
    <t>20221.02COT11N.3N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</si>
  <si>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</si>
  <si>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</si>
  <si>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</si>
  <si>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</si>
  <si>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</si>
  <si>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</si>
  <si>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</si>
  <si>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</si>
  <si>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20221.02EAM20I.1MV</t>
  </si>
  <si>
    <t>GRAD.FMB.01</t>
  </si>
  <si>
    <t>FíSICA - MECâNICA BáSICA</t>
  </si>
  <si>
    <t>GRAD.GAAL.01</t>
  </si>
  <si>
    <t>GRAD.IEA.02</t>
  </si>
  <si>
    <t>INTRODUçãO à ENGENHARIA AMBIENTAL</t>
  </si>
  <si>
    <t>BRUNO DE OLIVEIRA COSTA COUTO</t>
  </si>
  <si>
    <t>GRAD.MC.04</t>
  </si>
  <si>
    <t>GRAD.BIOQ.02</t>
  </si>
  <si>
    <t>LUCAS ANJOS DE SOUZA; FLAVIA DE FIGUEIREDO MACHADO</t>
  </si>
  <si>
    <t>20221.02EAM20I.3MV</t>
  </si>
  <si>
    <t>GRAD.CLIMATOL.01</t>
  </si>
  <si>
    <t>CLIMATOLOGIA</t>
  </si>
  <si>
    <t>MARCONI BATISTA TEIXEIRA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</si>
  <si>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</si>
  <si>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</si>
  <si>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</si>
  <si>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</si>
  <si>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</si>
  <si>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</si>
  <si>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</si>
  <si>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</si>
  <si>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</si>
  <si>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TERMODINâMICA</t>
  </si>
  <si>
    <t>GRAD.FT.01</t>
  </si>
  <si>
    <t>FENôMENOS DE TRANSPORTE I</t>
  </si>
  <si>
    <t>20221.02EAM20I.5MV</t>
  </si>
  <si>
    <t>GRAD.GA.01</t>
  </si>
  <si>
    <t>GEOTECNIA AMBIENTAL</t>
  </si>
  <si>
    <t>GRAD.IIA.02</t>
  </si>
  <si>
    <t>INDICADORES DE IMPACTO AMBIENTAL</t>
  </si>
  <si>
    <t>GRAD.MC.03</t>
  </si>
  <si>
    <t>MéTODOS COMPUTACIONAIS I</t>
  </si>
  <si>
    <t>GRAD.SGAS.03</t>
  </si>
  <si>
    <t>SISTEMAS DE GESTãO AMBIENTAL E SéRIE ISO 14000</t>
  </si>
  <si>
    <t>GRAD.SP.02</t>
  </si>
  <si>
    <t>SAúDE PúBLICA</t>
  </si>
  <si>
    <t>GRAD.GRS.01</t>
  </si>
  <si>
    <t>GESTãO DE RESíDUOS SóLIDOS</t>
  </si>
  <si>
    <t>20221.02EAM20I.7MV</t>
  </si>
  <si>
    <t>GRAD.GUCE.02</t>
  </si>
  <si>
    <t>GESTãO DE UNIDADES DE CONSERVAçãO E ECOTURISMO</t>
  </si>
  <si>
    <t>GRAD.HA.01</t>
  </si>
  <si>
    <t>HIDROGEOLOGIA AMBIENTAL</t>
  </si>
  <si>
    <t>GRAD.SAA.01</t>
  </si>
  <si>
    <t>SISTEMAS DE ABASTECIMENTO DE ÁGUA</t>
  </si>
  <si>
    <t>GRAD.SES.01</t>
  </si>
  <si>
    <t>SISTEMAS DE ESGOTAMENTO SANITáRIO</t>
  </si>
  <si>
    <t>GRAD.SIG.01</t>
  </si>
  <si>
    <t>SISTEMAS DE INFORMAçõES GEOGRáFICAS</t>
  </si>
  <si>
    <t>GRAD.ADMINIST.01</t>
  </si>
  <si>
    <t>20221.02EAM20I.9MV</t>
  </si>
  <si>
    <t>GRAD.EP.02</t>
  </si>
  <si>
    <t>GRAD.GRH.01</t>
  </si>
  <si>
    <t>GESTãO DE RECURSOS HíDRICOS</t>
  </si>
  <si>
    <t>RV.BIO221</t>
  </si>
  <si>
    <t>BIOLOGIA AMBIENTAL</t>
  </si>
  <si>
    <t>20221.02EAM20I.TE.MV</t>
  </si>
  <si>
    <t>RV.TCC209</t>
  </si>
  <si>
    <t>RV.DTC001</t>
  </si>
  <si>
    <t>20221.02EDI11N.1N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</si>
  <si>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</si>
  <si>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</si>
  <si>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</si>
  <si>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</si>
  <si>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</si>
  <si>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</si>
  <si>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</si>
  <si>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RV.FDC001</t>
  </si>
  <si>
    <t>FUNDAçõES</t>
  </si>
  <si>
    <t>20221.02EDI11N.3N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</si>
  <si>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</si>
  <si>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</si>
  <si>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</si>
  <si>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</si>
  <si>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</si>
  <si>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</si>
  <si>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</si>
  <si>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</si>
  <si>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RV.PRO60</t>
  </si>
  <si>
    <t>20221.02EDI12N.1N</t>
  </si>
  <si>
    <t>RV.TADM12</t>
  </si>
  <si>
    <t>MATEMáTICA IV</t>
  </si>
  <si>
    <t>20221.02EDI12N.4N</t>
  </si>
  <si>
    <t>RV.PRO50</t>
  </si>
  <si>
    <t>BIOLOGIA I</t>
  </si>
  <si>
    <t>FáBIO HENRIQUE DYSZY</t>
  </si>
  <si>
    <t>20221.02EDI12N.5N</t>
  </si>
  <si>
    <t>RV.PRO41</t>
  </si>
  <si>
    <t>HISTóRIA II</t>
  </si>
  <si>
    <t>20221.02EDI12N.6N</t>
  </si>
  <si>
    <t>GRAD.ENQ.CDI-I.01</t>
  </si>
  <si>
    <t>20221.02ENQ20I.1MV</t>
  </si>
  <si>
    <t>GRAD.ENQ.FE.05</t>
  </si>
  <si>
    <t>FíSICA EXPERIMENTAL</t>
  </si>
  <si>
    <t>GRAD.ENQ.FIS-I.04</t>
  </si>
  <si>
    <t>GRAD.ENQ.GAAL.06</t>
  </si>
  <si>
    <t>GRAD.ENQ.IEQ.07</t>
  </si>
  <si>
    <t>INTRODUçãO à ENGENHARIA QUíMICA</t>
  </si>
  <si>
    <t>GRAD.ENQ.QE.03</t>
  </si>
  <si>
    <t>GRAD.ENQ.QG.02</t>
  </si>
  <si>
    <t>WESLEY RENATO VIALI</t>
  </si>
  <si>
    <t>GRAD.ENQ.FE-III.17</t>
  </si>
  <si>
    <t>20221.02ENQ20I.3MV</t>
  </si>
  <si>
    <t>GRAD.ENQ.FIS-III.27</t>
  </si>
  <si>
    <t>GRAD.ENQ.IOE.18</t>
  </si>
  <si>
    <t>GRAD.ENQ.QAQ.19</t>
  </si>
  <si>
    <t>QUíMICA ANALíTICA QUALITATIVA</t>
  </si>
  <si>
    <t>POLYANA FERNANDES PEREIRA</t>
  </si>
  <si>
    <t>GRAD.ENQ.BIOQ.28</t>
  </si>
  <si>
    <t>PAULO HENRIQUE MATAYOSHI CALIXTO; FLAVIA DE FIGUEIREDO MACHADO</t>
  </si>
  <si>
    <t>20221.02ENQ20I.5MV</t>
  </si>
  <si>
    <t>GRAD.ENQ.FQ-II.31</t>
  </si>
  <si>
    <t>FíSICO-QUíMICA II</t>
  </si>
  <si>
    <t>GRAD.ENQ.FT-II.30</t>
  </si>
  <si>
    <t>GRAD.ENQ.MC.33</t>
  </si>
  <si>
    <t>MéTODOS COMPUTACIONAIS</t>
  </si>
  <si>
    <t>GRAD.ENQ.QAI.32</t>
  </si>
  <si>
    <t>QUíMICA ANALíTICA INSTRUMENTAL</t>
  </si>
  <si>
    <t>ELOIZA DA SILVA NUNES; WESLEY RENATO VIALI</t>
  </si>
  <si>
    <t>GRAD.ENQ.TERM-I.29</t>
  </si>
  <si>
    <t>TERMODINâMICA I</t>
  </si>
  <si>
    <t>GRAD.ENQ.QO-I.14</t>
  </si>
  <si>
    <t>QUíMICA ORGâNICA I</t>
  </si>
  <si>
    <t>20221.02ENQ20I.TE.2MV</t>
  </si>
  <si>
    <t>RV.INF62</t>
  </si>
  <si>
    <t>INGLêS TéCNICO PARA INFORMáTICA</t>
  </si>
  <si>
    <t>20221.02INF11N.3N</t>
  </si>
  <si>
    <t>RV.INF63</t>
  </si>
  <si>
    <t>DESENVOLVIMENTO DE PROJETO FINAL I</t>
  </si>
  <si>
    <t>RV.INF94</t>
  </si>
  <si>
    <t>LINGUAGEM DE PROGRAMAçãO II</t>
  </si>
  <si>
    <t>RV.INF60</t>
  </si>
  <si>
    <t>DESENVOLVIMENTO DE PROJETO FINAL II</t>
  </si>
  <si>
    <t>20221.02INF11N.4N</t>
  </si>
  <si>
    <t>RV.INF88</t>
  </si>
  <si>
    <t>DESENVOLVIMENTO PARA DISPOSITIVOS MóVEIS</t>
  </si>
  <si>
    <t>RV.INF91</t>
  </si>
  <si>
    <t>20221.02QUI10N.1N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</si>
  <si>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</si>
  <si>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</si>
  <si>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</si>
  <si>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</si>
  <si>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</si>
  <si>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</si>
  <si>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LUCIANA CRISTINA VITORINO; FLAVIA DE FIGUEIREDO MACHADO</t>
  </si>
  <si>
    <t>RV.QUI735</t>
  </si>
  <si>
    <t>TéCNICAS DE LABORATóRIO E OTIMIZAçãO DE EXPERIMENTOS</t>
  </si>
  <si>
    <t>CELSO MARTINS BELISáRIO</t>
  </si>
  <si>
    <t>RV.QUI736</t>
  </si>
  <si>
    <t>EVOLUçãO DO CONCEITO DE QUíMICA</t>
  </si>
  <si>
    <t>RV.HUM805</t>
  </si>
  <si>
    <t>20221.02QUI10N.3N</t>
  </si>
  <si>
    <t>RV.QUI124</t>
  </si>
  <si>
    <t>PROCESSOS QUíMICOS INDUSTRIAIS</t>
  </si>
  <si>
    <t>RV.QUI728</t>
  </si>
  <si>
    <t>RV.QUI729</t>
  </si>
  <si>
    <t>FíSICO-QUíMICA</t>
  </si>
  <si>
    <t>CARLOS FREDERICO DE SOUZA CASTRO</t>
  </si>
  <si>
    <t>RV.QUI730</t>
  </si>
  <si>
    <t>ANáLISE INSTRUMENTAL</t>
  </si>
  <si>
    <t>RV.QUI733</t>
  </si>
  <si>
    <t>IMPACTOS E RISCOS AMBIENTAIS</t>
  </si>
  <si>
    <t>RV.TAL10</t>
  </si>
  <si>
    <t>20221.02QUI22N.1N</t>
  </si>
  <si>
    <t>GRAD.HQ.01</t>
  </si>
  <si>
    <t>HISTóRIA DA QUíMICA</t>
  </si>
  <si>
    <t>GRAD.QGE.02</t>
  </si>
  <si>
    <t>QUíMICA GERAL EXPERIMENTAL</t>
  </si>
  <si>
    <t>ANA CAROLINA RIBEIRO AGUIAR</t>
  </si>
  <si>
    <t>GRAD.QG-I.01</t>
  </si>
  <si>
    <t>QUíMICA GERAL I</t>
  </si>
  <si>
    <t>GRAD.FGE-I.01</t>
  </si>
  <si>
    <t>FíSICA GERAL E EXPERIMENTAL I</t>
  </si>
  <si>
    <t>20221.02QUI22N.3N</t>
  </si>
  <si>
    <t>GRAD.FQ.02</t>
  </si>
  <si>
    <t>GRAD.FQIIE.01</t>
  </si>
  <si>
    <t>FíSICO-QUíMICA II EXPERIMENTAL</t>
  </si>
  <si>
    <t>GRAD.PAFQ.01</t>
  </si>
  <si>
    <t>PRáTICAS ACADêMICAS DE FíSICO-QUíMICA</t>
  </si>
  <si>
    <t>GRAD.QAQ.02</t>
  </si>
  <si>
    <t>GRAD.FQ-III.01</t>
  </si>
  <si>
    <t>FíSICO-QUíMICA III</t>
  </si>
  <si>
    <t>20221.02QUI22N.5N</t>
  </si>
  <si>
    <t>GRAD.PAQAQ.02</t>
  </si>
  <si>
    <t>PRáTICAS ACADêMICAS DE QUíMICA ANALíTICA QUANTITATIVA</t>
  </si>
  <si>
    <t>GRAD.QI-I.01</t>
  </si>
  <si>
    <t>QUíMICA INORGâNICA I</t>
  </si>
  <si>
    <t>20221.02QUI22N.7N</t>
  </si>
  <si>
    <t>GRAD.PAQO.01</t>
  </si>
  <si>
    <t>PRáTICAS ACADêMICAS DE QUíMICA ORGâNICA</t>
  </si>
  <si>
    <t>GRAD.QOE.01</t>
  </si>
  <si>
    <t>QUíMICA ORGâNICA EXPERIMENTAL</t>
  </si>
  <si>
    <t>GRAD.QO-II.01</t>
  </si>
  <si>
    <t>QUíMICA ORGâNICA II</t>
  </si>
  <si>
    <t>20221.02SAM21N.5N</t>
  </si>
  <si>
    <t>GRAD.SAAES.01</t>
  </si>
  <si>
    <t>SISTEMAS DE ABASTECIMENTO DE ÁGUA E ESGOTAMENTO SANITáRIO</t>
  </si>
  <si>
    <t>GRAD.TAR-I.01</t>
  </si>
  <si>
    <t>TRATAMENTO DE ÁGUAS RESIDUáRIAS I</t>
  </si>
  <si>
    <t>GRAD.TCAA.01</t>
  </si>
  <si>
    <t>TRATAMENTO CONVENCIONAL DE ÁGUA DE ABASTECIMENTO</t>
  </si>
  <si>
    <t>RV.GAM236</t>
  </si>
  <si>
    <t>POLUIçãO INDUSTRIAL</t>
  </si>
  <si>
    <t>LUCAS PERES ANGELINI; BRUNO DE OLIVEIRA COSTA COUTO</t>
  </si>
  <si>
    <t>20221.02SAM21N.TE-2016.3N</t>
  </si>
  <si>
    <t>20221.02SAM21N.TE-2018.3N</t>
  </si>
  <si>
    <t>GRAD.POLAGU.01</t>
  </si>
  <si>
    <t>POLUIçãO DA ÁGUA</t>
  </si>
  <si>
    <t>GRAD.PSA.01</t>
  </si>
  <si>
    <t>POLUIçãO DO SOLO E ATMOSFéRICA</t>
  </si>
  <si>
    <t>CTSTRARV.1</t>
  </si>
  <si>
    <t>SEGURANçA DO TRABALHO I</t>
  </si>
  <si>
    <t>20221.02SGT11N.1N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</si>
  <si>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</si>
  <si>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</si>
  <si>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</si>
  <si>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</si>
  <si>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</si>
  <si>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</si>
  <si>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</si>
  <si>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</si>
  <si>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</si>
  <si>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</si>
  <si>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CTSTRARV.19</t>
  </si>
  <si>
    <t>PREVENçãO E CONTROLE DE RISCO</t>
  </si>
  <si>
    <t>20221.02SGT11N.3N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</si>
  <si>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</si>
  <si>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</si>
  <si>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</si>
  <si>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</si>
  <si>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</si>
  <si>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</si>
  <si>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</si>
  <si>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</si>
  <si>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</si>
  <si>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</si>
  <si>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</si>
  <si>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</si>
  <si>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RV.ZOO219</t>
  </si>
  <si>
    <t>JULGAMENTO E PREPARO DE ANIMAIS PARA EXPOSIçãO</t>
  </si>
  <si>
    <t>20221.02ZOO20I.10MV</t>
  </si>
  <si>
    <t>GRAD.ANATANIM.01</t>
  </si>
  <si>
    <t>ANATOMIA ANIMAL</t>
  </si>
  <si>
    <t>20221.02ZOO20I.1MV</t>
  </si>
  <si>
    <t>GRAD.IZ.01</t>
  </si>
  <si>
    <t>INTRODUçãO à ZOOTECNIA</t>
  </si>
  <si>
    <t>ELIS APARECIDO BENTO</t>
  </si>
  <si>
    <t>CIBELE SILVA MINAFRA</t>
  </si>
  <si>
    <t>20221.02ZOO20I.3MV</t>
  </si>
  <si>
    <t>GRAD.HEA.01</t>
  </si>
  <si>
    <t>HISTOLOGIA E EMBRIOLOGIA ANIMAL</t>
  </si>
  <si>
    <t>GRAD.MAA.01</t>
  </si>
  <si>
    <t>MECANIZAçãO AGRíCOLA APLICADA</t>
  </si>
  <si>
    <t>GRAD.MCSA.03</t>
  </si>
  <si>
    <t>MANEJO E CONSERVAçãO DO SOLO E ÁGUA</t>
  </si>
  <si>
    <t>GRAD.PARASITOLOG.01</t>
  </si>
  <si>
    <t>GRAD.ALIMA.01</t>
  </si>
  <si>
    <t>ALIMENTOS E ALIMENTAçãO</t>
  </si>
  <si>
    <t>20221.02ZOO20I.5MV</t>
  </si>
  <si>
    <t>GRAD.BIOCLIMAT.01</t>
  </si>
  <si>
    <t>BIOCLIMATOLOGIA</t>
  </si>
  <si>
    <t>ANA PAULA CARDOSO GOMIDE</t>
  </si>
  <si>
    <t>GRAD.BROMATOL.01</t>
  </si>
  <si>
    <t>BROMATOLOGIA</t>
  </si>
  <si>
    <t>KáTIA CYLENE GUIMARãES</t>
  </si>
  <si>
    <t>GRAD.FORRAGICULT.01</t>
  </si>
  <si>
    <t>GRAD.HPA.01</t>
  </si>
  <si>
    <t>HIGIENE E PROFILAXIA ANIMAL</t>
  </si>
  <si>
    <t>GRAD.MGA.01</t>
  </si>
  <si>
    <t>MELHORAMENTO GENéTICO ANIMAL</t>
  </si>
  <si>
    <t>GRAD.ANIMCOMP.01</t>
  </si>
  <si>
    <t>ANIMAIS DE COMPANHIA</t>
  </si>
  <si>
    <t>FABIANA RAMOS DOS SANTOS</t>
  </si>
  <si>
    <t>20221.02ZOO20I.7MV</t>
  </si>
  <si>
    <t>GRAD.AQUICULT.01</t>
  </si>
  <si>
    <t>AQUICULTURA</t>
  </si>
  <si>
    <t>GRAD.EQUIDEOCULT.01</t>
  </si>
  <si>
    <t>EQUIDEOCULTURA</t>
  </si>
  <si>
    <t>GRAD.FRPNR.01</t>
  </si>
  <si>
    <t>FORMULAçãO DE RAçãO PARA NãO RUMINANTES</t>
  </si>
  <si>
    <t>GRAD.FRPR.01</t>
  </si>
  <si>
    <t>FORMULAçãO DE RAçãO PARA RUMINANTES</t>
  </si>
  <si>
    <t>GRAD.GN.01</t>
  </si>
  <si>
    <t>GESTãO DE NEGóCIOS</t>
  </si>
  <si>
    <t>GRAD.TPOA.01</t>
  </si>
  <si>
    <t>TECNOLOGIA DE PRODUTOS DE ORIGEM ANIMAL</t>
  </si>
  <si>
    <t>MARCO ANTôNIO PEREIRA DA SILVA</t>
  </si>
  <si>
    <t>GRAD.AVICULT.01</t>
  </si>
  <si>
    <t>AVICULTURA</t>
  </si>
  <si>
    <t>20221.02ZOO20I.9MV</t>
  </si>
  <si>
    <t>GRAD.BL.01</t>
  </si>
  <si>
    <t>BOVINOCULTURA DE LEITE</t>
  </si>
  <si>
    <t>GRAD.EMPREEDAGRO.01</t>
  </si>
  <si>
    <t>EMPREENDEDORISMO NO AGRONEGóCIO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</si>
  <si>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</si>
  <si>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</si>
  <si>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</si>
  <si>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</si>
  <si>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</si>
  <si>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</si>
  <si>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</si>
  <si>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</si>
  <si>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</si>
  <si>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</si>
  <si>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</si>
  <si>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</si>
  <si>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</si>
  <si>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</si>
  <si>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</si>
  <si>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</si>
  <si>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</si>
  <si>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</si>
  <si>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</si>
  <si>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</si>
  <si>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</si>
  <si>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</si>
  <si>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</si>
  <si>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</si>
  <si>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</si>
  <si>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</si>
  <si>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</si>
  <si>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</si>
  <si>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</si>
  <si>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</si>
  <si>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</si>
  <si>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</si>
  <si>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</si>
  <si>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</si>
  <si>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</si>
  <si>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</si>
  <si>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</si>
  <si>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</si>
  <si>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</si>
  <si>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</si>
  <si>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</si>
  <si>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</si>
  <si>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</si>
  <si>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</si>
  <si>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</si>
  <si>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</si>
  <si>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</si>
  <si>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</si>
  <si>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</si>
  <si>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</si>
  <si>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</si>
  <si>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</si>
  <si>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</si>
  <si>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</si>
  <si>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</si>
  <si>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</si>
  <si>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</si>
  <si>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</si>
  <si>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</si>
  <si>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</si>
  <si>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</si>
  <si>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</si>
  <si>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</si>
  <si>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</si>
  <si>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</si>
  <si>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</si>
  <si>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</si>
  <si>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</si>
  <si>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</si>
  <si>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</si>
  <si>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</si>
  <si>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</si>
  <si>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</si>
  <si>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</si>
  <si>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</si>
  <si>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</si>
  <si>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</si>
  <si>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</si>
  <si>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</si>
  <si>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</si>
  <si>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</si>
  <si>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</si>
  <si>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</si>
  <si>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</si>
  <si>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</si>
  <si>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</si>
  <si>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</si>
  <si>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</si>
  <si>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</si>
  <si>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</si>
  <si>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</si>
  <si>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</si>
  <si>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</si>
  <si>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</si>
  <si>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</si>
  <si>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</si>
  <si>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</si>
  <si>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</si>
  <si>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</si>
  <si>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</si>
  <si>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</si>
  <si>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</si>
  <si>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</si>
  <si>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</si>
  <si>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</si>
  <si>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</si>
  <si>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</si>
  <si>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</si>
  <si>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</si>
  <si>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</si>
  <si>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</si>
  <si>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</si>
  <si>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</si>
  <si>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</si>
  <si>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</si>
  <si>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</si>
  <si>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</si>
  <si>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</si>
  <si>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</si>
  <si>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</si>
  <si>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</si>
  <si>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</si>
  <si>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</si>
  <si>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</si>
  <si>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</si>
  <si>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</si>
  <si>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</si>
  <si>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</si>
  <si>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</si>
  <si>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</si>
  <si>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</si>
  <si>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</si>
  <si>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</si>
  <si>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</si>
  <si>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</si>
  <si>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</si>
  <si>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</si>
  <si>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</si>
  <si>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</si>
  <si>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</si>
  <si>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</si>
  <si>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</si>
  <si>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</si>
  <si>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</si>
  <si>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</si>
  <si>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</si>
  <si>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</si>
  <si>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</si>
  <si>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</si>
  <si>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</si>
  <si>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</si>
  <si>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</si>
  <si>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</si>
  <si>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</si>
  <si>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</si>
  <si>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</si>
  <si>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</si>
  <si>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</si>
  <si>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</si>
  <si>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</si>
  <si>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</si>
  <si>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</si>
  <si>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</si>
  <si>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</si>
  <si>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</si>
  <si>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</si>
  <si>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</si>
  <si>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</si>
  <si>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</si>
  <si>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</si>
  <si>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</si>
  <si>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</si>
  <si>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</si>
  <si>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</si>
  <si>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</si>
  <si>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</si>
  <si>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</si>
  <si>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</si>
  <si>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</si>
  <si>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</si>
  <si>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</si>
  <si>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</si>
  <si>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</si>
  <si>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</si>
  <si>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</si>
  <si>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</si>
  <si>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</si>
  <si>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</si>
  <si>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</si>
  <si>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</si>
  <si>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</si>
  <si>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</si>
  <si>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</si>
  <si>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</si>
  <si>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</si>
  <si>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</si>
  <si>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</si>
  <si>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</si>
  <si>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</si>
  <si>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</si>
  <si>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</si>
  <si>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</si>
  <si>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</si>
  <si>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</si>
  <si>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</si>
  <si>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</si>
  <si>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</si>
  <si>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</si>
  <si>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</si>
  <si>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</si>
  <si>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</si>
  <si>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</si>
  <si>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</si>
  <si>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</si>
  <si>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</si>
  <si>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</si>
  <si>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</si>
  <si>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</si>
  <si>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</si>
  <si>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</si>
  <si>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</si>
  <si>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Nome</t>
  </si>
  <si>
    <t xml:space="preserve">Periodo </t>
  </si>
  <si>
    <t>Técnico em Administração (Primeiro Noturno)</t>
  </si>
  <si>
    <t>Noite</t>
  </si>
  <si>
    <t>Técnico em Administração (Terceiro Noturno)</t>
  </si>
  <si>
    <t>PROEJA Adminstração (Primeiro Noturno)</t>
  </si>
  <si>
    <t>PROEJA Adminstração (Quarto Noturno)</t>
  </si>
  <si>
    <t>PROEJA Adminstração (Quinto Noturno)</t>
  </si>
  <si>
    <t>PROEJA Adminstração (Sexto Noturno)</t>
  </si>
  <si>
    <t>PROEJA Adminstração (Setimo Noturno)</t>
  </si>
  <si>
    <t>Administração (Primeiro Noturno)</t>
  </si>
  <si>
    <t>Administração (Terceiro Noturno)</t>
  </si>
  <si>
    <t>Administração (Quinto Noturno)</t>
  </si>
  <si>
    <t>Administração (Setimo Noturno)</t>
  </si>
  <si>
    <t>Agronegócio (Sexto Noturno)</t>
  </si>
  <si>
    <t>Técnico em Agropecuária (Primeiro Periodo)</t>
  </si>
  <si>
    <t>Manhã</t>
  </si>
  <si>
    <t>Técnico em Agropecuária (Terceiro Periodo)</t>
  </si>
  <si>
    <t>Tarde</t>
  </si>
  <si>
    <t>Agronomia (Decimo Periodo)</t>
  </si>
  <si>
    <t>Agronomia (Primeiro Periodo)</t>
  </si>
  <si>
    <t>Agronomia (Segundo Periodo)</t>
  </si>
  <si>
    <t>Agronomia (Terceiro Periodo)</t>
  </si>
  <si>
    <t>Agronomia (Quarto Periodo)</t>
  </si>
  <si>
    <t>Agronomia (Quinto Periodo)</t>
  </si>
  <si>
    <t>Agronomia (Setimo Periodo)</t>
  </si>
  <si>
    <t>Agronomia (Nono Periodo)</t>
  </si>
  <si>
    <t>Agronomia (Turma Especial 2010)</t>
  </si>
  <si>
    <t>Agronomia (Turma Especial 2018)</t>
  </si>
  <si>
    <t>Técnico em Alimentos (Primeiro Noturno)</t>
  </si>
  <si>
    <t>Técnico em Alimentos (Terceiro Noturno)</t>
  </si>
  <si>
    <t>Engenharia de Alimentos (Primeiro Periodo)</t>
  </si>
  <si>
    <t>Engenharia de Alimentos (Terceiro Periodo)</t>
  </si>
  <si>
    <t>Engenharia de Alimentos (Quinto Periodo)</t>
  </si>
  <si>
    <t>Engenharia de Alimentos (Setimo Periodo)</t>
  </si>
  <si>
    <t>Engenharia de Alimentos (Nono Periodo)</t>
  </si>
  <si>
    <t>Engenharia de Alimentos (Segundo Periodo)</t>
  </si>
  <si>
    <t>Ciências Biológicas (licenciatura) (Primeiro Noturno)</t>
  </si>
  <si>
    <t>Ciências Biológicas (licenciatura) (Terceiro Noturno)</t>
  </si>
  <si>
    <t>Ciências Biológicas (licenciatura) (Quinto Noturno)</t>
  </si>
  <si>
    <t>Ciências Biológicas (licenciatura) (Setimo Noturno)</t>
  </si>
  <si>
    <t>Ciências Biológicas (bacharelado) (Primeiro Periodo)</t>
  </si>
  <si>
    <t>Ciências Biológicas (bacharelado) (Terceiro Periodo)</t>
  </si>
  <si>
    <t>Ciências Biológicas (bacharelado) (Quinto Periodo)</t>
  </si>
  <si>
    <t>Ciências Biológicas (bacharelado) (Setimo Periodo)</t>
  </si>
  <si>
    <t>Ciências Biológicas (bacharelado) (Oitavo Periodo)</t>
  </si>
  <si>
    <t>Técnico em Biotecnologia (Primeiro Noturno)</t>
  </si>
  <si>
    <t>Técnico em Biotecnologia (Terceiro Noturno)</t>
  </si>
  <si>
    <t>Ciência da Computação (Primeiro Periodo)</t>
  </si>
  <si>
    <t>Ciência da Computação (Terceiro Periodo)</t>
  </si>
  <si>
    <t>Ciência da Computação (Quinto Periodo)</t>
  </si>
  <si>
    <t>Ciência da Computação (Setimo Periodo)</t>
  </si>
  <si>
    <t>Engenharia Civil (Primeiro Periodo)</t>
  </si>
  <si>
    <t>Engenharia Civil (Terceiro Periodo)</t>
  </si>
  <si>
    <t>Engenharia Civil (Quinto Periodo)</t>
  </si>
  <si>
    <t>Engenharia Civil (Setimo Periodo)</t>
  </si>
  <si>
    <t>Engenharia Civil (Nono Periodo)</t>
  </si>
  <si>
    <t>Técnico em Contabilidade (Primeiro Noturno)</t>
  </si>
  <si>
    <t>Técnico em Contabilidade (Terceiro Noturno)</t>
  </si>
  <si>
    <t>Engenharia Ambiental (Primeiro Periodo)</t>
  </si>
  <si>
    <t>Engenharia Ambiental (Terceiro Periodo)</t>
  </si>
  <si>
    <t>Engenharia Ambiental (Quinto Periodo)</t>
  </si>
  <si>
    <t>Engenharia Ambiental (Setimo Periodo)</t>
  </si>
  <si>
    <t>Engenharia Ambiental (Nono Periodo)</t>
  </si>
  <si>
    <t>Engenharia Ambiental (Esturma Especial)</t>
  </si>
  <si>
    <t>Técnico em Edificações (Primeiro Noturno)</t>
  </si>
  <si>
    <t>Técnico em Edificações (Terceiro Noturno)</t>
  </si>
  <si>
    <t>PROEJA Edificações (Primeiro Noturno)</t>
  </si>
  <si>
    <t>PROEJA Edificações (Quarto Noturno)</t>
  </si>
  <si>
    <t>PROEJA Edificações (Quinto Noturno)</t>
  </si>
  <si>
    <t>PROEJA Edificações (Sexto Noturno)</t>
  </si>
  <si>
    <t>Engenharia Química (Primeiro Periodo)</t>
  </si>
  <si>
    <t>Engenharia Química (Terceiro Periodo)</t>
  </si>
  <si>
    <t>Engenharia Química (Quinto Periodo)</t>
  </si>
  <si>
    <t>Engenharia Química (Segundo Periodo)</t>
  </si>
  <si>
    <t>Técnico em Informática (Terceiro Noturno)</t>
  </si>
  <si>
    <t>Técnico em Informática (Quarto Noturno)</t>
  </si>
  <si>
    <t>Técnico em Química (Primeiro Noturno)</t>
  </si>
  <si>
    <t>Técnico em Química (Terceiro Noturno)</t>
  </si>
  <si>
    <t>Química (Primeiro Noturno)</t>
  </si>
  <si>
    <t>Química (Terceiro Noturno)</t>
  </si>
  <si>
    <t>Química (Quinto Noturno)</t>
  </si>
  <si>
    <t>Química (Setimo Noturno)</t>
  </si>
  <si>
    <t>Saneamento Ambiental (Quinto Noturno)</t>
  </si>
  <si>
    <t>Saneamento Ambiental (Terceiro Noturno)</t>
  </si>
  <si>
    <t>Técnico em Segurança do Trabalho (Primeiro Noturno)</t>
  </si>
  <si>
    <t>Técnico em Segurança do Trabalho (Terceiro Noturno)</t>
  </si>
  <si>
    <t>Zootecnia (Decimo Periodo)</t>
  </si>
  <si>
    <t>Zootecnia (Primeiro Periodo)</t>
  </si>
  <si>
    <t>Zootecnia (Terceiro Periodo)</t>
  </si>
  <si>
    <t>Zootecnia (Quinto Periodo)</t>
  </si>
  <si>
    <t>Zootecnia (Setimo Periodo)</t>
  </si>
  <si>
    <t>Zootecnia (Nono Periodo)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</si>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</sst>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9" fontId="1" numFmtId="0" xfId="0" applyAlignment="1" applyFill="1" applyFont="1">
      <alignment horizontal="left" vertical="bottom"/>
    </xf>
    <xf borderId="1" fillId="9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horizontal="left"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9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9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ont="1">
      <alignment horizontal="left"/>
    </xf>
    <xf borderId="0" fillId="5" fontId="1" numFmtId="49" xfId="0" applyFont="1" applyNumberFormat="1"/>
    <xf borderId="1" fillId="10" fontId="2" numFmtId="49" xfId="0" applyAlignment="1" applyBorder="1" applyFill="1" applyFont="1" applyNumberFormat="1">
      <alignment readingOrder="0"/>
    </xf>
    <xf borderId="1" fillId="1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6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7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14"/>
    <col customWidth="1" min="2" max="2" width="22.71"/>
    <col customWidth="1" min="3" max="3" width="61.57"/>
    <col customWidth="1" min="4" max="4" width="54.14"/>
    <col customWidth="1" min="5" max="5" width="24.29"/>
    <col customWidth="1" min="6" max="6" width="10.86"/>
    <col customWidth="1" min="7" max="7" width="6.71"/>
    <col customWidth="1" min="8" max="8" width="9.14"/>
    <col customWidth="1" min="9" max="11" width="7.29"/>
    <col customWidth="1" min="12" max="17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9">
        <v>183444.0</v>
      </c>
      <c r="B2" s="9" t="s">
        <v>17</v>
      </c>
      <c r="C2" s="10" t="s">
        <v>18</v>
      </c>
      <c r="D2" s="11" t="s">
        <v>19</v>
      </c>
      <c r="E2" s="12" t="s">
        <v>20</v>
      </c>
      <c r="F2" s="13" t="str">
        <f t="array" ref="F2">INDEX(Turmas!D2:D106,MATCH(E2,Turmas!A2:A106,0))</f>
        <v>Noite</v>
      </c>
      <c r="G2" s="14">
        <v>0.0</v>
      </c>
      <c r="H2" s="15">
        <v>2.0</v>
      </c>
      <c r="I2" s="15">
        <v>0.0</v>
      </c>
      <c r="J2" s="15">
        <v>2.0</v>
      </c>
      <c r="K2" s="15">
        <f t="shared" ref="K2:K458" si="1">IFS(H2 &lt; J2*2,1, ISODD(MOD(H2,J2)), FLOOR(H2/J2,1),ISEVEN(MOD(H2,J2)), H2/J2)</f>
        <v>1</v>
      </c>
      <c r="L2" s="16" t="str">
        <f t="shared" ref="L2:L458" si="2">ifs(F2 = "Manhã", "7-16", F2 = "Tarde", "1-6,13-16", F2 = "Noite", "1-12", F2 = "Integral", "13-16")</f>
        <v>1-12</v>
      </c>
      <c r="M2" s="16" t="str">
        <f t="shared" ref="M2:M458" si="3">ifs(F2 = "Manhã", "7-16", F2 = "Tarde", "1-6,13-16", F2 = "Noite", "1-12", F2 = "Integral", "13-16")</f>
        <v>1-12</v>
      </c>
      <c r="N2" s="16" t="str">
        <f t="shared" ref="N2:N458" si="4">ifs(F2 = "Manhã", "7-16", F2 = "Tarde", "1-6,13-16", F2 = "Noite", "1-12", F2 = "Integral", "13-16")</f>
        <v>1-12</v>
      </c>
      <c r="O2" s="16" t="str">
        <f t="shared" ref="O2:O458" si="5">ifs(F2 = "Manhã", "7-16", F2 = "Tarde", "1-6,13-16", F2 = "Noite", "1-12", F2 = "Integral", "13-16")</f>
        <v>1-12</v>
      </c>
      <c r="P2" s="16" t="str">
        <f t="shared" ref="P2:P458" si="6">ifs(F2 = "Manhã", "7-16", F2 = "Tarde", "1-6,13-16", F2 = "Noite", "1-12", F2 = "Integral", "13-16")</f>
        <v>1-12</v>
      </c>
      <c r="Q2" s="16" t="str">
        <f t="shared" ref="Q2:Q458" si="7">ifs(F2 = "Manhã", "1-16", F2 = "Tarde", "1-16", F2 = "Noite", "0", F2 = "Integral", "1-16")</f>
        <v>0</v>
      </c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9">
        <v>183441.0</v>
      </c>
      <c r="B3" s="9" t="s">
        <v>21</v>
      </c>
      <c r="C3" s="10" t="s">
        <v>22</v>
      </c>
      <c r="D3" s="11" t="s">
        <v>23</v>
      </c>
      <c r="E3" s="12" t="s">
        <v>20</v>
      </c>
      <c r="F3" s="13" t="str">
        <f t="array" ref="F3">INDEX(Turmas!D2:D106,MATCH(E3,Turmas!A2:A106,0))</f>
        <v>Noite</v>
      </c>
      <c r="G3" s="14">
        <v>0.0</v>
      </c>
      <c r="H3" s="15">
        <v>2.0</v>
      </c>
      <c r="I3" s="15">
        <v>0.0</v>
      </c>
      <c r="J3" s="15">
        <v>2.0</v>
      </c>
      <c r="K3" s="15">
        <f t="shared" si="1"/>
        <v>1</v>
      </c>
      <c r="L3" s="16" t="str">
        <f t="shared" si="2"/>
        <v>1-12</v>
      </c>
      <c r="M3" s="16" t="str">
        <f t="shared" si="3"/>
        <v>1-12</v>
      </c>
      <c r="N3" s="16" t="str">
        <f t="shared" si="4"/>
        <v>1-12</v>
      </c>
      <c r="O3" s="16" t="str">
        <f t="shared" si="5"/>
        <v>1-12</v>
      </c>
      <c r="P3" s="16" t="str">
        <f t="shared" si="6"/>
        <v>1-12</v>
      </c>
      <c r="Q3" s="16" t="str">
        <f t="shared" si="7"/>
        <v>0</v>
      </c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9">
        <v>183439.0</v>
      </c>
      <c r="B4" s="9" t="s">
        <v>24</v>
      </c>
      <c r="C4" s="10" t="s">
        <v>25</v>
      </c>
      <c r="D4" s="11" t="s">
        <v>26</v>
      </c>
      <c r="E4" s="12" t="s">
        <v>20</v>
      </c>
      <c r="F4" s="13" t="str">
        <f t="array" ref="F4">INDEX(Turmas!D2:D106,MATCH(E4,Turmas!A2:A106,0))</f>
        <v>Noite</v>
      </c>
      <c r="G4" s="14">
        <v>0.0</v>
      </c>
      <c r="H4" s="15">
        <v>2.0</v>
      </c>
      <c r="I4" s="15">
        <v>0.0</v>
      </c>
      <c r="J4" s="15">
        <v>2.0</v>
      </c>
      <c r="K4" s="15">
        <f t="shared" si="1"/>
        <v>1</v>
      </c>
      <c r="L4" s="16" t="str">
        <f t="shared" si="2"/>
        <v>1-12</v>
      </c>
      <c r="M4" s="16" t="str">
        <f t="shared" si="3"/>
        <v>1-12</v>
      </c>
      <c r="N4" s="16" t="str">
        <f t="shared" si="4"/>
        <v>1-12</v>
      </c>
      <c r="O4" s="16" t="str">
        <f t="shared" si="5"/>
        <v>1-12</v>
      </c>
      <c r="P4" s="16" t="str">
        <f t="shared" si="6"/>
        <v>1-12</v>
      </c>
      <c r="Q4" s="16" t="str">
        <f t="shared" si="7"/>
        <v>0</v>
      </c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">
        <v>183445.0</v>
      </c>
      <c r="B5" s="9" t="s">
        <v>27</v>
      </c>
      <c r="C5" s="10" t="s">
        <v>28</v>
      </c>
      <c r="D5" s="11" t="s">
        <v>29</v>
      </c>
      <c r="E5" s="12" t="s">
        <v>20</v>
      </c>
      <c r="F5" s="13" t="str">
        <f t="array" ref="F5">INDEX(Turmas!D2:D106,MATCH(E5,Turmas!A2:A106,0))</f>
        <v>Noite</v>
      </c>
      <c r="G5" s="14">
        <v>0.0</v>
      </c>
      <c r="H5" s="15">
        <v>2.0</v>
      </c>
      <c r="I5" s="15">
        <v>0.0</v>
      </c>
      <c r="J5" s="15">
        <v>2.0</v>
      </c>
      <c r="K5" s="15">
        <f t="shared" si="1"/>
        <v>1</v>
      </c>
      <c r="L5" s="16" t="str">
        <f t="shared" si="2"/>
        <v>1-12</v>
      </c>
      <c r="M5" s="16" t="str">
        <f t="shared" si="3"/>
        <v>1-12</v>
      </c>
      <c r="N5" s="16" t="str">
        <f t="shared" si="4"/>
        <v>1-12</v>
      </c>
      <c r="O5" s="16" t="str">
        <f t="shared" si="5"/>
        <v>1-12</v>
      </c>
      <c r="P5" s="16" t="str">
        <f t="shared" si="6"/>
        <v>1-12</v>
      </c>
      <c r="Q5" s="16" t="str">
        <f t="shared" si="7"/>
        <v>0</v>
      </c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">
        <v>183442.0</v>
      </c>
      <c r="B6" s="9" t="s">
        <v>30</v>
      </c>
      <c r="C6" s="10" t="s">
        <v>31</v>
      </c>
      <c r="D6" s="11" t="s">
        <v>32</v>
      </c>
      <c r="E6" s="12" t="s">
        <v>20</v>
      </c>
      <c r="F6" s="13" t="str">
        <f t="array" ref="F6">INDEX(Turmas!D2:D106,MATCH(E6,Turmas!A2:A106,0))</f>
        <v>Noite</v>
      </c>
      <c r="G6" s="14">
        <v>0.0</v>
      </c>
      <c r="H6" s="15">
        <v>4.0</v>
      </c>
      <c r="I6" s="15">
        <v>0.0</v>
      </c>
      <c r="J6" s="15">
        <v>4.0</v>
      </c>
      <c r="K6" s="15">
        <f t="shared" si="1"/>
        <v>1</v>
      </c>
      <c r="L6" s="16" t="str">
        <f t="shared" si="2"/>
        <v>1-12</v>
      </c>
      <c r="M6" s="16" t="str">
        <f t="shared" si="3"/>
        <v>1-12</v>
      </c>
      <c r="N6" s="16" t="str">
        <f t="shared" si="4"/>
        <v>1-12</v>
      </c>
      <c r="O6" s="16" t="str">
        <f t="shared" si="5"/>
        <v>1-12</v>
      </c>
      <c r="P6" s="16" t="str">
        <f t="shared" si="6"/>
        <v>1-12</v>
      </c>
      <c r="Q6" s="16" t="str">
        <f t="shared" si="7"/>
        <v>0</v>
      </c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">
        <v>183443.0</v>
      </c>
      <c r="B7" s="9" t="s">
        <v>33</v>
      </c>
      <c r="C7" s="10" t="s">
        <v>34</v>
      </c>
      <c r="D7" s="11" t="s">
        <v>35</v>
      </c>
      <c r="E7" s="12" t="s">
        <v>20</v>
      </c>
      <c r="F7" s="13" t="str">
        <f t="array" ref="F7">INDEX(Turmas!D2:D106,MATCH(E7,Turmas!A2:A106,0))</f>
        <v>Noite</v>
      </c>
      <c r="G7" s="14">
        <v>0.0</v>
      </c>
      <c r="H7" s="15">
        <v>4.0</v>
      </c>
      <c r="I7" s="15">
        <v>0.0</v>
      </c>
      <c r="J7" s="15">
        <v>2.0</v>
      </c>
      <c r="K7" s="15">
        <f t="shared" si="1"/>
        <v>2</v>
      </c>
      <c r="L7" s="16" t="str">
        <f t="shared" si="2"/>
        <v>1-12</v>
      </c>
      <c r="M7" s="16" t="str">
        <f t="shared" si="3"/>
        <v>1-12</v>
      </c>
      <c r="N7" s="16" t="str">
        <f t="shared" si="4"/>
        <v>1-12</v>
      </c>
      <c r="O7" s="16" t="str">
        <f t="shared" si="5"/>
        <v>1-12</v>
      </c>
      <c r="P7" s="16" t="str">
        <f t="shared" si="6"/>
        <v>1-12</v>
      </c>
      <c r="Q7" s="16" t="str">
        <f t="shared" si="7"/>
        <v>0</v>
      </c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">
        <v>183440.0</v>
      </c>
      <c r="B8" s="9" t="s">
        <v>36</v>
      </c>
      <c r="C8" s="10" t="s">
        <v>37</v>
      </c>
      <c r="D8" s="11" t="s">
        <v>32</v>
      </c>
      <c r="E8" s="12" t="s">
        <v>20</v>
      </c>
      <c r="F8" s="13" t="str">
        <f t="array" ref="F8">INDEX(Turmas!D2:D106,MATCH(E8,Turmas!A2:A106,0))</f>
        <v>Noite</v>
      </c>
      <c r="G8" s="14">
        <v>0.0</v>
      </c>
      <c r="H8" s="15">
        <v>2.0</v>
      </c>
      <c r="I8" s="15">
        <v>0.0</v>
      </c>
      <c r="J8" s="15">
        <v>2.0</v>
      </c>
      <c r="K8" s="15">
        <f t="shared" si="1"/>
        <v>1</v>
      </c>
      <c r="L8" s="16" t="str">
        <f t="shared" si="2"/>
        <v>1-12</v>
      </c>
      <c r="M8" s="16" t="str">
        <f t="shared" si="3"/>
        <v>1-12</v>
      </c>
      <c r="N8" s="16" t="str">
        <f t="shared" si="4"/>
        <v>1-12</v>
      </c>
      <c r="O8" s="16" t="str">
        <f t="shared" si="5"/>
        <v>1-12</v>
      </c>
      <c r="P8" s="16" t="str">
        <f t="shared" si="6"/>
        <v>1-12</v>
      </c>
      <c r="Q8" s="16" t="str">
        <f t="shared" si="7"/>
        <v>0</v>
      </c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">
        <v>183447.0</v>
      </c>
      <c r="B9" s="9" t="s">
        <v>38</v>
      </c>
      <c r="C9" s="10" t="s">
        <v>39</v>
      </c>
      <c r="D9" s="11" t="s">
        <v>40</v>
      </c>
      <c r="E9" s="12" t="s">
        <v>41</v>
      </c>
      <c r="F9" s="13" t="str">
        <f t="array" ref="F9">INDEX(Turmas!D2:D106,MATCH(E9,Turmas!A2:A106,0))</f>
        <v>Noite</v>
      </c>
      <c r="G9" s="14">
        <v>0.0</v>
      </c>
      <c r="H9" s="15">
        <v>4.0</v>
      </c>
      <c r="I9" s="15">
        <v>0.0</v>
      </c>
      <c r="J9" s="15">
        <v>4.0</v>
      </c>
      <c r="K9" s="15">
        <f t="shared" si="1"/>
        <v>1</v>
      </c>
      <c r="L9" s="16" t="str">
        <f t="shared" si="2"/>
        <v>1-12</v>
      </c>
      <c r="M9" s="16" t="str">
        <f t="shared" si="3"/>
        <v>1-12</v>
      </c>
      <c r="N9" s="16" t="str">
        <f t="shared" si="4"/>
        <v>1-12</v>
      </c>
      <c r="O9" s="16" t="str">
        <f t="shared" si="5"/>
        <v>1-12</v>
      </c>
      <c r="P9" s="16" t="str">
        <f t="shared" si="6"/>
        <v>1-12</v>
      </c>
      <c r="Q9" s="16" t="str">
        <f t="shared" si="7"/>
        <v>0</v>
      </c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9">
        <v>183450.0</v>
      </c>
      <c r="B10" s="9" t="s">
        <v>42</v>
      </c>
      <c r="C10" s="10" t="s">
        <v>43</v>
      </c>
      <c r="D10" s="11" t="s">
        <v>23</v>
      </c>
      <c r="E10" s="12" t="s">
        <v>41</v>
      </c>
      <c r="F10" s="18" t="str">
        <f t="array" ref="F10">INDEX(Turmas!D2:D106,MATCH(E10,Turmas!A2:A106,0))</f>
        <v>Noite</v>
      </c>
      <c r="G10" s="14">
        <v>0.0</v>
      </c>
      <c r="H10" s="15">
        <v>2.0</v>
      </c>
      <c r="I10" s="15">
        <v>0.0</v>
      </c>
      <c r="J10" s="15">
        <v>2.0</v>
      </c>
      <c r="K10" s="15">
        <f t="shared" si="1"/>
        <v>1</v>
      </c>
      <c r="L10" s="16" t="str">
        <f t="shared" si="2"/>
        <v>1-12</v>
      </c>
      <c r="M10" s="16" t="str">
        <f t="shared" si="3"/>
        <v>1-12</v>
      </c>
      <c r="N10" s="16" t="str">
        <f t="shared" si="4"/>
        <v>1-12</v>
      </c>
      <c r="O10" s="16" t="str">
        <f t="shared" si="5"/>
        <v>1-12</v>
      </c>
      <c r="P10" s="16" t="str">
        <f t="shared" si="6"/>
        <v>1-12</v>
      </c>
      <c r="Q10" s="16" t="str">
        <f t="shared" si="7"/>
        <v>0</v>
      </c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">
        <v>183448.0</v>
      </c>
      <c r="B11" s="9" t="s">
        <v>44</v>
      </c>
      <c r="C11" s="10" t="s">
        <v>45</v>
      </c>
      <c r="D11" s="11" t="s">
        <v>46</v>
      </c>
      <c r="E11" s="12" t="s">
        <v>41</v>
      </c>
      <c r="F11" s="13" t="str">
        <f t="array" ref="F11">INDEX(Turmas!D2:D106,MATCH(E11,Turmas!A2:A106,0))</f>
        <v>Noite</v>
      </c>
      <c r="G11" s="14">
        <v>0.0</v>
      </c>
      <c r="H11" s="15">
        <v>2.0</v>
      </c>
      <c r="I11" s="15">
        <v>0.0</v>
      </c>
      <c r="J11" s="15">
        <v>2.0</v>
      </c>
      <c r="K11" s="15">
        <f t="shared" si="1"/>
        <v>1</v>
      </c>
      <c r="L11" s="16" t="str">
        <f t="shared" si="2"/>
        <v>1-12</v>
      </c>
      <c r="M11" s="16" t="str">
        <f t="shared" si="3"/>
        <v>1-12</v>
      </c>
      <c r="N11" s="16" t="str">
        <f t="shared" si="4"/>
        <v>1-12</v>
      </c>
      <c r="O11" s="16" t="str">
        <f t="shared" si="5"/>
        <v>1-12</v>
      </c>
      <c r="P11" s="16" t="str">
        <f t="shared" si="6"/>
        <v>1-12</v>
      </c>
      <c r="Q11" s="16" t="str">
        <f t="shared" si="7"/>
        <v>0</v>
      </c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">
        <v>184649.0</v>
      </c>
      <c r="B12" s="9" t="s">
        <v>47</v>
      </c>
      <c r="C12" s="10" t="s">
        <v>48</v>
      </c>
      <c r="D12" s="11" t="s">
        <v>23</v>
      </c>
      <c r="E12" s="12" t="s">
        <v>41</v>
      </c>
      <c r="F12" s="13" t="str">
        <f t="array" ref="F12">INDEX(Turmas!D2:D106,MATCH(E12,Turmas!A2:A106,0))</f>
        <v>Noite</v>
      </c>
      <c r="G12" s="14">
        <v>0.0</v>
      </c>
      <c r="H12" s="15">
        <v>2.0</v>
      </c>
      <c r="I12" s="15">
        <v>0.0</v>
      </c>
      <c r="J12" s="15">
        <v>2.0</v>
      </c>
      <c r="K12" s="15">
        <f t="shared" si="1"/>
        <v>1</v>
      </c>
      <c r="L12" s="16" t="str">
        <f t="shared" si="2"/>
        <v>1-12</v>
      </c>
      <c r="M12" s="16" t="str">
        <f t="shared" si="3"/>
        <v>1-12</v>
      </c>
      <c r="N12" s="16" t="str">
        <f t="shared" si="4"/>
        <v>1-12</v>
      </c>
      <c r="O12" s="16" t="str">
        <f t="shared" si="5"/>
        <v>1-12</v>
      </c>
      <c r="P12" s="16" t="str">
        <f t="shared" si="6"/>
        <v>1-12</v>
      </c>
      <c r="Q12" s="16" t="str">
        <f t="shared" si="7"/>
        <v>0</v>
      </c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">
        <v>183451.0</v>
      </c>
      <c r="B13" s="9" t="s">
        <v>49</v>
      </c>
      <c r="C13" s="10" t="s">
        <v>50</v>
      </c>
      <c r="D13" s="11" t="s">
        <v>32</v>
      </c>
      <c r="E13" s="12" t="s">
        <v>41</v>
      </c>
      <c r="F13" s="13" t="str">
        <f t="array" ref="F13">INDEX(Turmas!D2:D106,MATCH(E13,Turmas!A2:A106,0))</f>
        <v>Noite</v>
      </c>
      <c r="G13" s="14">
        <v>0.0</v>
      </c>
      <c r="H13" s="15">
        <v>4.0</v>
      </c>
      <c r="I13" s="15">
        <v>0.0</v>
      </c>
      <c r="J13" s="15">
        <v>2.0</v>
      </c>
      <c r="K13" s="15">
        <f t="shared" si="1"/>
        <v>2</v>
      </c>
      <c r="L13" s="16" t="str">
        <f t="shared" si="2"/>
        <v>1-12</v>
      </c>
      <c r="M13" s="16" t="str">
        <f t="shared" si="3"/>
        <v>1-12</v>
      </c>
      <c r="N13" s="16" t="str">
        <f t="shared" si="4"/>
        <v>1-12</v>
      </c>
      <c r="O13" s="16" t="str">
        <f t="shared" si="5"/>
        <v>1-12</v>
      </c>
      <c r="P13" s="16" t="str">
        <f t="shared" si="6"/>
        <v>1-12</v>
      </c>
      <c r="Q13" s="16" t="str">
        <f t="shared" si="7"/>
        <v>0</v>
      </c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">
        <v>183446.0</v>
      </c>
      <c r="B14" s="9" t="s">
        <v>51</v>
      </c>
      <c r="C14" s="10" t="s">
        <v>52</v>
      </c>
      <c r="D14" s="11" t="s">
        <v>53</v>
      </c>
      <c r="E14" s="12" t="s">
        <v>41</v>
      </c>
      <c r="F14" s="13" t="str">
        <f t="array" ref="F14">INDEX(Turmas!D2:D106,MATCH(E14,Turmas!A2:A106,0))</f>
        <v>Noite</v>
      </c>
      <c r="G14" s="14">
        <v>0.0</v>
      </c>
      <c r="H14" s="15">
        <v>4.0</v>
      </c>
      <c r="I14" s="15">
        <v>0.0</v>
      </c>
      <c r="J14" s="15">
        <v>2.0</v>
      </c>
      <c r="K14" s="15">
        <f t="shared" si="1"/>
        <v>2</v>
      </c>
      <c r="L14" s="16" t="str">
        <f t="shared" si="2"/>
        <v>1-12</v>
      </c>
      <c r="M14" s="16" t="str">
        <f t="shared" si="3"/>
        <v>1-12</v>
      </c>
      <c r="N14" s="16" t="str">
        <f t="shared" si="4"/>
        <v>1-12</v>
      </c>
      <c r="O14" s="16" t="str">
        <f t="shared" si="5"/>
        <v>1-12</v>
      </c>
      <c r="P14" s="16" t="str">
        <f t="shared" si="6"/>
        <v>1-12</v>
      </c>
      <c r="Q14" s="16" t="str">
        <f t="shared" si="7"/>
        <v>0</v>
      </c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">
        <v>183449.0</v>
      </c>
      <c r="B15" s="9" t="s">
        <v>54</v>
      </c>
      <c r="C15" s="10" t="s">
        <v>55</v>
      </c>
      <c r="D15" s="11" t="s">
        <v>56</v>
      </c>
      <c r="E15" s="12" t="s">
        <v>41</v>
      </c>
      <c r="F15" s="13" t="str">
        <f t="array" ref="F15">INDEX(Turmas!D2:D106,MATCH(E15,Turmas!A2:A106,0))</f>
        <v>Noite</v>
      </c>
      <c r="G15" s="14">
        <v>0.0</v>
      </c>
      <c r="H15" s="15">
        <v>4.0</v>
      </c>
      <c r="I15" s="15">
        <v>0.0</v>
      </c>
      <c r="J15" s="15">
        <v>2.0</v>
      </c>
      <c r="K15" s="15">
        <f t="shared" si="1"/>
        <v>2</v>
      </c>
      <c r="L15" s="16" t="str">
        <f t="shared" si="2"/>
        <v>1-12</v>
      </c>
      <c r="M15" s="16" t="str">
        <f t="shared" si="3"/>
        <v>1-12</v>
      </c>
      <c r="N15" s="16" t="str">
        <f t="shared" si="4"/>
        <v>1-12</v>
      </c>
      <c r="O15" s="16" t="str">
        <f t="shared" si="5"/>
        <v>1-12</v>
      </c>
      <c r="P15" s="16" t="str">
        <f t="shared" si="6"/>
        <v>1-12</v>
      </c>
      <c r="Q15" s="16" t="str">
        <f t="shared" si="7"/>
        <v>0</v>
      </c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">
        <v>183676.0</v>
      </c>
      <c r="B16" s="9" t="s">
        <v>57</v>
      </c>
      <c r="C16" s="10" t="s">
        <v>58</v>
      </c>
      <c r="D16" s="11" t="s">
        <v>59</v>
      </c>
      <c r="E16" s="12" t="s">
        <v>60</v>
      </c>
      <c r="F16" s="13" t="str">
        <f t="array" ref="F16">INDEX(Turmas!D2:D106,MATCH(E16,Turmas!A2:A106,0))</f>
        <v>Noite</v>
      </c>
      <c r="G16" s="14">
        <v>0.0</v>
      </c>
      <c r="H16" s="15">
        <v>2.0</v>
      </c>
      <c r="I16" s="15">
        <v>0.0</v>
      </c>
      <c r="J16" s="15">
        <v>2.0</v>
      </c>
      <c r="K16" s="15">
        <f t="shared" si="1"/>
        <v>1</v>
      </c>
      <c r="L16" s="16" t="str">
        <f t="shared" si="2"/>
        <v>1-12</v>
      </c>
      <c r="M16" s="16" t="str">
        <f t="shared" si="3"/>
        <v>1-12</v>
      </c>
      <c r="N16" s="16" t="str">
        <f t="shared" si="4"/>
        <v>1-12</v>
      </c>
      <c r="O16" s="16" t="str">
        <f t="shared" si="5"/>
        <v>1-12</v>
      </c>
      <c r="P16" s="16" t="str">
        <f t="shared" si="6"/>
        <v>1-12</v>
      </c>
      <c r="Q16" s="16" t="str">
        <f t="shared" si="7"/>
        <v>0</v>
      </c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">
        <v>183679.0</v>
      </c>
      <c r="B17" s="9" t="s">
        <v>61</v>
      </c>
      <c r="C17" s="10" t="s">
        <v>62</v>
      </c>
      <c r="D17" s="11" t="s">
        <v>63</v>
      </c>
      <c r="E17" s="12" t="s">
        <v>60</v>
      </c>
      <c r="F17" s="13" t="str">
        <f t="array" ref="F17">INDEX(Turmas!D2:D106,MATCH(E17,Turmas!A2:A106,0))</f>
        <v>Noite</v>
      </c>
      <c r="G17" s="14">
        <v>0.0</v>
      </c>
      <c r="H17" s="15">
        <v>2.0</v>
      </c>
      <c r="I17" s="15">
        <v>0.0</v>
      </c>
      <c r="J17" s="15">
        <v>2.0</v>
      </c>
      <c r="K17" s="15">
        <f t="shared" si="1"/>
        <v>1</v>
      </c>
      <c r="L17" s="16" t="str">
        <f t="shared" si="2"/>
        <v>1-12</v>
      </c>
      <c r="M17" s="16" t="str">
        <f t="shared" si="3"/>
        <v>1-12</v>
      </c>
      <c r="N17" s="16" t="str">
        <f t="shared" si="4"/>
        <v>1-12</v>
      </c>
      <c r="O17" s="16" t="str">
        <f t="shared" si="5"/>
        <v>1-12</v>
      </c>
      <c r="P17" s="16" t="str">
        <f t="shared" si="6"/>
        <v>1-12</v>
      </c>
      <c r="Q17" s="16" t="str">
        <f t="shared" si="7"/>
        <v>0</v>
      </c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">
        <v>183680.0</v>
      </c>
      <c r="B18" s="9" t="s">
        <v>64</v>
      </c>
      <c r="C18" s="10" t="s">
        <v>65</v>
      </c>
      <c r="D18" s="11" t="s">
        <v>63</v>
      </c>
      <c r="E18" s="12" t="s">
        <v>60</v>
      </c>
      <c r="F18" s="13" t="str">
        <f t="array" ref="F18">INDEX(Turmas!D2:D106,MATCH(E18,Turmas!A2:A106,0))</f>
        <v>Noite</v>
      </c>
      <c r="G18" s="14">
        <v>0.0</v>
      </c>
      <c r="H18" s="15">
        <v>2.0</v>
      </c>
      <c r="I18" s="15">
        <v>0.0</v>
      </c>
      <c r="J18" s="15">
        <v>2.0</v>
      </c>
      <c r="K18" s="15">
        <f t="shared" si="1"/>
        <v>1</v>
      </c>
      <c r="L18" s="16" t="str">
        <f t="shared" si="2"/>
        <v>1-12</v>
      </c>
      <c r="M18" s="16" t="str">
        <f t="shared" si="3"/>
        <v>1-12</v>
      </c>
      <c r="N18" s="16" t="str">
        <f t="shared" si="4"/>
        <v>1-12</v>
      </c>
      <c r="O18" s="16" t="str">
        <f t="shared" si="5"/>
        <v>1-12</v>
      </c>
      <c r="P18" s="16" t="str">
        <f t="shared" si="6"/>
        <v>1-12</v>
      </c>
      <c r="Q18" s="16" t="str">
        <f t="shared" si="7"/>
        <v>0</v>
      </c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">
        <v>183686.0</v>
      </c>
      <c r="B19" s="9" t="s">
        <v>66</v>
      </c>
      <c r="C19" s="10" t="s">
        <v>67</v>
      </c>
      <c r="D19" s="11" t="s">
        <v>63</v>
      </c>
      <c r="E19" s="12" t="s">
        <v>68</v>
      </c>
      <c r="F19" s="13" t="str">
        <f t="array" ref="F19">INDEX(Turmas!D2:D106,MATCH(E19,Turmas!A2:A106,0))</f>
        <v>Noite</v>
      </c>
      <c r="G19" s="14">
        <v>0.0</v>
      </c>
      <c r="H19" s="15">
        <v>2.0</v>
      </c>
      <c r="I19" s="15">
        <v>0.0</v>
      </c>
      <c r="J19" s="15">
        <v>2.0</v>
      </c>
      <c r="K19" s="15">
        <f t="shared" si="1"/>
        <v>1</v>
      </c>
      <c r="L19" s="16" t="str">
        <f t="shared" si="2"/>
        <v>1-12</v>
      </c>
      <c r="M19" s="16" t="str">
        <f t="shared" si="3"/>
        <v>1-12</v>
      </c>
      <c r="N19" s="16" t="str">
        <f t="shared" si="4"/>
        <v>1-12</v>
      </c>
      <c r="O19" s="16" t="str">
        <f t="shared" si="5"/>
        <v>1-12</v>
      </c>
      <c r="P19" s="16" t="str">
        <f t="shared" si="6"/>
        <v>1-12</v>
      </c>
      <c r="Q19" s="16" t="str">
        <f t="shared" si="7"/>
        <v>0</v>
      </c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">
        <v>183712.0</v>
      </c>
      <c r="B20" s="9" t="s">
        <v>69</v>
      </c>
      <c r="C20" s="10" t="s">
        <v>70</v>
      </c>
      <c r="D20" s="11" t="s">
        <v>71</v>
      </c>
      <c r="E20" s="12" t="s">
        <v>72</v>
      </c>
      <c r="F20" s="13" t="str">
        <f t="array" ref="F20">INDEX(Turmas!D2:D106,MATCH(E20,Turmas!A2:A106,0))</f>
        <v>Noite</v>
      </c>
      <c r="G20" s="14">
        <v>0.0</v>
      </c>
      <c r="H20" s="15">
        <v>1.0</v>
      </c>
      <c r="I20" s="15">
        <v>0.0</v>
      </c>
      <c r="J20" s="15">
        <v>1.0</v>
      </c>
      <c r="K20" s="15">
        <f t="shared" si="1"/>
        <v>1</v>
      </c>
      <c r="L20" s="16" t="str">
        <f t="shared" si="2"/>
        <v>1-12</v>
      </c>
      <c r="M20" s="16" t="str">
        <f t="shared" si="3"/>
        <v>1-12</v>
      </c>
      <c r="N20" s="16" t="str">
        <f t="shared" si="4"/>
        <v>1-12</v>
      </c>
      <c r="O20" s="16" t="str">
        <f t="shared" si="5"/>
        <v>1-12</v>
      </c>
      <c r="P20" s="16" t="str">
        <f t="shared" si="6"/>
        <v>1-12</v>
      </c>
      <c r="Q20" s="16" t="str">
        <f t="shared" si="7"/>
        <v>0</v>
      </c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">
        <v>183699.0</v>
      </c>
      <c r="B21" s="9" t="s">
        <v>73</v>
      </c>
      <c r="C21" s="10" t="s">
        <v>74</v>
      </c>
      <c r="D21" s="11" t="s">
        <v>40</v>
      </c>
      <c r="E21" s="12" t="s">
        <v>75</v>
      </c>
      <c r="F21" s="13" t="str">
        <f t="array" ref="F21">INDEX(Turmas!D2:D106,MATCH(E21,Turmas!A2:A106,0))</f>
        <v>Noite</v>
      </c>
      <c r="G21" s="14">
        <v>0.0</v>
      </c>
      <c r="H21" s="15">
        <v>4.0</v>
      </c>
      <c r="I21" s="15">
        <v>0.0</v>
      </c>
      <c r="J21" s="15">
        <v>2.0</v>
      </c>
      <c r="K21" s="15">
        <f t="shared" si="1"/>
        <v>2</v>
      </c>
      <c r="L21" s="16" t="str">
        <f t="shared" si="2"/>
        <v>1-12</v>
      </c>
      <c r="M21" s="16" t="str">
        <f t="shared" si="3"/>
        <v>1-12</v>
      </c>
      <c r="N21" s="16" t="str">
        <f t="shared" si="4"/>
        <v>1-12</v>
      </c>
      <c r="O21" s="16" t="str">
        <f t="shared" si="5"/>
        <v>1-12</v>
      </c>
      <c r="P21" s="16" t="str">
        <f t="shared" si="6"/>
        <v>1-12</v>
      </c>
      <c r="Q21" s="16" t="str">
        <f t="shared" si="7"/>
        <v>0</v>
      </c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">
        <v>183703.0</v>
      </c>
      <c r="B22" s="9" t="s">
        <v>76</v>
      </c>
      <c r="C22" s="10" t="s">
        <v>77</v>
      </c>
      <c r="D22" s="11" t="s">
        <v>59</v>
      </c>
      <c r="E22" s="12" t="s">
        <v>75</v>
      </c>
      <c r="F22" s="13" t="str">
        <f t="array" ref="F22">INDEX(Turmas!D2:D106,MATCH(E22,Turmas!A2:A106,0))</f>
        <v>Noite</v>
      </c>
      <c r="G22" s="14">
        <v>5.0</v>
      </c>
      <c r="H22" s="15">
        <v>3.0</v>
      </c>
      <c r="I22" s="15">
        <v>0.0</v>
      </c>
      <c r="J22" s="15">
        <v>2.0</v>
      </c>
      <c r="K22" s="15">
        <f t="shared" si="1"/>
        <v>1</v>
      </c>
      <c r="L22" s="16" t="str">
        <f t="shared" si="2"/>
        <v>1-12</v>
      </c>
      <c r="M22" s="16" t="str">
        <f t="shared" si="3"/>
        <v>1-12</v>
      </c>
      <c r="N22" s="16" t="str">
        <f t="shared" si="4"/>
        <v>1-12</v>
      </c>
      <c r="O22" s="16" t="str">
        <f t="shared" si="5"/>
        <v>1-12</v>
      </c>
      <c r="P22" s="16" t="str">
        <f t="shared" si="6"/>
        <v>1-12</v>
      </c>
      <c r="Q22" s="16" t="str">
        <f t="shared" si="7"/>
        <v>0</v>
      </c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">
        <v>183705.0</v>
      </c>
      <c r="B23" s="9" t="s">
        <v>78</v>
      </c>
      <c r="C23" s="10" t="s">
        <v>79</v>
      </c>
      <c r="D23" s="11" t="s">
        <v>80</v>
      </c>
      <c r="E23" s="12" t="s">
        <v>75</v>
      </c>
      <c r="F23" s="13" t="str">
        <f t="array" ref="F23">INDEX(Turmas!D2:D106,MATCH(E23,Turmas!A2:A106,0))</f>
        <v>Noite</v>
      </c>
      <c r="G23" s="14">
        <v>0.0</v>
      </c>
      <c r="H23" s="15">
        <v>3.0</v>
      </c>
      <c r="I23" s="15">
        <v>0.0</v>
      </c>
      <c r="J23" s="15">
        <v>2.0</v>
      </c>
      <c r="K23" s="15">
        <f t="shared" si="1"/>
        <v>1</v>
      </c>
      <c r="L23" s="16" t="str">
        <f t="shared" si="2"/>
        <v>1-12</v>
      </c>
      <c r="M23" s="16" t="str">
        <f t="shared" si="3"/>
        <v>1-12</v>
      </c>
      <c r="N23" s="16" t="str">
        <f t="shared" si="4"/>
        <v>1-12</v>
      </c>
      <c r="O23" s="16" t="str">
        <f t="shared" si="5"/>
        <v>1-12</v>
      </c>
      <c r="P23" s="16" t="str">
        <f t="shared" si="6"/>
        <v>1-12</v>
      </c>
      <c r="Q23" s="16" t="str">
        <f t="shared" si="7"/>
        <v>0</v>
      </c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">
        <v>183711.0</v>
      </c>
      <c r="B24" s="9" t="s">
        <v>81</v>
      </c>
      <c r="C24" s="10" t="s">
        <v>82</v>
      </c>
      <c r="D24" s="11" t="s">
        <v>83</v>
      </c>
      <c r="E24" s="12" t="s">
        <v>84</v>
      </c>
      <c r="F24" s="13" t="str">
        <f t="array" ref="F24">INDEX(Turmas!D2:D106,MATCH(E24,Turmas!A2:A106,0))</f>
        <v>Noite</v>
      </c>
      <c r="G24" s="14">
        <v>0.0</v>
      </c>
      <c r="H24" s="15">
        <v>4.0</v>
      </c>
      <c r="I24" s="15">
        <v>0.0</v>
      </c>
      <c r="J24" s="15">
        <v>4.0</v>
      </c>
      <c r="K24" s="15">
        <f t="shared" si="1"/>
        <v>1</v>
      </c>
      <c r="L24" s="16" t="str">
        <f t="shared" si="2"/>
        <v>1-12</v>
      </c>
      <c r="M24" s="16" t="str">
        <f t="shared" si="3"/>
        <v>1-12</v>
      </c>
      <c r="N24" s="16" t="str">
        <f t="shared" si="4"/>
        <v>1-12</v>
      </c>
      <c r="O24" s="16" t="str">
        <f t="shared" si="5"/>
        <v>1-12</v>
      </c>
      <c r="P24" s="16" t="str">
        <f t="shared" si="6"/>
        <v>1-12</v>
      </c>
      <c r="Q24" s="16" t="str">
        <f t="shared" si="7"/>
        <v>0</v>
      </c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">
        <v>183710.0</v>
      </c>
      <c r="B25" s="9" t="s">
        <v>85</v>
      </c>
      <c r="C25" s="10" t="s">
        <v>86</v>
      </c>
      <c r="D25" s="11" t="s">
        <v>19</v>
      </c>
      <c r="E25" s="12" t="s">
        <v>84</v>
      </c>
      <c r="F25" s="13" t="str">
        <f t="array" ref="F25">INDEX(Turmas!D2:D106,MATCH(E25,Turmas!A2:A106,0))</f>
        <v>Noite</v>
      </c>
      <c r="G25" s="14">
        <v>0.0</v>
      </c>
      <c r="H25" s="15">
        <v>3.0</v>
      </c>
      <c r="I25" s="15">
        <v>0.0</v>
      </c>
      <c r="J25" s="15">
        <v>2.0</v>
      </c>
      <c r="K25" s="15">
        <f t="shared" si="1"/>
        <v>1</v>
      </c>
      <c r="L25" s="16" t="str">
        <f t="shared" si="2"/>
        <v>1-12</v>
      </c>
      <c r="M25" s="16" t="str">
        <f t="shared" si="3"/>
        <v>1-12</v>
      </c>
      <c r="N25" s="16" t="str">
        <f t="shared" si="4"/>
        <v>1-12</v>
      </c>
      <c r="O25" s="16" t="str">
        <f t="shared" si="5"/>
        <v>1-12</v>
      </c>
      <c r="P25" s="16" t="str">
        <f t="shared" si="6"/>
        <v>1-12</v>
      </c>
      <c r="Q25" s="16" t="str">
        <f t="shared" si="7"/>
        <v>0</v>
      </c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">
        <v>182290.0</v>
      </c>
      <c r="B26" s="9" t="s">
        <v>87</v>
      </c>
      <c r="C26" s="10" t="s">
        <v>88</v>
      </c>
      <c r="D26" s="11" t="s">
        <v>89</v>
      </c>
      <c r="E26" s="12" t="s">
        <v>90</v>
      </c>
      <c r="F26" s="13" t="str">
        <f t="array" ref="F26">INDEX(Turmas!D2:D106,MATCH(E26,Turmas!A2:A106,0))</f>
        <v>Noite</v>
      </c>
      <c r="G26" s="14">
        <v>0.0</v>
      </c>
      <c r="H26" s="15">
        <v>4.0</v>
      </c>
      <c r="I26" s="15">
        <v>0.0</v>
      </c>
      <c r="J26" s="15">
        <v>4.0</v>
      </c>
      <c r="K26" s="15">
        <f t="shared" si="1"/>
        <v>1</v>
      </c>
      <c r="L26" s="16" t="str">
        <f t="shared" si="2"/>
        <v>1-12</v>
      </c>
      <c r="M26" s="16" t="str">
        <f t="shared" si="3"/>
        <v>1-12</v>
      </c>
      <c r="N26" s="16" t="str">
        <f t="shared" si="4"/>
        <v>1-12</v>
      </c>
      <c r="O26" s="16" t="str">
        <f t="shared" si="5"/>
        <v>1-12</v>
      </c>
      <c r="P26" s="16" t="str">
        <f t="shared" si="6"/>
        <v>1-12</v>
      </c>
      <c r="Q26" s="16" t="str">
        <f t="shared" si="7"/>
        <v>0</v>
      </c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">
        <v>182291.0</v>
      </c>
      <c r="B27" s="9" t="s">
        <v>91</v>
      </c>
      <c r="C27" s="10" t="s">
        <v>92</v>
      </c>
      <c r="D27" s="11" t="s">
        <v>46</v>
      </c>
      <c r="E27" s="12" t="s">
        <v>90</v>
      </c>
      <c r="F27" s="13" t="str">
        <f t="array" ref="F27">INDEX(Turmas!D2:D106,MATCH(E27,Turmas!A2:A106,0))</f>
        <v>Noite</v>
      </c>
      <c r="G27" s="14">
        <v>0.0</v>
      </c>
      <c r="H27" s="15">
        <v>4.0</v>
      </c>
      <c r="I27" s="15">
        <v>0.0</v>
      </c>
      <c r="J27" s="15">
        <v>2.0</v>
      </c>
      <c r="K27" s="15">
        <f t="shared" si="1"/>
        <v>2</v>
      </c>
      <c r="L27" s="16" t="str">
        <f t="shared" si="2"/>
        <v>1-12</v>
      </c>
      <c r="M27" s="16" t="str">
        <f t="shared" si="3"/>
        <v>1-12</v>
      </c>
      <c r="N27" s="16" t="str">
        <f t="shared" si="4"/>
        <v>1-12</v>
      </c>
      <c r="O27" s="16" t="str">
        <f t="shared" si="5"/>
        <v>1-12</v>
      </c>
      <c r="P27" s="16" t="str">
        <f t="shared" si="6"/>
        <v>1-12</v>
      </c>
      <c r="Q27" s="16" t="str">
        <f t="shared" si="7"/>
        <v>0</v>
      </c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">
        <v>182292.0</v>
      </c>
      <c r="B28" s="9" t="s">
        <v>93</v>
      </c>
      <c r="C28" s="10" t="s">
        <v>94</v>
      </c>
      <c r="D28" s="11" t="s">
        <v>59</v>
      </c>
      <c r="E28" s="12" t="s">
        <v>90</v>
      </c>
      <c r="F28" s="13" t="str">
        <f t="array" ref="F28">INDEX(Turmas!D2:D106,MATCH(E28,Turmas!A2:A106,0))</f>
        <v>Noite</v>
      </c>
      <c r="G28" s="14">
        <v>0.0</v>
      </c>
      <c r="H28" s="15">
        <v>4.0</v>
      </c>
      <c r="I28" s="15">
        <v>0.0</v>
      </c>
      <c r="J28" s="15">
        <v>2.0</v>
      </c>
      <c r="K28" s="15">
        <f t="shared" si="1"/>
        <v>2</v>
      </c>
      <c r="L28" s="16" t="str">
        <f t="shared" si="2"/>
        <v>1-12</v>
      </c>
      <c r="M28" s="16" t="str">
        <f t="shared" si="3"/>
        <v>1-12</v>
      </c>
      <c r="N28" s="16" t="str">
        <f t="shared" si="4"/>
        <v>1-12</v>
      </c>
      <c r="O28" s="16" t="str">
        <f t="shared" si="5"/>
        <v>1-12</v>
      </c>
      <c r="P28" s="16" t="str">
        <f t="shared" si="6"/>
        <v>1-12</v>
      </c>
      <c r="Q28" s="16" t="str">
        <f t="shared" si="7"/>
        <v>0</v>
      </c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">
        <v>182293.0</v>
      </c>
      <c r="B29" s="9" t="s">
        <v>95</v>
      </c>
      <c r="C29" s="10" t="s">
        <v>96</v>
      </c>
      <c r="D29" s="11" t="s">
        <v>97</v>
      </c>
      <c r="E29" s="12" t="s">
        <v>90</v>
      </c>
      <c r="F29" s="13" t="str">
        <f t="array" ref="F29">INDEX(Turmas!D2:D106,MATCH(E29,Turmas!A2:A106,0))</f>
        <v>Noite</v>
      </c>
      <c r="G29" s="14">
        <v>0.0</v>
      </c>
      <c r="H29" s="15">
        <v>4.0</v>
      </c>
      <c r="I29" s="15">
        <v>0.0</v>
      </c>
      <c r="J29" s="15">
        <v>4.0</v>
      </c>
      <c r="K29" s="15">
        <f t="shared" si="1"/>
        <v>1</v>
      </c>
      <c r="L29" s="16" t="str">
        <f t="shared" si="2"/>
        <v>1-12</v>
      </c>
      <c r="M29" s="16" t="str">
        <f t="shared" si="3"/>
        <v>1-12</v>
      </c>
      <c r="N29" s="16" t="str">
        <f t="shared" si="4"/>
        <v>1-12</v>
      </c>
      <c r="O29" s="16" t="str">
        <f t="shared" si="5"/>
        <v>1-12</v>
      </c>
      <c r="P29" s="16" t="str">
        <f t="shared" si="6"/>
        <v>1-12</v>
      </c>
      <c r="Q29" s="16" t="str">
        <f t="shared" si="7"/>
        <v>0</v>
      </c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">
        <v>182294.0</v>
      </c>
      <c r="B30" s="9" t="s">
        <v>98</v>
      </c>
      <c r="C30" s="10" t="s">
        <v>99</v>
      </c>
      <c r="D30" s="11" t="s">
        <v>53</v>
      </c>
      <c r="E30" s="12" t="s">
        <v>90</v>
      </c>
      <c r="F30" s="13" t="str">
        <f t="array" ref="F30">INDEX(Turmas!D2:D106,MATCH(E30,Turmas!A2:A106,0))</f>
        <v>Noite</v>
      </c>
      <c r="G30" s="14">
        <v>0.0</v>
      </c>
      <c r="H30" s="15">
        <v>4.0</v>
      </c>
      <c r="I30" s="15">
        <v>0.0</v>
      </c>
      <c r="J30" s="15">
        <v>4.0</v>
      </c>
      <c r="K30" s="15">
        <f t="shared" si="1"/>
        <v>1</v>
      </c>
      <c r="L30" s="16" t="str">
        <f t="shared" si="2"/>
        <v>1-12</v>
      </c>
      <c r="M30" s="16" t="str">
        <f t="shared" si="3"/>
        <v>1-12</v>
      </c>
      <c r="N30" s="16" t="str">
        <f t="shared" si="4"/>
        <v>1-12</v>
      </c>
      <c r="O30" s="16" t="str">
        <f t="shared" si="5"/>
        <v>1-12</v>
      </c>
      <c r="P30" s="16" t="str">
        <f t="shared" si="6"/>
        <v>1-12</v>
      </c>
      <c r="Q30" s="16" t="str">
        <f t="shared" si="7"/>
        <v>0</v>
      </c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">
        <v>182295.0</v>
      </c>
      <c r="B31" s="9" t="s">
        <v>100</v>
      </c>
      <c r="C31" s="10" t="s">
        <v>101</v>
      </c>
      <c r="D31" s="11" t="s">
        <v>40</v>
      </c>
      <c r="E31" s="12" t="s">
        <v>102</v>
      </c>
      <c r="F31" s="13" t="str">
        <f t="array" ref="F31">INDEX(Turmas!D2:D106,MATCH(E31,Turmas!A2:A106,0))</f>
        <v>Noite</v>
      </c>
      <c r="G31" s="14">
        <v>0.0</v>
      </c>
      <c r="H31" s="15">
        <v>4.0</v>
      </c>
      <c r="I31" s="15">
        <v>0.0</v>
      </c>
      <c r="J31" s="15">
        <v>4.0</v>
      </c>
      <c r="K31" s="15">
        <f t="shared" si="1"/>
        <v>1</v>
      </c>
      <c r="L31" s="16" t="str">
        <f t="shared" si="2"/>
        <v>1-12</v>
      </c>
      <c r="M31" s="16" t="str">
        <f t="shared" si="3"/>
        <v>1-12</v>
      </c>
      <c r="N31" s="16" t="str">
        <f t="shared" si="4"/>
        <v>1-12</v>
      </c>
      <c r="O31" s="16" t="str">
        <f t="shared" si="5"/>
        <v>1-12</v>
      </c>
      <c r="P31" s="16" t="str">
        <f t="shared" si="6"/>
        <v>1-12</v>
      </c>
      <c r="Q31" s="16" t="str">
        <f t="shared" si="7"/>
        <v>0</v>
      </c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">
        <v>182296.0</v>
      </c>
      <c r="B32" s="9" t="s">
        <v>103</v>
      </c>
      <c r="C32" s="10" t="s">
        <v>104</v>
      </c>
      <c r="D32" s="11" t="s">
        <v>105</v>
      </c>
      <c r="E32" s="12" t="s">
        <v>102</v>
      </c>
      <c r="F32" s="13" t="str">
        <f t="array" ref="F32">INDEX(Turmas!D2:D106,MATCH(E32,Turmas!A2:A106,0))</f>
        <v>Noite</v>
      </c>
      <c r="G32" s="14">
        <v>0.0</v>
      </c>
      <c r="H32" s="15">
        <v>2.0</v>
      </c>
      <c r="I32" s="15">
        <v>0.0</v>
      </c>
      <c r="J32" s="15">
        <v>2.0</v>
      </c>
      <c r="K32" s="15">
        <f t="shared" si="1"/>
        <v>1</v>
      </c>
      <c r="L32" s="16" t="str">
        <f t="shared" si="2"/>
        <v>1-12</v>
      </c>
      <c r="M32" s="16" t="str">
        <f t="shared" si="3"/>
        <v>1-12</v>
      </c>
      <c r="N32" s="16" t="str">
        <f t="shared" si="4"/>
        <v>1-12</v>
      </c>
      <c r="O32" s="16" t="str">
        <f t="shared" si="5"/>
        <v>1-12</v>
      </c>
      <c r="P32" s="16" t="str">
        <f t="shared" si="6"/>
        <v>1-12</v>
      </c>
      <c r="Q32" s="16" t="str">
        <f t="shared" si="7"/>
        <v>0</v>
      </c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>
        <v>182298.0</v>
      </c>
      <c r="B33" s="9" t="s">
        <v>106</v>
      </c>
      <c r="C33" s="19" t="s">
        <v>107</v>
      </c>
      <c r="D33" s="11" t="s">
        <v>108</v>
      </c>
      <c r="E33" s="12" t="s">
        <v>102</v>
      </c>
      <c r="F33" s="13" t="str">
        <f t="array" ref="F33">INDEX(Turmas!D2:D106,MATCH(E33,Turmas!A2:A106,0))</f>
        <v>Noite</v>
      </c>
      <c r="G33" s="20">
        <v>0.0</v>
      </c>
      <c r="H33" s="15">
        <v>4.0</v>
      </c>
      <c r="I33" s="15">
        <v>0.0</v>
      </c>
      <c r="J33" s="15">
        <v>2.0</v>
      </c>
      <c r="K33" s="15">
        <f t="shared" si="1"/>
        <v>2</v>
      </c>
      <c r="L33" s="16" t="str">
        <f t="shared" si="2"/>
        <v>1-12</v>
      </c>
      <c r="M33" s="16" t="str">
        <f t="shared" si="3"/>
        <v>1-12</v>
      </c>
      <c r="N33" s="16" t="str">
        <f t="shared" si="4"/>
        <v>1-12</v>
      </c>
      <c r="O33" s="16" t="str">
        <f t="shared" si="5"/>
        <v>1-12</v>
      </c>
      <c r="P33" s="16" t="str">
        <f t="shared" si="6"/>
        <v>1-12</v>
      </c>
      <c r="Q33" s="16" t="str">
        <f t="shared" si="7"/>
        <v>0</v>
      </c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9">
        <v>182299.0</v>
      </c>
      <c r="B34" s="9" t="s">
        <v>109</v>
      </c>
      <c r="C34" s="10" t="s">
        <v>110</v>
      </c>
      <c r="D34" s="11" t="s">
        <v>29</v>
      </c>
      <c r="E34" s="12" t="s">
        <v>102</v>
      </c>
      <c r="F34" s="13" t="str">
        <f t="array" ref="F34">INDEX(Turmas!D2:D106,MATCH(E34,Turmas!A2:A106,0))</f>
        <v>Noite</v>
      </c>
      <c r="G34" s="14">
        <v>0.0</v>
      </c>
      <c r="H34" s="15">
        <v>4.0</v>
      </c>
      <c r="I34" s="15">
        <v>0.0</v>
      </c>
      <c r="J34" s="15">
        <v>2.0</v>
      </c>
      <c r="K34" s="15">
        <f t="shared" si="1"/>
        <v>2</v>
      </c>
      <c r="L34" s="16" t="str">
        <f t="shared" si="2"/>
        <v>1-12</v>
      </c>
      <c r="M34" s="16" t="str">
        <f t="shared" si="3"/>
        <v>1-12</v>
      </c>
      <c r="N34" s="16" t="str">
        <f t="shared" si="4"/>
        <v>1-12</v>
      </c>
      <c r="O34" s="16" t="str">
        <f t="shared" si="5"/>
        <v>1-12</v>
      </c>
      <c r="P34" s="16" t="str">
        <f t="shared" si="6"/>
        <v>1-12</v>
      </c>
      <c r="Q34" s="16" t="str">
        <f t="shared" si="7"/>
        <v>0</v>
      </c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">
        <v>182297.0</v>
      </c>
      <c r="B35" s="9" t="s">
        <v>111</v>
      </c>
      <c r="C35" s="10" t="s">
        <v>112</v>
      </c>
      <c r="D35" s="11" t="s">
        <v>113</v>
      </c>
      <c r="E35" s="12" t="s">
        <v>102</v>
      </c>
      <c r="F35" s="13" t="str">
        <f t="array" ref="F35">INDEX(Turmas!D2:D106,MATCH(E35,Turmas!A2:A106,0))</f>
        <v>Noite</v>
      </c>
      <c r="G35" s="14">
        <v>0.0</v>
      </c>
      <c r="H35" s="15">
        <v>4.0</v>
      </c>
      <c r="I35" s="15">
        <v>0.0</v>
      </c>
      <c r="J35" s="15">
        <v>4.0</v>
      </c>
      <c r="K35" s="15">
        <f t="shared" si="1"/>
        <v>1</v>
      </c>
      <c r="L35" s="16" t="str">
        <f t="shared" si="2"/>
        <v>1-12</v>
      </c>
      <c r="M35" s="16" t="str">
        <f t="shared" si="3"/>
        <v>1-12</v>
      </c>
      <c r="N35" s="16" t="str">
        <f t="shared" si="4"/>
        <v>1-12</v>
      </c>
      <c r="O35" s="16" t="str">
        <f t="shared" si="5"/>
        <v>1-12</v>
      </c>
      <c r="P35" s="16" t="str">
        <f t="shared" si="6"/>
        <v>1-12</v>
      </c>
      <c r="Q35" s="16" t="str">
        <f t="shared" si="7"/>
        <v>0</v>
      </c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">
        <v>182300.0</v>
      </c>
      <c r="B36" s="9" t="s">
        <v>114</v>
      </c>
      <c r="C36" s="10" t="s">
        <v>115</v>
      </c>
      <c r="D36" s="11" t="s">
        <v>116</v>
      </c>
      <c r="E36" s="12" t="s">
        <v>117</v>
      </c>
      <c r="F36" s="13" t="str">
        <f t="array" ref="F36">INDEX(Turmas!D2:D106,MATCH(E36,Turmas!A2:A106,0))</f>
        <v>Noite</v>
      </c>
      <c r="G36" s="14">
        <v>0.0</v>
      </c>
      <c r="H36" s="15">
        <v>4.0</v>
      </c>
      <c r="I36" s="15">
        <v>0.0</v>
      </c>
      <c r="J36" s="15">
        <v>2.0</v>
      </c>
      <c r="K36" s="15">
        <f t="shared" si="1"/>
        <v>2</v>
      </c>
      <c r="L36" s="16" t="str">
        <f t="shared" si="2"/>
        <v>1-12</v>
      </c>
      <c r="M36" s="16" t="str">
        <f t="shared" si="3"/>
        <v>1-12</v>
      </c>
      <c r="N36" s="16" t="str">
        <f t="shared" si="4"/>
        <v>1-12</v>
      </c>
      <c r="O36" s="16" t="str">
        <f t="shared" si="5"/>
        <v>1-12</v>
      </c>
      <c r="P36" s="16" t="str">
        <f t="shared" si="6"/>
        <v>1-12</v>
      </c>
      <c r="Q36" s="16" t="str">
        <f t="shared" si="7"/>
        <v>0</v>
      </c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">
        <v>182301.0</v>
      </c>
      <c r="B37" s="9" t="s">
        <v>118</v>
      </c>
      <c r="C37" s="10" t="s">
        <v>119</v>
      </c>
      <c r="D37" s="11" t="s">
        <v>105</v>
      </c>
      <c r="E37" s="12" t="s">
        <v>117</v>
      </c>
      <c r="F37" s="13" t="str">
        <f t="array" ref="F37">INDEX(Turmas!D2:D106,MATCH(E37,Turmas!A2:A106,0))</f>
        <v>Noite</v>
      </c>
      <c r="G37" s="14">
        <v>0.0</v>
      </c>
      <c r="H37" s="15">
        <v>2.0</v>
      </c>
      <c r="I37" s="15">
        <v>0.0</v>
      </c>
      <c r="J37" s="15">
        <v>2.0</v>
      </c>
      <c r="K37" s="15">
        <f t="shared" si="1"/>
        <v>1</v>
      </c>
      <c r="L37" s="16" t="str">
        <f t="shared" si="2"/>
        <v>1-12</v>
      </c>
      <c r="M37" s="16" t="str">
        <f t="shared" si="3"/>
        <v>1-12</v>
      </c>
      <c r="N37" s="16" t="str">
        <f t="shared" si="4"/>
        <v>1-12</v>
      </c>
      <c r="O37" s="16" t="str">
        <f t="shared" si="5"/>
        <v>1-12</v>
      </c>
      <c r="P37" s="16" t="str">
        <f t="shared" si="6"/>
        <v>1-12</v>
      </c>
      <c r="Q37" s="16" t="str">
        <f t="shared" si="7"/>
        <v>0</v>
      </c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">
        <v>182303.0</v>
      </c>
      <c r="B38" s="9" t="s">
        <v>120</v>
      </c>
      <c r="C38" s="10" t="s">
        <v>121</v>
      </c>
      <c r="D38" s="11" t="s">
        <v>113</v>
      </c>
      <c r="E38" s="12" t="s">
        <v>117</v>
      </c>
      <c r="F38" s="13" t="str">
        <f t="array" ref="F38">INDEX(Turmas!D2:D106,MATCH(E38,Turmas!A2:A106,0))</f>
        <v>Noite</v>
      </c>
      <c r="G38" s="14">
        <v>0.0</v>
      </c>
      <c r="H38" s="15">
        <v>4.0</v>
      </c>
      <c r="I38" s="15">
        <v>0.0</v>
      </c>
      <c r="J38" s="15">
        <v>2.0</v>
      </c>
      <c r="K38" s="15">
        <f t="shared" si="1"/>
        <v>2</v>
      </c>
      <c r="L38" s="16" t="str">
        <f t="shared" si="2"/>
        <v>1-12</v>
      </c>
      <c r="M38" s="16" t="str">
        <f t="shared" si="3"/>
        <v>1-12</v>
      </c>
      <c r="N38" s="16" t="str">
        <f t="shared" si="4"/>
        <v>1-12</v>
      </c>
      <c r="O38" s="16" t="str">
        <f t="shared" si="5"/>
        <v>1-12</v>
      </c>
      <c r="P38" s="16" t="str">
        <f t="shared" si="6"/>
        <v>1-12</v>
      </c>
      <c r="Q38" s="16" t="str">
        <f t="shared" si="7"/>
        <v>0</v>
      </c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">
        <v>182304.0</v>
      </c>
      <c r="B39" s="9" t="s">
        <v>122</v>
      </c>
      <c r="C39" s="10" t="s">
        <v>123</v>
      </c>
      <c r="D39" s="11" t="s">
        <v>89</v>
      </c>
      <c r="E39" s="12" t="s">
        <v>117</v>
      </c>
      <c r="F39" s="13" t="str">
        <f t="array" ref="F39">INDEX(Turmas!D2:D106,MATCH(E39,Turmas!A2:A106,0))</f>
        <v>Noite</v>
      </c>
      <c r="G39" s="14">
        <v>0.0</v>
      </c>
      <c r="H39" s="15">
        <v>4.0</v>
      </c>
      <c r="I39" s="15">
        <v>0.0</v>
      </c>
      <c r="J39" s="15">
        <v>4.0</v>
      </c>
      <c r="K39" s="15">
        <f t="shared" si="1"/>
        <v>1</v>
      </c>
      <c r="L39" s="16" t="str">
        <f t="shared" si="2"/>
        <v>1-12</v>
      </c>
      <c r="M39" s="16" t="str">
        <f t="shared" si="3"/>
        <v>1-12</v>
      </c>
      <c r="N39" s="16" t="str">
        <f t="shared" si="4"/>
        <v>1-12</v>
      </c>
      <c r="O39" s="16" t="str">
        <f t="shared" si="5"/>
        <v>1-12</v>
      </c>
      <c r="P39" s="16" t="str">
        <f t="shared" si="6"/>
        <v>1-12</v>
      </c>
      <c r="Q39" s="16" t="str">
        <f t="shared" si="7"/>
        <v>0</v>
      </c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">
        <v>182302.0</v>
      </c>
      <c r="B40" s="9" t="s">
        <v>124</v>
      </c>
      <c r="C40" s="10" t="s">
        <v>125</v>
      </c>
      <c r="D40" s="11" t="s">
        <v>116</v>
      </c>
      <c r="E40" s="12" t="s">
        <v>117</v>
      </c>
      <c r="F40" s="13" t="str">
        <f t="array" ref="F40">INDEX(Turmas!D2:D106,MATCH(E40,Turmas!A2:A106,0))</f>
        <v>Noite</v>
      </c>
      <c r="G40" s="14">
        <v>0.0</v>
      </c>
      <c r="H40" s="15">
        <v>4.0</v>
      </c>
      <c r="I40" s="15">
        <v>0.0</v>
      </c>
      <c r="J40" s="15">
        <v>2.0</v>
      </c>
      <c r="K40" s="15">
        <f t="shared" si="1"/>
        <v>2</v>
      </c>
      <c r="L40" s="16" t="str">
        <f t="shared" si="2"/>
        <v>1-12</v>
      </c>
      <c r="M40" s="16" t="str">
        <f t="shared" si="3"/>
        <v>1-12</v>
      </c>
      <c r="N40" s="16" t="str">
        <f t="shared" si="4"/>
        <v>1-12</v>
      </c>
      <c r="O40" s="16" t="str">
        <f t="shared" si="5"/>
        <v>1-12</v>
      </c>
      <c r="P40" s="16" t="str">
        <f t="shared" si="6"/>
        <v>1-12</v>
      </c>
      <c r="Q40" s="16" t="str">
        <f t="shared" si="7"/>
        <v>0</v>
      </c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">
        <v>182306.0</v>
      </c>
      <c r="B41" s="9" t="s">
        <v>126</v>
      </c>
      <c r="C41" s="10" t="s">
        <v>127</v>
      </c>
      <c r="D41" s="11" t="s">
        <v>128</v>
      </c>
      <c r="E41" s="12" t="s">
        <v>129</v>
      </c>
      <c r="F41" s="13" t="str">
        <f t="array" ref="F41">INDEX(Turmas!D2:D106,MATCH(E41,Turmas!A2:A106,0))</f>
        <v>Noite</v>
      </c>
      <c r="G41" s="14">
        <v>0.0</v>
      </c>
      <c r="H41" s="15">
        <v>4.0</v>
      </c>
      <c r="I41" s="15">
        <v>0.0</v>
      </c>
      <c r="J41" s="15">
        <v>4.0</v>
      </c>
      <c r="K41" s="15">
        <f t="shared" si="1"/>
        <v>1</v>
      </c>
      <c r="L41" s="16" t="str">
        <f t="shared" si="2"/>
        <v>1-12</v>
      </c>
      <c r="M41" s="16" t="str">
        <f t="shared" si="3"/>
        <v>1-12</v>
      </c>
      <c r="N41" s="16" t="str">
        <f t="shared" si="4"/>
        <v>1-12</v>
      </c>
      <c r="O41" s="16" t="str">
        <f t="shared" si="5"/>
        <v>1-12</v>
      </c>
      <c r="P41" s="16" t="str">
        <f t="shared" si="6"/>
        <v>1-12</v>
      </c>
      <c r="Q41" s="16" t="str">
        <f t="shared" si="7"/>
        <v>0</v>
      </c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">
        <v>182305.0</v>
      </c>
      <c r="B42" s="9" t="s">
        <v>130</v>
      </c>
      <c r="C42" s="10" t="s">
        <v>131</v>
      </c>
      <c r="D42" s="11" t="s">
        <v>23</v>
      </c>
      <c r="E42" s="12" t="s">
        <v>129</v>
      </c>
      <c r="F42" s="13" t="str">
        <f t="array" ref="F42">INDEX(Turmas!D2:D106,MATCH(E42,Turmas!A2:A106,0))</f>
        <v>Noite</v>
      </c>
      <c r="G42" s="14">
        <v>0.0</v>
      </c>
      <c r="H42" s="15">
        <v>4.0</v>
      </c>
      <c r="I42" s="15">
        <v>0.0</v>
      </c>
      <c r="J42" s="15">
        <v>2.0</v>
      </c>
      <c r="K42" s="15">
        <f t="shared" si="1"/>
        <v>2</v>
      </c>
      <c r="L42" s="16" t="str">
        <f t="shared" si="2"/>
        <v>1-12</v>
      </c>
      <c r="M42" s="16" t="str">
        <f t="shared" si="3"/>
        <v>1-12</v>
      </c>
      <c r="N42" s="16" t="str">
        <f t="shared" si="4"/>
        <v>1-12</v>
      </c>
      <c r="O42" s="16" t="str">
        <f t="shared" si="5"/>
        <v>1-12</v>
      </c>
      <c r="P42" s="16" t="str">
        <f t="shared" si="6"/>
        <v>1-12</v>
      </c>
      <c r="Q42" s="16" t="str">
        <f t="shared" si="7"/>
        <v>0</v>
      </c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">
        <v>182307.0</v>
      </c>
      <c r="B43" s="9" t="s">
        <v>132</v>
      </c>
      <c r="C43" s="10" t="s">
        <v>133</v>
      </c>
      <c r="D43" s="11" t="s">
        <v>134</v>
      </c>
      <c r="E43" s="12" t="s">
        <v>129</v>
      </c>
      <c r="F43" s="13" t="str">
        <f t="array" ref="F43">INDEX(Turmas!D2:D106,MATCH(E43,Turmas!A2:A106,0))</f>
        <v>Noite</v>
      </c>
      <c r="G43" s="14">
        <v>0.0</v>
      </c>
      <c r="H43" s="15">
        <v>4.0</v>
      </c>
      <c r="I43" s="15">
        <v>0.0</v>
      </c>
      <c r="J43" s="15">
        <v>2.0</v>
      </c>
      <c r="K43" s="15">
        <f t="shared" si="1"/>
        <v>2</v>
      </c>
      <c r="L43" s="16" t="str">
        <f t="shared" si="2"/>
        <v>1-12</v>
      </c>
      <c r="M43" s="16" t="str">
        <f t="shared" si="3"/>
        <v>1-12</v>
      </c>
      <c r="N43" s="16" t="str">
        <f t="shared" si="4"/>
        <v>1-12</v>
      </c>
      <c r="O43" s="16" t="str">
        <f t="shared" si="5"/>
        <v>1-12</v>
      </c>
      <c r="P43" s="16" t="str">
        <f t="shared" si="6"/>
        <v>1-12</v>
      </c>
      <c r="Q43" s="16" t="str">
        <f t="shared" si="7"/>
        <v>0</v>
      </c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">
        <v>182308.0</v>
      </c>
      <c r="B44" s="9" t="s">
        <v>135</v>
      </c>
      <c r="C44" s="10" t="s">
        <v>136</v>
      </c>
      <c r="D44" s="11" t="s">
        <v>53</v>
      </c>
      <c r="E44" s="12" t="s">
        <v>129</v>
      </c>
      <c r="F44" s="13" t="str">
        <f t="array" ref="F44">INDEX(Turmas!D2:D106,MATCH(E44,Turmas!A2:A106,0))</f>
        <v>Noite</v>
      </c>
      <c r="G44" s="14">
        <v>0.0</v>
      </c>
      <c r="H44" s="15">
        <v>4.0</v>
      </c>
      <c r="I44" s="15">
        <v>0.0</v>
      </c>
      <c r="J44" s="15">
        <v>4.0</v>
      </c>
      <c r="K44" s="15">
        <f t="shared" si="1"/>
        <v>1</v>
      </c>
      <c r="L44" s="16" t="str">
        <f t="shared" si="2"/>
        <v>1-12</v>
      </c>
      <c r="M44" s="16" t="str">
        <f t="shared" si="3"/>
        <v>1-12</v>
      </c>
      <c r="N44" s="16" t="str">
        <f t="shared" si="4"/>
        <v>1-12</v>
      </c>
      <c r="O44" s="16" t="str">
        <f t="shared" si="5"/>
        <v>1-12</v>
      </c>
      <c r="P44" s="16" t="str">
        <f t="shared" si="6"/>
        <v>1-12</v>
      </c>
      <c r="Q44" s="16" t="str">
        <f t="shared" si="7"/>
        <v>0</v>
      </c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">
        <v>183789.0</v>
      </c>
      <c r="B45" s="9" t="s">
        <v>137</v>
      </c>
      <c r="C45" s="10" t="s">
        <v>138</v>
      </c>
      <c r="D45" s="11" t="s">
        <v>113</v>
      </c>
      <c r="E45" s="12" t="s">
        <v>129</v>
      </c>
      <c r="F45" s="13" t="str">
        <f t="array" ref="F45">INDEX(Turmas!D2:D106,MATCH(E45,Turmas!A2:A106,0))</f>
        <v>Noite</v>
      </c>
      <c r="G45" s="14">
        <v>0.0</v>
      </c>
      <c r="H45" s="15">
        <v>4.0</v>
      </c>
      <c r="I45" s="15">
        <v>0.0</v>
      </c>
      <c r="J45" s="15">
        <v>2.0</v>
      </c>
      <c r="K45" s="15">
        <f t="shared" si="1"/>
        <v>2</v>
      </c>
      <c r="L45" s="16" t="str">
        <f t="shared" si="2"/>
        <v>1-12</v>
      </c>
      <c r="M45" s="16" t="str">
        <f t="shared" si="3"/>
        <v>1-12</v>
      </c>
      <c r="N45" s="16" t="str">
        <f t="shared" si="4"/>
        <v>1-12</v>
      </c>
      <c r="O45" s="16" t="str">
        <f t="shared" si="5"/>
        <v>1-12</v>
      </c>
      <c r="P45" s="16" t="str">
        <f t="shared" si="6"/>
        <v>1-12</v>
      </c>
      <c r="Q45" s="16" t="str">
        <f t="shared" si="7"/>
        <v>0</v>
      </c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">
        <v>183914.0</v>
      </c>
      <c r="B46" s="9" t="s">
        <v>139</v>
      </c>
      <c r="C46" s="10" t="s">
        <v>140</v>
      </c>
      <c r="D46" s="11" t="s">
        <v>89</v>
      </c>
      <c r="E46" s="12" t="s">
        <v>141</v>
      </c>
      <c r="F46" s="13" t="str">
        <f t="array" ref="F46">INDEX(Turmas!D2:D106,MATCH(E46,Turmas!A2:A106,0))</f>
        <v>Noite</v>
      </c>
      <c r="G46" s="14">
        <v>10.0</v>
      </c>
      <c r="H46" s="15">
        <v>4.0</v>
      </c>
      <c r="I46" s="15">
        <v>0.0</v>
      </c>
      <c r="J46" s="15">
        <v>2.0</v>
      </c>
      <c r="K46" s="15">
        <f t="shared" si="1"/>
        <v>2</v>
      </c>
      <c r="L46" s="16" t="str">
        <f t="shared" si="2"/>
        <v>1-12</v>
      </c>
      <c r="M46" s="16" t="str">
        <f t="shared" si="3"/>
        <v>1-12</v>
      </c>
      <c r="N46" s="16" t="str">
        <f t="shared" si="4"/>
        <v>1-12</v>
      </c>
      <c r="O46" s="16" t="str">
        <f t="shared" si="5"/>
        <v>1-12</v>
      </c>
      <c r="P46" s="16" t="str">
        <f t="shared" si="6"/>
        <v>1-12</v>
      </c>
      <c r="Q46" s="16" t="str">
        <f t="shared" si="7"/>
        <v>0</v>
      </c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">
        <v>183916.0</v>
      </c>
      <c r="B47" s="9" t="s">
        <v>142</v>
      </c>
      <c r="C47" s="10" t="s">
        <v>143</v>
      </c>
      <c r="D47" s="11" t="s">
        <v>89</v>
      </c>
      <c r="E47" s="12" t="s">
        <v>141</v>
      </c>
      <c r="F47" s="13" t="str">
        <f t="array" ref="F47">INDEX(Turmas!D2:D106,MATCH(E47,Turmas!A2:A106,0))</f>
        <v>Noite</v>
      </c>
      <c r="G47" s="14">
        <v>10.0</v>
      </c>
      <c r="H47" s="15">
        <v>4.0</v>
      </c>
      <c r="I47" s="15">
        <v>0.0</v>
      </c>
      <c r="J47" s="15">
        <v>2.0</v>
      </c>
      <c r="K47" s="15">
        <f t="shared" si="1"/>
        <v>2</v>
      </c>
      <c r="L47" s="16" t="str">
        <f t="shared" si="2"/>
        <v>1-12</v>
      </c>
      <c r="M47" s="16" t="str">
        <f t="shared" si="3"/>
        <v>1-12</v>
      </c>
      <c r="N47" s="16" t="str">
        <f t="shared" si="4"/>
        <v>1-12</v>
      </c>
      <c r="O47" s="16" t="str">
        <f t="shared" si="5"/>
        <v>1-12</v>
      </c>
      <c r="P47" s="16" t="str">
        <f t="shared" si="6"/>
        <v>1-12</v>
      </c>
      <c r="Q47" s="16" t="str">
        <f t="shared" si="7"/>
        <v>0</v>
      </c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">
        <v>183454.0</v>
      </c>
      <c r="B48" s="9" t="s">
        <v>144</v>
      </c>
      <c r="C48" s="10" t="s">
        <v>145</v>
      </c>
      <c r="D48" s="11" t="s">
        <v>146</v>
      </c>
      <c r="E48" s="12" t="s">
        <v>147</v>
      </c>
      <c r="F48" s="13" t="str">
        <f t="array" ref="F48">INDEX(Turmas!D2:D106,MATCH(E48,Turmas!A2:A106,0))</f>
        <v>Manhã</v>
      </c>
      <c r="G48" s="14">
        <v>0.0</v>
      </c>
      <c r="H48" s="15">
        <v>3.0</v>
      </c>
      <c r="I48" s="15">
        <v>0.0</v>
      </c>
      <c r="J48" s="15">
        <v>2.0</v>
      </c>
      <c r="K48" s="15">
        <f t="shared" si="1"/>
        <v>1</v>
      </c>
      <c r="L48" s="16" t="str">
        <f t="shared" si="2"/>
        <v>7-16</v>
      </c>
      <c r="M48" s="16" t="str">
        <f t="shared" si="3"/>
        <v>7-16</v>
      </c>
      <c r="N48" s="16" t="str">
        <f t="shared" si="4"/>
        <v>7-16</v>
      </c>
      <c r="O48" s="16" t="str">
        <f t="shared" si="5"/>
        <v>7-16</v>
      </c>
      <c r="P48" s="16" t="str">
        <f t="shared" si="6"/>
        <v>7-16</v>
      </c>
      <c r="Q48" s="16" t="str">
        <f t="shared" si="7"/>
        <v>1-16</v>
      </c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">
        <v>183453.0</v>
      </c>
      <c r="B49" s="9" t="s">
        <v>148</v>
      </c>
      <c r="C49" s="10" t="s">
        <v>149</v>
      </c>
      <c r="D49" s="11" t="s">
        <v>150</v>
      </c>
      <c r="E49" s="12" t="s">
        <v>147</v>
      </c>
      <c r="F49" s="13" t="str">
        <f t="array" ref="F49">INDEX(Turmas!D2:D106,MATCH(E49,Turmas!A2:A106,0))</f>
        <v>Manhã</v>
      </c>
      <c r="G49" s="14">
        <v>0.0</v>
      </c>
      <c r="H49" s="15">
        <v>5.0</v>
      </c>
      <c r="I49" s="15">
        <v>0.0</v>
      </c>
      <c r="J49" s="15">
        <v>5.0</v>
      </c>
      <c r="K49" s="15">
        <f t="shared" si="1"/>
        <v>1</v>
      </c>
      <c r="L49" s="16" t="str">
        <f t="shared" si="2"/>
        <v>7-16</v>
      </c>
      <c r="M49" s="16" t="str">
        <f t="shared" si="3"/>
        <v>7-16</v>
      </c>
      <c r="N49" s="16" t="str">
        <f t="shared" si="4"/>
        <v>7-16</v>
      </c>
      <c r="O49" s="16" t="str">
        <f t="shared" si="5"/>
        <v>7-16</v>
      </c>
      <c r="P49" s="16" t="str">
        <f t="shared" si="6"/>
        <v>7-16</v>
      </c>
      <c r="Q49" s="16" t="str">
        <f t="shared" si="7"/>
        <v>1-16</v>
      </c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">
        <v>183456.0</v>
      </c>
      <c r="B50" s="9" t="s">
        <v>151</v>
      </c>
      <c r="C50" s="10" t="s">
        <v>152</v>
      </c>
      <c r="D50" s="11" t="s">
        <v>153</v>
      </c>
      <c r="E50" s="12" t="s">
        <v>147</v>
      </c>
      <c r="F50" s="13" t="str">
        <f t="array" ref="F50">INDEX(Turmas!D2:D106,MATCH(E50,Turmas!A2:A106,0))</f>
        <v>Manhã</v>
      </c>
      <c r="G50" s="14">
        <v>0.0</v>
      </c>
      <c r="H50" s="15">
        <v>4.0</v>
      </c>
      <c r="I50" s="15">
        <v>0.0</v>
      </c>
      <c r="J50" s="15">
        <v>4.0</v>
      </c>
      <c r="K50" s="15">
        <f t="shared" si="1"/>
        <v>1</v>
      </c>
      <c r="L50" s="16" t="str">
        <f t="shared" si="2"/>
        <v>7-16</v>
      </c>
      <c r="M50" s="16" t="str">
        <f t="shared" si="3"/>
        <v>7-16</v>
      </c>
      <c r="N50" s="16" t="str">
        <f t="shared" si="4"/>
        <v>7-16</v>
      </c>
      <c r="O50" s="16" t="str">
        <f t="shared" si="5"/>
        <v>7-16</v>
      </c>
      <c r="P50" s="16" t="str">
        <f t="shared" si="6"/>
        <v>7-16</v>
      </c>
      <c r="Q50" s="16" t="str">
        <f t="shared" si="7"/>
        <v>1-16</v>
      </c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">
        <v>183452.0</v>
      </c>
      <c r="B51" s="9" t="s">
        <v>154</v>
      </c>
      <c r="C51" s="10" t="s">
        <v>155</v>
      </c>
      <c r="D51" s="11" t="s">
        <v>156</v>
      </c>
      <c r="E51" s="12" t="s">
        <v>147</v>
      </c>
      <c r="F51" s="13" t="str">
        <f t="array" ref="F51">INDEX(Turmas!D2:D106,MATCH(E51,Turmas!A2:A106,0))</f>
        <v>Manhã</v>
      </c>
      <c r="G51" s="14">
        <v>0.0</v>
      </c>
      <c r="H51" s="15">
        <v>3.0</v>
      </c>
      <c r="I51" s="15">
        <v>0.0</v>
      </c>
      <c r="J51" s="15">
        <v>2.0</v>
      </c>
      <c r="K51" s="15">
        <f t="shared" si="1"/>
        <v>1</v>
      </c>
      <c r="L51" s="16" t="str">
        <f t="shared" si="2"/>
        <v>7-16</v>
      </c>
      <c r="M51" s="16" t="str">
        <f t="shared" si="3"/>
        <v>7-16</v>
      </c>
      <c r="N51" s="16" t="str">
        <f t="shared" si="4"/>
        <v>7-16</v>
      </c>
      <c r="O51" s="16" t="str">
        <f t="shared" si="5"/>
        <v>7-16</v>
      </c>
      <c r="P51" s="16" t="str">
        <f t="shared" si="6"/>
        <v>7-16</v>
      </c>
      <c r="Q51" s="16" t="str">
        <f t="shared" si="7"/>
        <v>1-16</v>
      </c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">
        <v>183455.0</v>
      </c>
      <c r="B52" s="9" t="s">
        <v>157</v>
      </c>
      <c r="C52" s="10" t="s">
        <v>158</v>
      </c>
      <c r="D52" s="11" t="s">
        <v>159</v>
      </c>
      <c r="E52" s="12" t="s">
        <v>147</v>
      </c>
      <c r="F52" s="13" t="str">
        <f t="array" ref="F52">INDEX(Turmas!D2:D106,MATCH(E52,Turmas!A2:A106,0))</f>
        <v>Manhã</v>
      </c>
      <c r="G52" s="14">
        <v>0.0</v>
      </c>
      <c r="H52" s="15">
        <v>4.0</v>
      </c>
      <c r="I52" s="15">
        <v>0.0</v>
      </c>
      <c r="J52" s="15">
        <v>2.0</v>
      </c>
      <c r="K52" s="15">
        <f t="shared" si="1"/>
        <v>2</v>
      </c>
      <c r="L52" s="16" t="str">
        <f t="shared" si="2"/>
        <v>7-16</v>
      </c>
      <c r="M52" s="16" t="str">
        <f t="shared" si="3"/>
        <v>7-16</v>
      </c>
      <c r="N52" s="16" t="str">
        <f t="shared" si="4"/>
        <v>7-16</v>
      </c>
      <c r="O52" s="16" t="str">
        <f t="shared" si="5"/>
        <v>7-16</v>
      </c>
      <c r="P52" s="16" t="str">
        <f t="shared" si="6"/>
        <v>7-16</v>
      </c>
      <c r="Q52" s="16" t="str">
        <f t="shared" si="7"/>
        <v>1-16</v>
      </c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">
        <v>183457.0</v>
      </c>
      <c r="B53" s="9" t="s">
        <v>160</v>
      </c>
      <c r="C53" s="10" t="s">
        <v>161</v>
      </c>
      <c r="D53" s="11" t="s">
        <v>162</v>
      </c>
      <c r="E53" s="12" t="s">
        <v>163</v>
      </c>
      <c r="F53" s="13" t="str">
        <f t="array" ref="F53">INDEX(Turmas!D2:D106,MATCH(E53,Turmas!A2:A106,0))</f>
        <v>Manhã</v>
      </c>
      <c r="G53" s="14">
        <v>0.0</v>
      </c>
      <c r="H53" s="15">
        <v>4.0</v>
      </c>
      <c r="I53" s="15">
        <v>0.0</v>
      </c>
      <c r="J53" s="15">
        <v>2.0</v>
      </c>
      <c r="K53" s="15">
        <f t="shared" si="1"/>
        <v>2</v>
      </c>
      <c r="L53" s="16" t="str">
        <f t="shared" si="2"/>
        <v>7-16</v>
      </c>
      <c r="M53" s="16" t="str">
        <f t="shared" si="3"/>
        <v>7-16</v>
      </c>
      <c r="N53" s="16" t="str">
        <f t="shared" si="4"/>
        <v>7-16</v>
      </c>
      <c r="O53" s="16" t="str">
        <f t="shared" si="5"/>
        <v>7-16</v>
      </c>
      <c r="P53" s="16" t="str">
        <f t="shared" si="6"/>
        <v>7-16</v>
      </c>
      <c r="Q53" s="16" t="str">
        <f t="shared" si="7"/>
        <v>1-16</v>
      </c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">
        <v>183458.0</v>
      </c>
      <c r="B54" s="9" t="s">
        <v>164</v>
      </c>
      <c r="C54" s="10" t="s">
        <v>165</v>
      </c>
      <c r="D54" s="11" t="s">
        <v>150</v>
      </c>
      <c r="E54" s="12" t="s">
        <v>163</v>
      </c>
      <c r="F54" s="13" t="str">
        <f t="array" ref="F54">INDEX(Turmas!D2:D106,MATCH(E54,Turmas!A2:A106,0))</f>
        <v>Manhã</v>
      </c>
      <c r="G54" s="14">
        <v>0.0</v>
      </c>
      <c r="H54" s="15">
        <v>4.0</v>
      </c>
      <c r="I54" s="15">
        <v>0.0</v>
      </c>
      <c r="J54" s="15">
        <v>2.0</v>
      </c>
      <c r="K54" s="15">
        <f t="shared" si="1"/>
        <v>2</v>
      </c>
      <c r="L54" s="16" t="str">
        <f t="shared" si="2"/>
        <v>7-16</v>
      </c>
      <c r="M54" s="16" t="str">
        <f t="shared" si="3"/>
        <v>7-16</v>
      </c>
      <c r="N54" s="16" t="str">
        <f t="shared" si="4"/>
        <v>7-16</v>
      </c>
      <c r="O54" s="16" t="str">
        <f t="shared" si="5"/>
        <v>7-16</v>
      </c>
      <c r="P54" s="16" t="str">
        <f t="shared" si="6"/>
        <v>7-16</v>
      </c>
      <c r="Q54" s="16" t="str">
        <f t="shared" si="7"/>
        <v>1-16</v>
      </c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">
        <v>183459.0</v>
      </c>
      <c r="B55" s="9" t="s">
        <v>166</v>
      </c>
      <c r="C55" s="10" t="s">
        <v>167</v>
      </c>
      <c r="D55" s="11" t="s">
        <v>168</v>
      </c>
      <c r="E55" s="12" t="s">
        <v>163</v>
      </c>
      <c r="F55" s="13" t="str">
        <f t="array" ref="F55">INDEX(Turmas!D2:D106,MATCH(E55,Turmas!A2:A106,0))</f>
        <v>Manhã</v>
      </c>
      <c r="G55" s="14">
        <v>0.0</v>
      </c>
      <c r="H55" s="15">
        <v>3.0</v>
      </c>
      <c r="I55" s="15">
        <v>0.0</v>
      </c>
      <c r="J55" s="15">
        <v>2.0</v>
      </c>
      <c r="K55" s="15">
        <f t="shared" si="1"/>
        <v>1</v>
      </c>
      <c r="L55" s="16" t="str">
        <f t="shared" si="2"/>
        <v>7-16</v>
      </c>
      <c r="M55" s="16" t="str">
        <f t="shared" si="3"/>
        <v>7-16</v>
      </c>
      <c r="N55" s="16" t="str">
        <f t="shared" si="4"/>
        <v>7-16</v>
      </c>
      <c r="O55" s="16" t="str">
        <f t="shared" si="5"/>
        <v>7-16</v>
      </c>
      <c r="P55" s="16" t="str">
        <f t="shared" si="6"/>
        <v>7-16</v>
      </c>
      <c r="Q55" s="16" t="str">
        <f t="shared" si="7"/>
        <v>1-16</v>
      </c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">
        <v>183461.0</v>
      </c>
      <c r="B56" s="9" t="s">
        <v>169</v>
      </c>
      <c r="C56" s="10" t="s">
        <v>170</v>
      </c>
      <c r="D56" s="11" t="s">
        <v>171</v>
      </c>
      <c r="E56" s="12" t="s">
        <v>163</v>
      </c>
      <c r="F56" s="13" t="str">
        <f t="array" ref="F56">INDEX(Turmas!D2:D106,MATCH(E56,Turmas!A2:A106,0))</f>
        <v>Manhã</v>
      </c>
      <c r="G56" s="14">
        <v>0.0</v>
      </c>
      <c r="H56" s="15">
        <v>4.0</v>
      </c>
      <c r="I56" s="15">
        <v>0.0</v>
      </c>
      <c r="J56" s="15">
        <v>2.0</v>
      </c>
      <c r="K56" s="15">
        <f t="shared" si="1"/>
        <v>2</v>
      </c>
      <c r="L56" s="16" t="str">
        <f t="shared" si="2"/>
        <v>7-16</v>
      </c>
      <c r="M56" s="16" t="str">
        <f t="shared" si="3"/>
        <v>7-16</v>
      </c>
      <c r="N56" s="16" t="str">
        <f t="shared" si="4"/>
        <v>7-16</v>
      </c>
      <c r="O56" s="16" t="str">
        <f t="shared" si="5"/>
        <v>7-16</v>
      </c>
      <c r="P56" s="16" t="str">
        <f t="shared" si="6"/>
        <v>7-16</v>
      </c>
      <c r="Q56" s="16" t="str">
        <f t="shared" si="7"/>
        <v>1-16</v>
      </c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">
        <v>183460.0</v>
      </c>
      <c r="B57" s="9" t="s">
        <v>172</v>
      </c>
      <c r="C57" s="10" t="s">
        <v>173</v>
      </c>
      <c r="D57" s="11" t="s">
        <v>174</v>
      </c>
      <c r="E57" s="12" t="s">
        <v>163</v>
      </c>
      <c r="F57" s="13" t="str">
        <f t="array" ref="F57">INDEX(Turmas!D2:D106,MATCH(E57,Turmas!A2:A106,0))</f>
        <v>Manhã</v>
      </c>
      <c r="G57" s="14">
        <v>0.0</v>
      </c>
      <c r="H57" s="15">
        <v>3.0</v>
      </c>
      <c r="I57" s="15">
        <v>0.0</v>
      </c>
      <c r="J57" s="15">
        <v>2.0</v>
      </c>
      <c r="K57" s="15">
        <f t="shared" si="1"/>
        <v>1</v>
      </c>
      <c r="L57" s="16" t="str">
        <f t="shared" si="2"/>
        <v>7-16</v>
      </c>
      <c r="M57" s="16" t="str">
        <f t="shared" si="3"/>
        <v>7-16</v>
      </c>
      <c r="N57" s="16" t="str">
        <f t="shared" si="4"/>
        <v>7-16</v>
      </c>
      <c r="O57" s="16" t="str">
        <f t="shared" si="5"/>
        <v>7-16</v>
      </c>
      <c r="P57" s="16" t="str">
        <f t="shared" si="6"/>
        <v>7-16</v>
      </c>
      <c r="Q57" s="16" t="str">
        <f t="shared" si="7"/>
        <v>1-16</v>
      </c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">
        <v>183462.0</v>
      </c>
      <c r="B58" s="9" t="s">
        <v>175</v>
      </c>
      <c r="C58" s="10" t="s">
        <v>176</v>
      </c>
      <c r="D58" s="11" t="s">
        <v>177</v>
      </c>
      <c r="E58" s="12" t="s">
        <v>163</v>
      </c>
      <c r="F58" s="13" t="str">
        <f t="array" ref="F58">INDEX(Turmas!D2:D106,MATCH(E58,Turmas!A2:A106,0))</f>
        <v>Manhã</v>
      </c>
      <c r="G58" s="14">
        <v>0.0</v>
      </c>
      <c r="H58" s="15">
        <v>4.0</v>
      </c>
      <c r="I58" s="15">
        <v>0.0</v>
      </c>
      <c r="J58" s="15">
        <v>4.0</v>
      </c>
      <c r="K58" s="15">
        <f t="shared" si="1"/>
        <v>1</v>
      </c>
      <c r="L58" s="16" t="str">
        <f t="shared" si="2"/>
        <v>7-16</v>
      </c>
      <c r="M58" s="16" t="str">
        <f t="shared" si="3"/>
        <v>7-16</v>
      </c>
      <c r="N58" s="16" t="str">
        <f t="shared" si="4"/>
        <v>7-16</v>
      </c>
      <c r="O58" s="16" t="str">
        <f t="shared" si="5"/>
        <v>7-16</v>
      </c>
      <c r="P58" s="16" t="str">
        <f t="shared" si="6"/>
        <v>7-16</v>
      </c>
      <c r="Q58" s="16" t="str">
        <f t="shared" si="7"/>
        <v>1-16</v>
      </c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">
        <v>183465.0</v>
      </c>
      <c r="B59" s="9" t="s">
        <v>144</v>
      </c>
      <c r="C59" s="10" t="s">
        <v>145</v>
      </c>
      <c r="D59" s="11" t="s">
        <v>146</v>
      </c>
      <c r="E59" s="12" t="s">
        <v>178</v>
      </c>
      <c r="F59" s="13" t="str">
        <f t="array" ref="F59">INDEX(Turmas!D2:D106,MATCH(E59,Turmas!A2:A106,0))</f>
        <v>Tarde</v>
      </c>
      <c r="G59" s="14">
        <v>0.0</v>
      </c>
      <c r="H59" s="15">
        <v>3.0</v>
      </c>
      <c r="I59" s="15">
        <v>0.0</v>
      </c>
      <c r="J59" s="15">
        <v>2.0</v>
      </c>
      <c r="K59" s="15">
        <f t="shared" si="1"/>
        <v>1</v>
      </c>
      <c r="L59" s="16" t="str">
        <f t="shared" si="2"/>
        <v>1-6,13-16</v>
      </c>
      <c r="M59" s="16" t="str">
        <f t="shared" si="3"/>
        <v>1-6,13-16</v>
      </c>
      <c r="N59" s="16" t="str">
        <f t="shared" si="4"/>
        <v>1-6,13-16</v>
      </c>
      <c r="O59" s="16" t="str">
        <f t="shared" si="5"/>
        <v>1-6,13-16</v>
      </c>
      <c r="P59" s="16" t="str">
        <f t="shared" si="6"/>
        <v>1-6,13-16</v>
      </c>
      <c r="Q59" s="16" t="str">
        <f t="shared" si="7"/>
        <v>1-16</v>
      </c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">
        <v>183464.0</v>
      </c>
      <c r="B60" s="9" t="s">
        <v>148</v>
      </c>
      <c r="C60" s="10" t="s">
        <v>149</v>
      </c>
      <c r="D60" s="11" t="s">
        <v>150</v>
      </c>
      <c r="E60" s="12" t="s">
        <v>178</v>
      </c>
      <c r="F60" s="13" t="str">
        <f t="array" ref="F60">INDEX(Turmas!D2:D106,MATCH(E60,Turmas!A2:A106,0))</f>
        <v>Tarde</v>
      </c>
      <c r="G60" s="14">
        <v>0.0</v>
      </c>
      <c r="H60" s="15">
        <v>5.0</v>
      </c>
      <c r="I60" s="15">
        <v>0.0</v>
      </c>
      <c r="J60" s="15">
        <v>2.0</v>
      </c>
      <c r="K60" s="15">
        <f t="shared" si="1"/>
        <v>2</v>
      </c>
      <c r="L60" s="16" t="str">
        <f t="shared" si="2"/>
        <v>1-6,13-16</v>
      </c>
      <c r="M60" s="16" t="str">
        <f t="shared" si="3"/>
        <v>1-6,13-16</v>
      </c>
      <c r="N60" s="16" t="str">
        <f t="shared" si="4"/>
        <v>1-6,13-16</v>
      </c>
      <c r="O60" s="16" t="str">
        <f t="shared" si="5"/>
        <v>1-6,13-16</v>
      </c>
      <c r="P60" s="16" t="str">
        <f t="shared" si="6"/>
        <v>1-6,13-16</v>
      </c>
      <c r="Q60" s="16" t="str">
        <f t="shared" si="7"/>
        <v>1-16</v>
      </c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">
        <v>183467.0</v>
      </c>
      <c r="B61" s="9" t="s">
        <v>151</v>
      </c>
      <c r="C61" s="10" t="s">
        <v>152</v>
      </c>
      <c r="D61" s="11" t="s">
        <v>153</v>
      </c>
      <c r="E61" s="12" t="s">
        <v>178</v>
      </c>
      <c r="F61" s="13" t="str">
        <f t="array" ref="F61">INDEX(Turmas!D2:D106,MATCH(E61,Turmas!A2:A106,0))</f>
        <v>Tarde</v>
      </c>
      <c r="G61" s="14">
        <v>0.0</v>
      </c>
      <c r="H61" s="15">
        <v>4.0</v>
      </c>
      <c r="I61" s="15">
        <v>0.0</v>
      </c>
      <c r="J61" s="15">
        <v>2.0</v>
      </c>
      <c r="K61" s="15">
        <f t="shared" si="1"/>
        <v>2</v>
      </c>
      <c r="L61" s="16" t="str">
        <f t="shared" si="2"/>
        <v>1-6,13-16</v>
      </c>
      <c r="M61" s="16" t="str">
        <f t="shared" si="3"/>
        <v>1-6,13-16</v>
      </c>
      <c r="N61" s="16" t="str">
        <f t="shared" si="4"/>
        <v>1-6,13-16</v>
      </c>
      <c r="O61" s="16" t="str">
        <f t="shared" si="5"/>
        <v>1-6,13-16</v>
      </c>
      <c r="P61" s="16" t="str">
        <f t="shared" si="6"/>
        <v>1-6,13-16</v>
      </c>
      <c r="Q61" s="16" t="str">
        <f t="shared" si="7"/>
        <v>1-16</v>
      </c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">
        <v>183463.0</v>
      </c>
      <c r="B62" s="9" t="s">
        <v>154</v>
      </c>
      <c r="C62" s="10" t="s">
        <v>155</v>
      </c>
      <c r="D62" s="11" t="s">
        <v>156</v>
      </c>
      <c r="E62" s="12" t="s">
        <v>178</v>
      </c>
      <c r="F62" s="13" t="str">
        <f t="array" ref="F62">INDEX(Turmas!D2:D106,MATCH(E62,Turmas!A2:A106,0))</f>
        <v>Tarde</v>
      </c>
      <c r="G62" s="14">
        <v>0.0</v>
      </c>
      <c r="H62" s="15">
        <v>4.0</v>
      </c>
      <c r="I62" s="15">
        <v>0.0</v>
      </c>
      <c r="J62" s="15">
        <v>4.0</v>
      </c>
      <c r="K62" s="15">
        <f t="shared" si="1"/>
        <v>1</v>
      </c>
      <c r="L62" s="16" t="str">
        <f t="shared" si="2"/>
        <v>1-6,13-16</v>
      </c>
      <c r="M62" s="16" t="str">
        <f t="shared" si="3"/>
        <v>1-6,13-16</v>
      </c>
      <c r="N62" s="16" t="str">
        <f t="shared" si="4"/>
        <v>1-6,13-16</v>
      </c>
      <c r="O62" s="16" t="str">
        <f t="shared" si="5"/>
        <v>1-6,13-16</v>
      </c>
      <c r="P62" s="16" t="str">
        <f t="shared" si="6"/>
        <v>1-6,13-16</v>
      </c>
      <c r="Q62" s="16" t="str">
        <f t="shared" si="7"/>
        <v>1-16</v>
      </c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">
        <v>183466.0</v>
      </c>
      <c r="B63" s="9" t="s">
        <v>157</v>
      </c>
      <c r="C63" s="10" t="s">
        <v>158</v>
      </c>
      <c r="D63" s="11" t="s">
        <v>159</v>
      </c>
      <c r="E63" s="12" t="s">
        <v>178</v>
      </c>
      <c r="F63" s="13" t="str">
        <f t="array" ref="F63">INDEX(Turmas!D2:D106,MATCH(E63,Turmas!A2:A106,0))</f>
        <v>Tarde</v>
      </c>
      <c r="G63" s="14">
        <v>0.0</v>
      </c>
      <c r="H63" s="15">
        <v>4.0</v>
      </c>
      <c r="I63" s="15">
        <v>0.0</v>
      </c>
      <c r="J63" s="15">
        <v>4.0</v>
      </c>
      <c r="K63" s="15">
        <f t="shared" si="1"/>
        <v>1</v>
      </c>
      <c r="L63" s="16" t="str">
        <f t="shared" si="2"/>
        <v>1-6,13-16</v>
      </c>
      <c r="M63" s="16" t="str">
        <f t="shared" si="3"/>
        <v>1-6,13-16</v>
      </c>
      <c r="N63" s="16" t="str">
        <f t="shared" si="4"/>
        <v>1-6,13-16</v>
      </c>
      <c r="O63" s="16" t="str">
        <f t="shared" si="5"/>
        <v>1-6,13-16</v>
      </c>
      <c r="P63" s="16" t="str">
        <f t="shared" si="6"/>
        <v>1-6,13-16</v>
      </c>
      <c r="Q63" s="16" t="str">
        <f t="shared" si="7"/>
        <v>1-16</v>
      </c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">
        <v>183468.0</v>
      </c>
      <c r="B64" s="9" t="s">
        <v>160</v>
      </c>
      <c r="C64" s="10" t="s">
        <v>161</v>
      </c>
      <c r="D64" s="11" t="s">
        <v>162</v>
      </c>
      <c r="E64" s="12" t="s">
        <v>179</v>
      </c>
      <c r="F64" s="13" t="str">
        <f t="array" ref="F64">INDEX(Turmas!D2:D106,MATCH(E64,Turmas!A2:A106,0))</f>
        <v>Tarde</v>
      </c>
      <c r="G64" s="14">
        <v>0.0</v>
      </c>
      <c r="H64" s="15">
        <v>4.0</v>
      </c>
      <c r="I64" s="15">
        <v>0.0</v>
      </c>
      <c r="J64" s="15">
        <v>2.0</v>
      </c>
      <c r="K64" s="15">
        <f t="shared" si="1"/>
        <v>2</v>
      </c>
      <c r="L64" s="16" t="str">
        <f t="shared" si="2"/>
        <v>1-6,13-16</v>
      </c>
      <c r="M64" s="16" t="str">
        <f t="shared" si="3"/>
        <v>1-6,13-16</v>
      </c>
      <c r="N64" s="16" t="str">
        <f t="shared" si="4"/>
        <v>1-6,13-16</v>
      </c>
      <c r="O64" s="16" t="str">
        <f t="shared" si="5"/>
        <v>1-6,13-16</v>
      </c>
      <c r="P64" s="16" t="str">
        <f t="shared" si="6"/>
        <v>1-6,13-16</v>
      </c>
      <c r="Q64" s="16" t="str">
        <f t="shared" si="7"/>
        <v>1-16</v>
      </c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">
        <v>183469.0</v>
      </c>
      <c r="B65" s="9" t="s">
        <v>164</v>
      </c>
      <c r="C65" s="10" t="s">
        <v>165</v>
      </c>
      <c r="D65" s="11" t="s">
        <v>180</v>
      </c>
      <c r="E65" s="12" t="s">
        <v>179</v>
      </c>
      <c r="F65" s="13" t="str">
        <f t="array" ref="F65">INDEX(Turmas!D2:D106,MATCH(E65,Turmas!A2:A106,0))</f>
        <v>Tarde</v>
      </c>
      <c r="G65" s="14">
        <v>0.0</v>
      </c>
      <c r="H65" s="15">
        <v>4.0</v>
      </c>
      <c r="I65" s="15">
        <v>0.0</v>
      </c>
      <c r="J65" s="15">
        <v>2.0</v>
      </c>
      <c r="K65" s="15">
        <f t="shared" si="1"/>
        <v>2</v>
      </c>
      <c r="L65" s="16" t="str">
        <f t="shared" si="2"/>
        <v>1-6,13-16</v>
      </c>
      <c r="M65" s="16" t="str">
        <f t="shared" si="3"/>
        <v>1-6,13-16</v>
      </c>
      <c r="N65" s="16" t="str">
        <f t="shared" si="4"/>
        <v>1-6,13-16</v>
      </c>
      <c r="O65" s="16" t="str">
        <f t="shared" si="5"/>
        <v>1-6,13-16</v>
      </c>
      <c r="P65" s="16" t="str">
        <f t="shared" si="6"/>
        <v>1-6,13-16</v>
      </c>
      <c r="Q65" s="16" t="str">
        <f t="shared" si="7"/>
        <v>1-16</v>
      </c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">
        <v>183470.0</v>
      </c>
      <c r="B66" s="9" t="s">
        <v>166</v>
      </c>
      <c r="C66" s="10" t="s">
        <v>167</v>
      </c>
      <c r="D66" s="11" t="s">
        <v>168</v>
      </c>
      <c r="E66" s="12" t="s">
        <v>179</v>
      </c>
      <c r="F66" s="13" t="str">
        <f t="array" ref="F66">INDEX(Turmas!D2:D106,MATCH(E66,Turmas!A2:A106,0))</f>
        <v>Tarde</v>
      </c>
      <c r="G66" s="14">
        <v>0.0</v>
      </c>
      <c r="H66" s="15">
        <v>3.0</v>
      </c>
      <c r="I66" s="15">
        <v>0.0</v>
      </c>
      <c r="J66" s="15">
        <v>2.0</v>
      </c>
      <c r="K66" s="15">
        <f t="shared" si="1"/>
        <v>1</v>
      </c>
      <c r="L66" s="16" t="str">
        <f t="shared" si="2"/>
        <v>1-6,13-16</v>
      </c>
      <c r="M66" s="16" t="str">
        <f t="shared" si="3"/>
        <v>1-6,13-16</v>
      </c>
      <c r="N66" s="16" t="str">
        <f t="shared" si="4"/>
        <v>1-6,13-16</v>
      </c>
      <c r="O66" s="16" t="str">
        <f t="shared" si="5"/>
        <v>1-6,13-16</v>
      </c>
      <c r="P66" s="16" t="str">
        <f t="shared" si="6"/>
        <v>1-6,13-16</v>
      </c>
      <c r="Q66" s="16" t="str">
        <f t="shared" si="7"/>
        <v>1-16</v>
      </c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">
        <v>183472.0</v>
      </c>
      <c r="B67" s="9" t="s">
        <v>169</v>
      </c>
      <c r="C67" s="10" t="s">
        <v>170</v>
      </c>
      <c r="D67" s="11" t="s">
        <v>171</v>
      </c>
      <c r="E67" s="12" t="s">
        <v>179</v>
      </c>
      <c r="F67" s="13" t="str">
        <f t="array" ref="F67">INDEX(Turmas!D2:D106,MATCH(E67,Turmas!A2:A106,0))</f>
        <v>Tarde</v>
      </c>
      <c r="G67" s="14">
        <v>0.0</v>
      </c>
      <c r="H67" s="15">
        <v>4.0</v>
      </c>
      <c r="I67" s="15">
        <v>0.0</v>
      </c>
      <c r="J67" s="15">
        <v>2.0</v>
      </c>
      <c r="K67" s="15">
        <f t="shared" si="1"/>
        <v>2</v>
      </c>
      <c r="L67" s="16" t="str">
        <f t="shared" si="2"/>
        <v>1-6,13-16</v>
      </c>
      <c r="M67" s="16" t="str">
        <f t="shared" si="3"/>
        <v>1-6,13-16</v>
      </c>
      <c r="N67" s="16" t="str">
        <f t="shared" si="4"/>
        <v>1-6,13-16</v>
      </c>
      <c r="O67" s="16" t="str">
        <f t="shared" si="5"/>
        <v>1-6,13-16</v>
      </c>
      <c r="P67" s="16" t="str">
        <f t="shared" si="6"/>
        <v>1-6,13-16</v>
      </c>
      <c r="Q67" s="16" t="str">
        <f t="shared" si="7"/>
        <v>1-16</v>
      </c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">
        <v>183471.0</v>
      </c>
      <c r="B68" s="9" t="s">
        <v>172</v>
      </c>
      <c r="C68" s="10" t="s">
        <v>173</v>
      </c>
      <c r="D68" s="11" t="s">
        <v>174</v>
      </c>
      <c r="E68" s="12" t="s">
        <v>179</v>
      </c>
      <c r="F68" s="13" t="str">
        <f t="array" ref="F68">INDEX(Turmas!D2:D106,MATCH(E68,Turmas!A2:A106,0))</f>
        <v>Tarde</v>
      </c>
      <c r="G68" s="14">
        <v>0.0</v>
      </c>
      <c r="H68" s="15">
        <v>4.0</v>
      </c>
      <c r="I68" s="15">
        <v>0.0</v>
      </c>
      <c r="J68" s="15">
        <v>2.0</v>
      </c>
      <c r="K68" s="15">
        <f t="shared" si="1"/>
        <v>2</v>
      </c>
      <c r="L68" s="16" t="str">
        <f t="shared" si="2"/>
        <v>1-6,13-16</v>
      </c>
      <c r="M68" s="16" t="str">
        <f t="shared" si="3"/>
        <v>1-6,13-16</v>
      </c>
      <c r="N68" s="16" t="str">
        <f t="shared" si="4"/>
        <v>1-6,13-16</v>
      </c>
      <c r="O68" s="16" t="str">
        <f t="shared" si="5"/>
        <v>1-6,13-16</v>
      </c>
      <c r="P68" s="16" t="str">
        <f t="shared" si="6"/>
        <v>1-6,13-16</v>
      </c>
      <c r="Q68" s="16" t="str">
        <f t="shared" si="7"/>
        <v>1-16</v>
      </c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">
        <v>183473.0</v>
      </c>
      <c r="B69" s="9" t="s">
        <v>175</v>
      </c>
      <c r="C69" s="10" t="s">
        <v>176</v>
      </c>
      <c r="D69" s="11" t="s">
        <v>177</v>
      </c>
      <c r="E69" s="12" t="s">
        <v>179</v>
      </c>
      <c r="F69" s="13" t="str">
        <f t="array" ref="F69">INDEX(Turmas!D2:D106,MATCH(E69,Turmas!A2:A106,0))</f>
        <v>Tarde</v>
      </c>
      <c r="G69" s="14">
        <v>0.0</v>
      </c>
      <c r="H69" s="15">
        <v>4.0</v>
      </c>
      <c r="I69" s="15">
        <v>0.0</v>
      </c>
      <c r="J69" s="15">
        <v>4.0</v>
      </c>
      <c r="K69" s="15">
        <f t="shared" si="1"/>
        <v>1</v>
      </c>
      <c r="L69" s="16" t="str">
        <f t="shared" si="2"/>
        <v>1-6,13-16</v>
      </c>
      <c r="M69" s="16" t="str">
        <f t="shared" si="3"/>
        <v>1-6,13-16</v>
      </c>
      <c r="N69" s="16" t="str">
        <f t="shared" si="4"/>
        <v>1-6,13-16</v>
      </c>
      <c r="O69" s="16" t="str">
        <f t="shared" si="5"/>
        <v>1-6,13-16</v>
      </c>
      <c r="P69" s="16" t="str">
        <f t="shared" si="6"/>
        <v>1-6,13-16</v>
      </c>
      <c r="Q69" s="16" t="str">
        <f t="shared" si="7"/>
        <v>1-16</v>
      </c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">
        <v>183792.0</v>
      </c>
      <c r="B70" s="9" t="s">
        <v>181</v>
      </c>
      <c r="C70" s="10" t="s">
        <v>182</v>
      </c>
      <c r="D70" s="11" t="s">
        <v>183</v>
      </c>
      <c r="E70" s="12" t="s">
        <v>184</v>
      </c>
      <c r="F70" s="13" t="str">
        <f t="array" ref="F70">INDEX(Turmas!D2:D106,MATCH(E70,Turmas!A2:A106,0))</f>
        <v>Manhã</v>
      </c>
      <c r="G70" s="14">
        <v>0.0</v>
      </c>
      <c r="H70" s="15">
        <v>3.0</v>
      </c>
      <c r="I70" s="15">
        <v>0.0</v>
      </c>
      <c r="J70" s="15">
        <v>2.0</v>
      </c>
      <c r="K70" s="15">
        <f t="shared" si="1"/>
        <v>1</v>
      </c>
      <c r="L70" s="16" t="str">
        <f t="shared" si="2"/>
        <v>7-16</v>
      </c>
      <c r="M70" s="16" t="str">
        <f t="shared" si="3"/>
        <v>7-16</v>
      </c>
      <c r="N70" s="16" t="str">
        <f t="shared" si="4"/>
        <v>7-16</v>
      </c>
      <c r="O70" s="16" t="str">
        <f t="shared" si="5"/>
        <v>7-16</v>
      </c>
      <c r="P70" s="16" t="str">
        <f t="shared" si="6"/>
        <v>7-16</v>
      </c>
      <c r="Q70" s="16" t="str">
        <f t="shared" si="7"/>
        <v>1-16</v>
      </c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">
        <v>183821.0</v>
      </c>
      <c r="B71" s="9" t="s">
        <v>185</v>
      </c>
      <c r="C71" s="10" t="s">
        <v>186</v>
      </c>
      <c r="D71" s="11" t="s">
        <v>187</v>
      </c>
      <c r="E71" s="12" t="s">
        <v>184</v>
      </c>
      <c r="F71" s="13" t="str">
        <f t="array" ref="F71">INDEX(Turmas!D2:D106,MATCH(E71,Turmas!A2:A106,0))</f>
        <v>Manhã</v>
      </c>
      <c r="G71" s="14">
        <v>0.0</v>
      </c>
      <c r="H71" s="15">
        <v>3.0</v>
      </c>
      <c r="I71" s="15">
        <v>0.0</v>
      </c>
      <c r="J71" s="15">
        <v>2.0</v>
      </c>
      <c r="K71" s="15">
        <f t="shared" si="1"/>
        <v>1</v>
      </c>
      <c r="L71" s="16" t="str">
        <f t="shared" si="2"/>
        <v>7-16</v>
      </c>
      <c r="M71" s="16" t="str">
        <f t="shared" si="3"/>
        <v>7-16</v>
      </c>
      <c r="N71" s="16" t="str">
        <f t="shared" si="4"/>
        <v>7-16</v>
      </c>
      <c r="O71" s="16" t="str">
        <f t="shared" si="5"/>
        <v>7-16</v>
      </c>
      <c r="P71" s="16" t="str">
        <f t="shared" si="6"/>
        <v>7-16</v>
      </c>
      <c r="Q71" s="16" t="str">
        <f t="shared" si="7"/>
        <v>1-16</v>
      </c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">
        <v>183791.0</v>
      </c>
      <c r="B72" s="9" t="s">
        <v>188</v>
      </c>
      <c r="C72" s="10" t="s">
        <v>189</v>
      </c>
      <c r="D72" s="11" t="s">
        <v>190</v>
      </c>
      <c r="E72" s="12" t="s">
        <v>184</v>
      </c>
      <c r="F72" s="13" t="str">
        <f t="array" ref="F72">INDEX(Turmas!D2:D106,MATCH(E72,Turmas!A2:A106,0))</f>
        <v>Manhã</v>
      </c>
      <c r="G72" s="14">
        <v>0.0</v>
      </c>
      <c r="H72" s="15">
        <v>3.0</v>
      </c>
      <c r="I72" s="15">
        <v>0.0</v>
      </c>
      <c r="J72" s="15">
        <v>2.0</v>
      </c>
      <c r="K72" s="15">
        <f t="shared" si="1"/>
        <v>1</v>
      </c>
      <c r="L72" s="16" t="str">
        <f t="shared" si="2"/>
        <v>7-16</v>
      </c>
      <c r="M72" s="16" t="str">
        <f t="shared" si="3"/>
        <v>7-16</v>
      </c>
      <c r="N72" s="16" t="str">
        <f t="shared" si="4"/>
        <v>7-16</v>
      </c>
      <c r="O72" s="16" t="str">
        <f t="shared" si="5"/>
        <v>7-16</v>
      </c>
      <c r="P72" s="16" t="str">
        <f t="shared" si="6"/>
        <v>7-16</v>
      </c>
      <c r="Q72" s="16" t="str">
        <f t="shared" si="7"/>
        <v>1-16</v>
      </c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">
        <v>183793.0</v>
      </c>
      <c r="B73" s="9" t="s">
        <v>191</v>
      </c>
      <c r="C73" s="10" t="s">
        <v>192</v>
      </c>
      <c r="D73" s="11" t="s">
        <v>159</v>
      </c>
      <c r="E73" s="12" t="s">
        <v>184</v>
      </c>
      <c r="F73" s="13" t="str">
        <f t="array" ref="F73">INDEX(Turmas!D2:D106,MATCH(E73,Turmas!A2:A106,0))</f>
        <v>Manhã</v>
      </c>
      <c r="G73" s="14">
        <v>0.0</v>
      </c>
      <c r="H73" s="15">
        <v>4.0</v>
      </c>
      <c r="I73" s="15">
        <v>0.0</v>
      </c>
      <c r="J73" s="15">
        <v>4.0</v>
      </c>
      <c r="K73" s="15">
        <f t="shared" si="1"/>
        <v>1</v>
      </c>
      <c r="L73" s="16" t="str">
        <f t="shared" si="2"/>
        <v>7-16</v>
      </c>
      <c r="M73" s="16" t="str">
        <f t="shared" si="3"/>
        <v>7-16</v>
      </c>
      <c r="N73" s="16" t="str">
        <f t="shared" si="4"/>
        <v>7-16</v>
      </c>
      <c r="O73" s="16" t="str">
        <f t="shared" si="5"/>
        <v>7-16</v>
      </c>
      <c r="P73" s="16" t="str">
        <f t="shared" si="6"/>
        <v>7-16</v>
      </c>
      <c r="Q73" s="16" t="str">
        <f t="shared" si="7"/>
        <v>1-16</v>
      </c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">
        <v>182247.0</v>
      </c>
      <c r="B74" s="9" t="s">
        <v>193</v>
      </c>
      <c r="C74" s="10" t="s">
        <v>194</v>
      </c>
      <c r="D74" s="11" t="s">
        <v>195</v>
      </c>
      <c r="E74" s="12" t="s">
        <v>196</v>
      </c>
      <c r="F74" s="13" t="str">
        <f t="array" ref="F74">INDEX(Turmas!D2:D106,MATCH(E74,Turmas!A2:A106,0))</f>
        <v>Tarde</v>
      </c>
      <c r="G74" s="14">
        <v>0.0</v>
      </c>
      <c r="H74" s="15">
        <v>3.0</v>
      </c>
      <c r="I74" s="15">
        <v>0.0</v>
      </c>
      <c r="J74" s="15">
        <v>2.0</v>
      </c>
      <c r="K74" s="15">
        <f t="shared" si="1"/>
        <v>1</v>
      </c>
      <c r="L74" s="16" t="str">
        <f t="shared" si="2"/>
        <v>1-6,13-16</v>
      </c>
      <c r="M74" s="16" t="str">
        <f t="shared" si="3"/>
        <v>1-6,13-16</v>
      </c>
      <c r="N74" s="16" t="str">
        <f t="shared" si="4"/>
        <v>1-6,13-16</v>
      </c>
      <c r="O74" s="16" t="str">
        <f t="shared" si="5"/>
        <v>1-6,13-16</v>
      </c>
      <c r="P74" s="16" t="str">
        <f t="shared" si="6"/>
        <v>1-6,13-16</v>
      </c>
      <c r="Q74" s="16" t="str">
        <f t="shared" si="7"/>
        <v>1-16</v>
      </c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">
        <v>183411.0</v>
      </c>
      <c r="B75" s="9" t="s">
        <v>193</v>
      </c>
      <c r="C75" s="10" t="s">
        <v>194</v>
      </c>
      <c r="D75" s="11" t="s">
        <v>195</v>
      </c>
      <c r="E75" s="12" t="s">
        <v>196</v>
      </c>
      <c r="F75" s="13" t="str">
        <f t="array" ref="F75">INDEX(Turmas!D2:D106,MATCH(E75,Turmas!A2:A106,0))</f>
        <v>Tarde</v>
      </c>
      <c r="G75" s="14">
        <v>0.0</v>
      </c>
      <c r="H75" s="15">
        <v>3.0</v>
      </c>
      <c r="I75" s="15">
        <v>0.0</v>
      </c>
      <c r="J75" s="15">
        <v>2.0</v>
      </c>
      <c r="K75" s="15">
        <f t="shared" si="1"/>
        <v>1</v>
      </c>
      <c r="L75" s="16" t="str">
        <f t="shared" si="2"/>
        <v>1-6,13-16</v>
      </c>
      <c r="M75" s="16" t="str">
        <f t="shared" si="3"/>
        <v>1-6,13-16</v>
      </c>
      <c r="N75" s="16" t="str">
        <f t="shared" si="4"/>
        <v>1-6,13-16</v>
      </c>
      <c r="O75" s="16" t="str">
        <f t="shared" si="5"/>
        <v>1-6,13-16</v>
      </c>
      <c r="P75" s="16" t="str">
        <f t="shared" si="6"/>
        <v>1-6,13-16</v>
      </c>
      <c r="Q75" s="16" t="str">
        <f t="shared" si="7"/>
        <v>1-16</v>
      </c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">
        <v>182248.0</v>
      </c>
      <c r="B76" s="9" t="s">
        <v>197</v>
      </c>
      <c r="C76" s="10" t="s">
        <v>198</v>
      </c>
      <c r="D76" s="11" t="s">
        <v>146</v>
      </c>
      <c r="E76" s="12" t="s">
        <v>196</v>
      </c>
      <c r="F76" s="13" t="str">
        <f t="array" ref="F76">INDEX(Turmas!D2:D106,MATCH(E76,Turmas!A2:A106,0))</f>
        <v>Tarde</v>
      </c>
      <c r="G76" s="14">
        <v>0.0</v>
      </c>
      <c r="H76" s="15">
        <v>3.0</v>
      </c>
      <c r="I76" s="15">
        <v>0.0</v>
      </c>
      <c r="J76" s="15">
        <v>2.0</v>
      </c>
      <c r="K76" s="15">
        <f t="shared" si="1"/>
        <v>1</v>
      </c>
      <c r="L76" s="16" t="str">
        <f t="shared" si="2"/>
        <v>1-6,13-16</v>
      </c>
      <c r="M76" s="16" t="str">
        <f t="shared" si="3"/>
        <v>1-6,13-16</v>
      </c>
      <c r="N76" s="16" t="str">
        <f t="shared" si="4"/>
        <v>1-6,13-16</v>
      </c>
      <c r="O76" s="16" t="str">
        <f t="shared" si="5"/>
        <v>1-6,13-16</v>
      </c>
      <c r="P76" s="16" t="str">
        <f t="shared" si="6"/>
        <v>1-6,13-16</v>
      </c>
      <c r="Q76" s="16" t="str">
        <f t="shared" si="7"/>
        <v>1-16</v>
      </c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">
        <v>182249.0</v>
      </c>
      <c r="B77" s="9" t="s">
        <v>199</v>
      </c>
      <c r="C77" s="10" t="s">
        <v>200</v>
      </c>
      <c r="D77" s="11" t="s">
        <v>201</v>
      </c>
      <c r="E77" s="12" t="s">
        <v>196</v>
      </c>
      <c r="F77" s="13" t="str">
        <f t="array" ref="F77">INDEX(Turmas!D2:D106,MATCH(E77,Turmas!A2:A106,0))</f>
        <v>Tarde</v>
      </c>
      <c r="G77" s="14">
        <v>0.0</v>
      </c>
      <c r="H77" s="15">
        <v>4.0</v>
      </c>
      <c r="I77" s="15">
        <v>0.0</v>
      </c>
      <c r="J77" s="15">
        <v>2.0</v>
      </c>
      <c r="K77" s="15">
        <f t="shared" si="1"/>
        <v>2</v>
      </c>
      <c r="L77" s="16" t="str">
        <f t="shared" si="2"/>
        <v>1-6,13-16</v>
      </c>
      <c r="M77" s="16" t="str">
        <f t="shared" si="3"/>
        <v>1-6,13-16</v>
      </c>
      <c r="N77" s="16" t="str">
        <f t="shared" si="4"/>
        <v>1-6,13-16</v>
      </c>
      <c r="O77" s="16" t="str">
        <f t="shared" si="5"/>
        <v>1-6,13-16</v>
      </c>
      <c r="P77" s="16" t="str">
        <f t="shared" si="6"/>
        <v>1-6,13-16</v>
      </c>
      <c r="Q77" s="16" t="str">
        <f t="shared" si="7"/>
        <v>1-16</v>
      </c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">
        <v>183409.0</v>
      </c>
      <c r="B78" s="9" t="s">
        <v>199</v>
      </c>
      <c r="C78" s="10" t="s">
        <v>200</v>
      </c>
      <c r="D78" s="11" t="s">
        <v>201</v>
      </c>
      <c r="E78" s="12" t="s">
        <v>196</v>
      </c>
      <c r="F78" s="13" t="str">
        <f t="array" ref="F78">INDEX(Turmas!D2:D106,MATCH(E78,Turmas!A2:A106,0))</f>
        <v>Tarde</v>
      </c>
      <c r="G78" s="14">
        <v>0.0</v>
      </c>
      <c r="H78" s="15">
        <v>5.0</v>
      </c>
      <c r="I78" s="15">
        <v>0.0</v>
      </c>
      <c r="J78" s="15">
        <v>5.0</v>
      </c>
      <c r="K78" s="15">
        <f t="shared" si="1"/>
        <v>1</v>
      </c>
      <c r="L78" s="16" t="str">
        <f t="shared" si="2"/>
        <v>1-6,13-16</v>
      </c>
      <c r="M78" s="16" t="str">
        <f t="shared" si="3"/>
        <v>1-6,13-16</v>
      </c>
      <c r="N78" s="16" t="str">
        <f t="shared" si="4"/>
        <v>1-6,13-16</v>
      </c>
      <c r="O78" s="16" t="str">
        <f t="shared" si="5"/>
        <v>1-6,13-16</v>
      </c>
      <c r="P78" s="16" t="str">
        <f t="shared" si="6"/>
        <v>1-6,13-16</v>
      </c>
      <c r="Q78" s="16" t="str">
        <f t="shared" si="7"/>
        <v>1-16</v>
      </c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">
        <v>182250.0</v>
      </c>
      <c r="B79" s="9" t="s">
        <v>202</v>
      </c>
      <c r="C79" s="10" t="s">
        <v>203</v>
      </c>
      <c r="D79" s="11" t="s">
        <v>204</v>
      </c>
      <c r="E79" s="12" t="s">
        <v>196</v>
      </c>
      <c r="F79" s="13" t="str">
        <f t="array" ref="F79">INDEX(Turmas!D2:D106,MATCH(E79,Turmas!A2:A106,0))</f>
        <v>Tarde</v>
      </c>
      <c r="G79" s="14">
        <v>0.0</v>
      </c>
      <c r="H79" s="15">
        <v>2.0</v>
      </c>
      <c r="I79" s="15">
        <v>0.0</v>
      </c>
      <c r="J79" s="15">
        <v>2.0</v>
      </c>
      <c r="K79" s="15">
        <f t="shared" si="1"/>
        <v>1</v>
      </c>
      <c r="L79" s="16" t="str">
        <f t="shared" si="2"/>
        <v>1-6,13-16</v>
      </c>
      <c r="M79" s="16" t="str">
        <f t="shared" si="3"/>
        <v>1-6,13-16</v>
      </c>
      <c r="N79" s="16" t="str">
        <f t="shared" si="4"/>
        <v>1-6,13-16</v>
      </c>
      <c r="O79" s="16" t="str">
        <f t="shared" si="5"/>
        <v>1-6,13-16</v>
      </c>
      <c r="P79" s="16" t="str">
        <f t="shared" si="6"/>
        <v>1-6,13-16</v>
      </c>
      <c r="Q79" s="16" t="str">
        <f t="shared" si="7"/>
        <v>1-16</v>
      </c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">
        <v>182251.0</v>
      </c>
      <c r="B80" s="9" t="s">
        <v>205</v>
      </c>
      <c r="C80" s="10" t="s">
        <v>206</v>
      </c>
      <c r="D80" s="11" t="s">
        <v>207</v>
      </c>
      <c r="E80" s="12" t="s">
        <v>196</v>
      </c>
      <c r="F80" s="13" t="str">
        <f t="array" ref="F80">INDEX(Turmas!D2:D106,MATCH(E80,Turmas!A2:A106,0))</f>
        <v>Tarde</v>
      </c>
      <c r="G80" s="14">
        <v>0.0</v>
      </c>
      <c r="H80" s="15">
        <v>2.0</v>
      </c>
      <c r="I80" s="15">
        <v>0.0</v>
      </c>
      <c r="J80" s="15">
        <v>2.0</v>
      </c>
      <c r="K80" s="15">
        <f t="shared" si="1"/>
        <v>1</v>
      </c>
      <c r="L80" s="16" t="str">
        <f t="shared" si="2"/>
        <v>1-6,13-16</v>
      </c>
      <c r="M80" s="16" t="str">
        <f t="shared" si="3"/>
        <v>1-6,13-16</v>
      </c>
      <c r="N80" s="16" t="str">
        <f t="shared" si="4"/>
        <v>1-6,13-16</v>
      </c>
      <c r="O80" s="16" t="str">
        <f t="shared" si="5"/>
        <v>1-6,13-16</v>
      </c>
      <c r="P80" s="16" t="str">
        <f t="shared" si="6"/>
        <v>1-6,13-16</v>
      </c>
      <c r="Q80" s="16" t="str">
        <f t="shared" si="7"/>
        <v>1-16</v>
      </c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">
        <v>182252.0</v>
      </c>
      <c r="B81" s="9" t="s">
        <v>208</v>
      </c>
      <c r="C81" s="10" t="s">
        <v>209</v>
      </c>
      <c r="D81" s="11" t="s">
        <v>210</v>
      </c>
      <c r="E81" s="12" t="s">
        <v>196</v>
      </c>
      <c r="F81" s="13" t="str">
        <f t="array" ref="F81">INDEX(Turmas!D2:D106,MATCH(E81,Turmas!A2:A106,0))</f>
        <v>Tarde</v>
      </c>
      <c r="G81" s="14">
        <v>0.0</v>
      </c>
      <c r="H81" s="15">
        <v>2.0</v>
      </c>
      <c r="I81" s="15">
        <v>0.0</v>
      </c>
      <c r="J81" s="15">
        <v>2.0</v>
      </c>
      <c r="K81" s="15">
        <f t="shared" si="1"/>
        <v>1</v>
      </c>
      <c r="L81" s="16" t="str">
        <f t="shared" si="2"/>
        <v>1-6,13-16</v>
      </c>
      <c r="M81" s="16" t="str">
        <f t="shared" si="3"/>
        <v>1-6,13-16</v>
      </c>
      <c r="N81" s="16" t="str">
        <f t="shared" si="4"/>
        <v>1-6,13-16</v>
      </c>
      <c r="O81" s="16" t="str">
        <f t="shared" si="5"/>
        <v>1-6,13-16</v>
      </c>
      <c r="P81" s="16" t="str">
        <f t="shared" si="6"/>
        <v>1-6,13-16</v>
      </c>
      <c r="Q81" s="16" t="str">
        <f t="shared" si="7"/>
        <v>1-16</v>
      </c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">
        <v>182253.0</v>
      </c>
      <c r="B82" s="9" t="s">
        <v>211</v>
      </c>
      <c r="C82" s="10" t="s">
        <v>212</v>
      </c>
      <c r="D82" s="22" t="s">
        <v>213</v>
      </c>
      <c r="E82" s="12" t="s">
        <v>196</v>
      </c>
      <c r="F82" s="13" t="str">
        <f t="array" ref="F82">INDEX(Turmas!D2:D106,MATCH(E82,Turmas!A2:A106,0))</f>
        <v>Tarde</v>
      </c>
      <c r="G82" s="14">
        <v>0.0</v>
      </c>
      <c r="H82" s="15">
        <v>3.0</v>
      </c>
      <c r="I82" s="15">
        <v>0.0</v>
      </c>
      <c r="J82" s="15">
        <v>2.0</v>
      </c>
      <c r="K82" s="15">
        <f t="shared" si="1"/>
        <v>1</v>
      </c>
      <c r="L82" s="16" t="str">
        <f t="shared" si="2"/>
        <v>1-6,13-16</v>
      </c>
      <c r="M82" s="16" t="str">
        <f t="shared" si="3"/>
        <v>1-6,13-16</v>
      </c>
      <c r="N82" s="16" t="str">
        <f t="shared" si="4"/>
        <v>1-6,13-16</v>
      </c>
      <c r="O82" s="16" t="str">
        <f t="shared" si="5"/>
        <v>1-6,13-16</v>
      </c>
      <c r="P82" s="16" t="str">
        <f t="shared" si="6"/>
        <v>1-6,13-16</v>
      </c>
      <c r="Q82" s="16" t="str">
        <f t="shared" si="7"/>
        <v>1-16</v>
      </c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">
        <v>183410.0</v>
      </c>
      <c r="B83" s="9" t="s">
        <v>214</v>
      </c>
      <c r="C83" s="10" t="s">
        <v>215</v>
      </c>
      <c r="D83" s="11" t="s">
        <v>97</v>
      </c>
      <c r="E83" s="12" t="s">
        <v>216</v>
      </c>
      <c r="F83" s="13" t="str">
        <f t="array" ref="F83">INDEX(Turmas!D2:D106,MATCH(E83,Turmas!A2:A106,0))</f>
        <v>Tarde</v>
      </c>
      <c r="G83" s="14">
        <v>0.0</v>
      </c>
      <c r="H83" s="15">
        <v>3.0</v>
      </c>
      <c r="I83" s="15">
        <v>0.0</v>
      </c>
      <c r="J83" s="15">
        <v>2.0</v>
      </c>
      <c r="K83" s="15">
        <f t="shared" si="1"/>
        <v>1</v>
      </c>
      <c r="L83" s="16" t="str">
        <f t="shared" si="2"/>
        <v>1-6,13-16</v>
      </c>
      <c r="M83" s="16" t="str">
        <f t="shared" si="3"/>
        <v>1-6,13-16</v>
      </c>
      <c r="N83" s="16" t="str">
        <f t="shared" si="4"/>
        <v>1-6,13-16</v>
      </c>
      <c r="O83" s="16" t="str">
        <f t="shared" si="5"/>
        <v>1-6,13-16</v>
      </c>
      <c r="P83" s="16" t="str">
        <f t="shared" si="6"/>
        <v>1-6,13-16</v>
      </c>
      <c r="Q83" s="16" t="str">
        <f t="shared" si="7"/>
        <v>1-16</v>
      </c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">
        <v>182254.0</v>
      </c>
      <c r="B84" s="9" t="s">
        <v>217</v>
      </c>
      <c r="C84" s="10" t="s">
        <v>218</v>
      </c>
      <c r="D84" s="11" t="s">
        <v>219</v>
      </c>
      <c r="E84" s="12" t="s">
        <v>216</v>
      </c>
      <c r="F84" s="13" t="str">
        <f t="array" ref="F84">INDEX(Turmas!D2:D106,MATCH(E84,Turmas!A2:A106,0))</f>
        <v>Tarde</v>
      </c>
      <c r="G84" s="14">
        <v>0.0</v>
      </c>
      <c r="H84" s="15">
        <v>3.0</v>
      </c>
      <c r="I84" s="15">
        <v>0.0</v>
      </c>
      <c r="J84" s="15">
        <v>2.0</v>
      </c>
      <c r="K84" s="15">
        <f t="shared" si="1"/>
        <v>1</v>
      </c>
      <c r="L84" s="16" t="str">
        <f t="shared" si="2"/>
        <v>1-6,13-16</v>
      </c>
      <c r="M84" s="16" t="str">
        <f t="shared" si="3"/>
        <v>1-6,13-16</v>
      </c>
      <c r="N84" s="16" t="str">
        <f t="shared" si="4"/>
        <v>1-6,13-16</v>
      </c>
      <c r="O84" s="16" t="str">
        <f t="shared" si="5"/>
        <v>1-6,13-16</v>
      </c>
      <c r="P84" s="16" t="str">
        <f t="shared" si="6"/>
        <v>1-6,13-16</v>
      </c>
      <c r="Q84" s="16" t="str">
        <f t="shared" si="7"/>
        <v>1-16</v>
      </c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">
        <v>182255.0</v>
      </c>
      <c r="B85" s="9" t="s">
        <v>220</v>
      </c>
      <c r="C85" s="10" t="s">
        <v>221</v>
      </c>
      <c r="D85" s="11" t="s">
        <v>183</v>
      </c>
      <c r="E85" s="12" t="s">
        <v>216</v>
      </c>
      <c r="F85" s="13" t="str">
        <f t="array" ref="F85">INDEX(Turmas!D2:D106,MATCH(E85,Turmas!A2:A106,0))</f>
        <v>Tarde</v>
      </c>
      <c r="G85" s="14">
        <v>0.0</v>
      </c>
      <c r="H85" s="15">
        <v>1.0</v>
      </c>
      <c r="I85" s="15">
        <v>0.0</v>
      </c>
      <c r="J85" s="15">
        <v>1.0</v>
      </c>
      <c r="K85" s="15">
        <f t="shared" si="1"/>
        <v>1</v>
      </c>
      <c r="L85" s="16" t="str">
        <f t="shared" si="2"/>
        <v>1-6,13-16</v>
      </c>
      <c r="M85" s="16" t="str">
        <f t="shared" si="3"/>
        <v>1-6,13-16</v>
      </c>
      <c r="N85" s="16" t="str">
        <f t="shared" si="4"/>
        <v>1-6,13-16</v>
      </c>
      <c r="O85" s="16" t="str">
        <f t="shared" si="5"/>
        <v>1-6,13-16</v>
      </c>
      <c r="P85" s="16" t="str">
        <f t="shared" si="6"/>
        <v>1-6,13-16</v>
      </c>
      <c r="Q85" s="16" t="str">
        <f t="shared" si="7"/>
        <v>1-16</v>
      </c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">
        <v>182256.0</v>
      </c>
      <c r="B86" s="9" t="s">
        <v>222</v>
      </c>
      <c r="C86" s="10" t="s">
        <v>223</v>
      </c>
      <c r="D86" s="11" t="s">
        <v>224</v>
      </c>
      <c r="E86" s="12" t="s">
        <v>216</v>
      </c>
      <c r="F86" s="13" t="str">
        <f t="array" ref="F86">INDEX(Turmas!D2:D106,MATCH(E86,Turmas!A2:A106,0))</f>
        <v>Tarde</v>
      </c>
      <c r="G86" s="14">
        <v>0.0</v>
      </c>
      <c r="H86" s="15">
        <v>3.0</v>
      </c>
      <c r="I86" s="15">
        <v>0.0</v>
      </c>
      <c r="J86" s="15">
        <v>2.0</v>
      </c>
      <c r="K86" s="15">
        <f t="shared" si="1"/>
        <v>1</v>
      </c>
      <c r="L86" s="16" t="str">
        <f t="shared" si="2"/>
        <v>1-6,13-16</v>
      </c>
      <c r="M86" s="16" t="str">
        <f t="shared" si="3"/>
        <v>1-6,13-16</v>
      </c>
      <c r="N86" s="16" t="str">
        <f t="shared" si="4"/>
        <v>1-6,13-16</v>
      </c>
      <c r="O86" s="16" t="str">
        <f t="shared" si="5"/>
        <v>1-6,13-16</v>
      </c>
      <c r="P86" s="16" t="str">
        <f t="shared" si="6"/>
        <v>1-6,13-16</v>
      </c>
      <c r="Q86" s="16" t="str">
        <f t="shared" si="7"/>
        <v>1-16</v>
      </c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">
        <v>182257.0</v>
      </c>
      <c r="B87" s="9" t="s">
        <v>225</v>
      </c>
      <c r="C87" s="10" t="s">
        <v>226</v>
      </c>
      <c r="D87" s="11" t="s">
        <v>227</v>
      </c>
      <c r="E87" s="12" t="s">
        <v>216</v>
      </c>
      <c r="F87" s="13" t="str">
        <f t="array" ref="F87">INDEX(Turmas!D2:D106,MATCH(E87,Turmas!A2:A106,0))</f>
        <v>Tarde</v>
      </c>
      <c r="G87" s="14">
        <v>0.0</v>
      </c>
      <c r="H87" s="15">
        <v>2.0</v>
      </c>
      <c r="I87" s="15">
        <v>0.0</v>
      </c>
      <c r="J87" s="15">
        <v>2.0</v>
      </c>
      <c r="K87" s="15">
        <f t="shared" si="1"/>
        <v>1</v>
      </c>
      <c r="L87" s="16" t="str">
        <f t="shared" si="2"/>
        <v>1-6,13-16</v>
      </c>
      <c r="M87" s="16" t="str">
        <f t="shared" si="3"/>
        <v>1-6,13-16</v>
      </c>
      <c r="N87" s="16" t="str">
        <f t="shared" si="4"/>
        <v>1-6,13-16</v>
      </c>
      <c r="O87" s="16" t="str">
        <f t="shared" si="5"/>
        <v>1-6,13-16</v>
      </c>
      <c r="P87" s="16" t="str">
        <f t="shared" si="6"/>
        <v>1-6,13-16</v>
      </c>
      <c r="Q87" s="16" t="str">
        <f t="shared" si="7"/>
        <v>1-16</v>
      </c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">
        <v>182258.0</v>
      </c>
      <c r="B88" s="9" t="s">
        <v>228</v>
      </c>
      <c r="C88" s="10" t="s">
        <v>229</v>
      </c>
      <c r="D88" s="11" t="s">
        <v>230</v>
      </c>
      <c r="E88" s="12" t="s">
        <v>216</v>
      </c>
      <c r="F88" s="13" t="str">
        <f t="array" ref="F88">INDEX(Turmas!D2:D106,MATCH(E88,Turmas!A2:A106,0))</f>
        <v>Tarde</v>
      </c>
      <c r="G88" s="14">
        <v>0.0</v>
      </c>
      <c r="H88" s="15">
        <v>3.0</v>
      </c>
      <c r="I88" s="15">
        <v>0.0</v>
      </c>
      <c r="J88" s="15">
        <v>2.0</v>
      </c>
      <c r="K88" s="15">
        <f t="shared" si="1"/>
        <v>1</v>
      </c>
      <c r="L88" s="16" t="str">
        <f t="shared" si="2"/>
        <v>1-6,13-16</v>
      </c>
      <c r="M88" s="16" t="str">
        <f t="shared" si="3"/>
        <v>1-6,13-16</v>
      </c>
      <c r="N88" s="16" t="str">
        <f t="shared" si="4"/>
        <v>1-6,13-16</v>
      </c>
      <c r="O88" s="16" t="str">
        <f t="shared" si="5"/>
        <v>1-6,13-16</v>
      </c>
      <c r="P88" s="16" t="str">
        <f t="shared" si="6"/>
        <v>1-6,13-16</v>
      </c>
      <c r="Q88" s="16" t="str">
        <f t="shared" si="7"/>
        <v>1-16</v>
      </c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">
        <v>182259.0</v>
      </c>
      <c r="B89" s="9" t="s">
        <v>231</v>
      </c>
      <c r="C89" s="10" t="s">
        <v>232</v>
      </c>
      <c r="D89" s="11" t="s">
        <v>233</v>
      </c>
      <c r="E89" s="12" t="s">
        <v>234</v>
      </c>
      <c r="F89" s="13" t="str">
        <f t="array" ref="F89">INDEX(Turmas!D2:D106,MATCH(E89,Turmas!A2:A106,0))</f>
        <v>Manhã</v>
      </c>
      <c r="G89" s="14">
        <v>0.0</v>
      </c>
      <c r="H89" s="15">
        <v>3.0</v>
      </c>
      <c r="I89" s="15">
        <v>0.0</v>
      </c>
      <c r="J89" s="15">
        <v>2.0</v>
      </c>
      <c r="K89" s="15">
        <f t="shared" si="1"/>
        <v>1</v>
      </c>
      <c r="L89" s="16" t="str">
        <f t="shared" si="2"/>
        <v>7-16</v>
      </c>
      <c r="M89" s="16" t="str">
        <f t="shared" si="3"/>
        <v>7-16</v>
      </c>
      <c r="N89" s="16" t="str">
        <f t="shared" si="4"/>
        <v>7-16</v>
      </c>
      <c r="O89" s="16" t="str">
        <f t="shared" si="5"/>
        <v>7-16</v>
      </c>
      <c r="P89" s="16" t="str">
        <f t="shared" si="6"/>
        <v>7-16</v>
      </c>
      <c r="Q89" s="16" t="str">
        <f t="shared" si="7"/>
        <v>1-16</v>
      </c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">
        <v>182261.0</v>
      </c>
      <c r="B90" s="9" t="s">
        <v>235</v>
      </c>
      <c r="C90" s="10" t="s">
        <v>236</v>
      </c>
      <c r="D90" s="11" t="s">
        <v>237</v>
      </c>
      <c r="E90" s="12" t="s">
        <v>234</v>
      </c>
      <c r="F90" s="13" t="str">
        <f t="array" ref="F90">INDEX(Turmas!D2:D106,MATCH(E90,Turmas!A2:A106,0))</f>
        <v>Manhã</v>
      </c>
      <c r="G90" s="14">
        <v>0.0</v>
      </c>
      <c r="H90" s="15">
        <v>3.0</v>
      </c>
      <c r="I90" s="15">
        <v>0.0</v>
      </c>
      <c r="J90" s="15">
        <v>2.0</v>
      </c>
      <c r="K90" s="15">
        <f t="shared" si="1"/>
        <v>1</v>
      </c>
      <c r="L90" s="16" t="str">
        <f t="shared" si="2"/>
        <v>7-16</v>
      </c>
      <c r="M90" s="16" t="str">
        <f t="shared" si="3"/>
        <v>7-16</v>
      </c>
      <c r="N90" s="16" t="str">
        <f t="shared" si="4"/>
        <v>7-16</v>
      </c>
      <c r="O90" s="16" t="str">
        <f t="shared" si="5"/>
        <v>7-16</v>
      </c>
      <c r="P90" s="16" t="str">
        <f t="shared" si="6"/>
        <v>7-16</v>
      </c>
      <c r="Q90" s="16" t="str">
        <f t="shared" si="7"/>
        <v>1-16</v>
      </c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">
        <v>182263.0</v>
      </c>
      <c r="B91" s="9" t="s">
        <v>238</v>
      </c>
      <c r="C91" s="10" t="s">
        <v>239</v>
      </c>
      <c r="D91" s="11" t="s">
        <v>240</v>
      </c>
      <c r="E91" s="12" t="s">
        <v>234</v>
      </c>
      <c r="F91" s="13" t="str">
        <f t="array" ref="F91">INDEX(Turmas!D2:D106,MATCH(E91,Turmas!A2:A106,0))</f>
        <v>Manhã</v>
      </c>
      <c r="G91" s="14">
        <v>0.0</v>
      </c>
      <c r="H91" s="15">
        <v>3.0</v>
      </c>
      <c r="I91" s="15">
        <v>0.0</v>
      </c>
      <c r="J91" s="15">
        <v>2.0</v>
      </c>
      <c r="K91" s="15">
        <f t="shared" si="1"/>
        <v>1</v>
      </c>
      <c r="L91" s="16" t="str">
        <f t="shared" si="2"/>
        <v>7-16</v>
      </c>
      <c r="M91" s="16" t="str">
        <f t="shared" si="3"/>
        <v>7-16</v>
      </c>
      <c r="N91" s="16" t="str">
        <f t="shared" si="4"/>
        <v>7-16</v>
      </c>
      <c r="O91" s="16" t="str">
        <f t="shared" si="5"/>
        <v>7-16</v>
      </c>
      <c r="P91" s="16" t="str">
        <f t="shared" si="6"/>
        <v>7-16</v>
      </c>
      <c r="Q91" s="16" t="str">
        <f t="shared" si="7"/>
        <v>1-16</v>
      </c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">
        <v>182262.0</v>
      </c>
      <c r="B92" s="9" t="s">
        <v>241</v>
      </c>
      <c r="C92" s="10" t="s">
        <v>242</v>
      </c>
      <c r="D92" s="11" t="s">
        <v>243</v>
      </c>
      <c r="E92" s="12" t="s">
        <v>234</v>
      </c>
      <c r="F92" s="13" t="str">
        <f t="array" ref="F92">INDEX(Turmas!D2:D106,MATCH(E92,Turmas!A2:A106,0))</f>
        <v>Manhã</v>
      </c>
      <c r="G92" s="14">
        <v>0.0</v>
      </c>
      <c r="H92" s="15">
        <v>2.0</v>
      </c>
      <c r="I92" s="15">
        <v>0.0</v>
      </c>
      <c r="J92" s="15">
        <v>2.0</v>
      </c>
      <c r="K92" s="15">
        <f t="shared" si="1"/>
        <v>1</v>
      </c>
      <c r="L92" s="16" t="str">
        <f t="shared" si="2"/>
        <v>7-16</v>
      </c>
      <c r="M92" s="16" t="str">
        <f t="shared" si="3"/>
        <v>7-16</v>
      </c>
      <c r="N92" s="16" t="str">
        <f t="shared" si="4"/>
        <v>7-16</v>
      </c>
      <c r="O92" s="16" t="str">
        <f t="shared" si="5"/>
        <v>7-16</v>
      </c>
      <c r="P92" s="16" t="str">
        <f t="shared" si="6"/>
        <v>7-16</v>
      </c>
      <c r="Q92" s="16" t="str">
        <f t="shared" si="7"/>
        <v>1-16</v>
      </c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">
        <v>182264.0</v>
      </c>
      <c r="B93" s="9" t="s">
        <v>244</v>
      </c>
      <c r="C93" s="10" t="s">
        <v>245</v>
      </c>
      <c r="D93" s="11" t="s">
        <v>224</v>
      </c>
      <c r="E93" s="12" t="s">
        <v>234</v>
      </c>
      <c r="F93" s="13" t="str">
        <f t="array" ref="F93">INDEX(Turmas!D2:D106,MATCH(E93,Turmas!A2:A106,0))</f>
        <v>Manhã</v>
      </c>
      <c r="G93" s="14">
        <v>0.0</v>
      </c>
      <c r="H93" s="15">
        <v>4.0</v>
      </c>
      <c r="I93" s="15">
        <v>0.0</v>
      </c>
      <c r="J93" s="15">
        <v>2.0</v>
      </c>
      <c r="K93" s="15">
        <f t="shared" si="1"/>
        <v>2</v>
      </c>
      <c r="L93" s="16" t="str">
        <f t="shared" si="2"/>
        <v>7-16</v>
      </c>
      <c r="M93" s="16" t="str">
        <f t="shared" si="3"/>
        <v>7-16</v>
      </c>
      <c r="N93" s="16" t="str">
        <f t="shared" si="4"/>
        <v>7-16</v>
      </c>
      <c r="O93" s="16" t="str">
        <f t="shared" si="5"/>
        <v>7-16</v>
      </c>
      <c r="P93" s="16" t="str">
        <f t="shared" si="6"/>
        <v>7-16</v>
      </c>
      <c r="Q93" s="16" t="str">
        <f t="shared" si="7"/>
        <v>1-16</v>
      </c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">
        <v>182265.0</v>
      </c>
      <c r="B94" s="9" t="s">
        <v>246</v>
      </c>
      <c r="C94" s="10" t="s">
        <v>247</v>
      </c>
      <c r="D94" s="11" t="s">
        <v>80</v>
      </c>
      <c r="E94" s="12" t="s">
        <v>234</v>
      </c>
      <c r="F94" s="13" t="str">
        <f t="array" ref="F94">INDEX(Turmas!D2:D106,MATCH(E94,Turmas!A2:A106,0))</f>
        <v>Manhã</v>
      </c>
      <c r="G94" s="14">
        <v>0.0</v>
      </c>
      <c r="H94" s="15">
        <v>2.0</v>
      </c>
      <c r="I94" s="15">
        <v>0.0</v>
      </c>
      <c r="J94" s="15">
        <v>2.0</v>
      </c>
      <c r="K94" s="15">
        <f t="shared" si="1"/>
        <v>1</v>
      </c>
      <c r="L94" s="16" t="str">
        <f t="shared" si="2"/>
        <v>7-16</v>
      </c>
      <c r="M94" s="16" t="str">
        <f t="shared" si="3"/>
        <v>7-16</v>
      </c>
      <c r="N94" s="16" t="str">
        <f t="shared" si="4"/>
        <v>7-16</v>
      </c>
      <c r="O94" s="16" t="str">
        <f t="shared" si="5"/>
        <v>7-16</v>
      </c>
      <c r="P94" s="16" t="str">
        <f t="shared" si="6"/>
        <v>7-16</v>
      </c>
      <c r="Q94" s="16" t="str">
        <f t="shared" si="7"/>
        <v>1-16</v>
      </c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">
        <v>182266.0</v>
      </c>
      <c r="B95" s="9" t="s">
        <v>248</v>
      </c>
      <c r="C95" s="10" t="s">
        <v>249</v>
      </c>
      <c r="D95" s="11" t="s">
        <v>177</v>
      </c>
      <c r="E95" s="12" t="s">
        <v>234</v>
      </c>
      <c r="F95" s="13" t="str">
        <f t="array" ref="F95">INDEX(Turmas!D2:D106,MATCH(E95,Turmas!A2:A106,0))</f>
        <v>Manhã</v>
      </c>
      <c r="G95" s="14">
        <v>0.0</v>
      </c>
      <c r="H95" s="15">
        <v>3.0</v>
      </c>
      <c r="I95" s="15">
        <v>0.0</v>
      </c>
      <c r="J95" s="15">
        <v>2.0</v>
      </c>
      <c r="K95" s="15">
        <f t="shared" si="1"/>
        <v>1</v>
      </c>
      <c r="L95" s="16" t="str">
        <f t="shared" si="2"/>
        <v>7-16</v>
      </c>
      <c r="M95" s="16" t="str">
        <f t="shared" si="3"/>
        <v>7-16</v>
      </c>
      <c r="N95" s="16" t="str">
        <f t="shared" si="4"/>
        <v>7-16</v>
      </c>
      <c r="O95" s="16" t="str">
        <f t="shared" si="5"/>
        <v>7-16</v>
      </c>
      <c r="P95" s="16" t="str">
        <f t="shared" si="6"/>
        <v>7-16</v>
      </c>
      <c r="Q95" s="16" t="str">
        <f t="shared" si="7"/>
        <v>1-16</v>
      </c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">
        <v>182267.0</v>
      </c>
      <c r="B96" s="9" t="s">
        <v>250</v>
      </c>
      <c r="C96" s="10" t="s">
        <v>251</v>
      </c>
      <c r="D96" s="11" t="s">
        <v>252</v>
      </c>
      <c r="E96" s="12" t="s">
        <v>253</v>
      </c>
      <c r="F96" s="13" t="str">
        <f t="array" ref="F96">INDEX(Turmas!D2:D106,MATCH(E96,Turmas!A2:A106,0))</f>
        <v>Manhã</v>
      </c>
      <c r="G96" s="14">
        <v>0.0</v>
      </c>
      <c r="H96" s="15">
        <v>4.0</v>
      </c>
      <c r="I96" s="15">
        <v>0.0</v>
      </c>
      <c r="J96" s="15">
        <v>2.0</v>
      </c>
      <c r="K96" s="15">
        <f t="shared" si="1"/>
        <v>2</v>
      </c>
      <c r="L96" s="16" t="str">
        <f t="shared" si="2"/>
        <v>7-16</v>
      </c>
      <c r="M96" s="16" t="str">
        <f t="shared" si="3"/>
        <v>7-16</v>
      </c>
      <c r="N96" s="16" t="str">
        <f t="shared" si="4"/>
        <v>7-16</v>
      </c>
      <c r="O96" s="16" t="str">
        <f t="shared" si="5"/>
        <v>7-16</v>
      </c>
      <c r="P96" s="16" t="str">
        <f t="shared" si="6"/>
        <v>7-16</v>
      </c>
      <c r="Q96" s="16" t="str">
        <f t="shared" si="7"/>
        <v>1-16</v>
      </c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">
        <v>183806.0</v>
      </c>
      <c r="B97" s="9" t="s">
        <v>254</v>
      </c>
      <c r="C97" s="10" t="s">
        <v>255</v>
      </c>
      <c r="D97" s="11" t="s">
        <v>243</v>
      </c>
      <c r="E97" s="12" t="s">
        <v>253</v>
      </c>
      <c r="F97" s="13" t="str">
        <f t="array" ref="F97">INDEX(Turmas!D2:D106,MATCH(E97,Turmas!A2:A106,0))</f>
        <v>Manhã</v>
      </c>
      <c r="G97" s="14">
        <v>0.0</v>
      </c>
      <c r="H97" s="15">
        <v>3.0</v>
      </c>
      <c r="I97" s="15">
        <v>0.0</v>
      </c>
      <c r="J97" s="15">
        <v>2.0</v>
      </c>
      <c r="K97" s="15">
        <f t="shared" si="1"/>
        <v>1</v>
      </c>
      <c r="L97" s="16" t="str">
        <f t="shared" si="2"/>
        <v>7-16</v>
      </c>
      <c r="M97" s="16" t="str">
        <f t="shared" si="3"/>
        <v>7-16</v>
      </c>
      <c r="N97" s="16" t="str">
        <f t="shared" si="4"/>
        <v>7-16</v>
      </c>
      <c r="O97" s="16" t="str">
        <f t="shared" si="5"/>
        <v>7-16</v>
      </c>
      <c r="P97" s="16" t="str">
        <f t="shared" si="6"/>
        <v>7-16</v>
      </c>
      <c r="Q97" s="16" t="str">
        <f t="shared" si="7"/>
        <v>1-16</v>
      </c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">
        <v>183807.0</v>
      </c>
      <c r="B98" s="9" t="s">
        <v>256</v>
      </c>
      <c r="C98" s="10" t="s">
        <v>257</v>
      </c>
      <c r="D98" s="11" t="s">
        <v>258</v>
      </c>
      <c r="E98" s="12" t="s">
        <v>253</v>
      </c>
      <c r="F98" s="13" t="str">
        <f t="array" ref="F98">INDEX(Turmas!D2:D106,MATCH(E98,Turmas!A2:A106,0))</f>
        <v>Manhã</v>
      </c>
      <c r="G98" s="14">
        <v>0.0</v>
      </c>
      <c r="H98" s="15">
        <v>3.0</v>
      </c>
      <c r="I98" s="15">
        <v>0.0</v>
      </c>
      <c r="J98" s="15">
        <v>2.0</v>
      </c>
      <c r="K98" s="15">
        <f t="shared" si="1"/>
        <v>1</v>
      </c>
      <c r="L98" s="16" t="str">
        <f t="shared" si="2"/>
        <v>7-16</v>
      </c>
      <c r="M98" s="16" t="str">
        <f t="shared" si="3"/>
        <v>7-16</v>
      </c>
      <c r="N98" s="16" t="str">
        <f t="shared" si="4"/>
        <v>7-16</v>
      </c>
      <c r="O98" s="16" t="str">
        <f t="shared" si="5"/>
        <v>7-16</v>
      </c>
      <c r="P98" s="16" t="str">
        <f t="shared" si="6"/>
        <v>7-16</v>
      </c>
      <c r="Q98" s="16" t="str">
        <f t="shared" si="7"/>
        <v>1-16</v>
      </c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">
        <v>183808.0</v>
      </c>
      <c r="B99" s="9" t="s">
        <v>259</v>
      </c>
      <c r="C99" s="10" t="s">
        <v>260</v>
      </c>
      <c r="D99" s="11" t="s">
        <v>187</v>
      </c>
      <c r="E99" s="12" t="s">
        <v>253</v>
      </c>
      <c r="F99" s="13" t="str">
        <f t="array" ref="F99">INDEX(Turmas!D2:D106,MATCH(E99,Turmas!A2:A106,0))</f>
        <v>Manhã</v>
      </c>
      <c r="G99" s="14">
        <v>0.0</v>
      </c>
      <c r="H99" s="15">
        <v>2.0</v>
      </c>
      <c r="I99" s="15">
        <v>0.0</v>
      </c>
      <c r="J99" s="15">
        <v>2.0</v>
      </c>
      <c r="K99" s="15">
        <f t="shared" si="1"/>
        <v>1</v>
      </c>
      <c r="L99" s="16" t="str">
        <f t="shared" si="2"/>
        <v>7-16</v>
      </c>
      <c r="M99" s="16" t="str">
        <f t="shared" si="3"/>
        <v>7-16</v>
      </c>
      <c r="N99" s="16" t="str">
        <f t="shared" si="4"/>
        <v>7-16</v>
      </c>
      <c r="O99" s="16" t="str">
        <f t="shared" si="5"/>
        <v>7-16</v>
      </c>
      <c r="P99" s="16" t="str">
        <f t="shared" si="6"/>
        <v>7-16</v>
      </c>
      <c r="Q99" s="16" t="str">
        <f t="shared" si="7"/>
        <v>1-16</v>
      </c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">
        <v>183809.0</v>
      </c>
      <c r="B100" s="9" t="s">
        <v>261</v>
      </c>
      <c r="C100" s="10" t="s">
        <v>262</v>
      </c>
      <c r="D100" s="11" t="s">
        <v>263</v>
      </c>
      <c r="E100" s="12" t="s">
        <v>253</v>
      </c>
      <c r="F100" s="13" t="str">
        <f t="array" ref="F100">INDEX(Turmas!D2:D106,MATCH(E100,Turmas!A2:A106,0))</f>
        <v>Manhã</v>
      </c>
      <c r="G100" s="14">
        <v>0.0</v>
      </c>
      <c r="H100" s="15">
        <v>3.0</v>
      </c>
      <c r="I100" s="15">
        <v>0.0</v>
      </c>
      <c r="J100" s="15">
        <v>2.0</v>
      </c>
      <c r="K100" s="15">
        <f t="shared" si="1"/>
        <v>1</v>
      </c>
      <c r="L100" s="16" t="str">
        <f t="shared" si="2"/>
        <v>7-16</v>
      </c>
      <c r="M100" s="16" t="str">
        <f t="shared" si="3"/>
        <v>7-16</v>
      </c>
      <c r="N100" s="16" t="str">
        <f t="shared" si="4"/>
        <v>7-16</v>
      </c>
      <c r="O100" s="16" t="str">
        <f t="shared" si="5"/>
        <v>7-16</v>
      </c>
      <c r="P100" s="16" t="str">
        <f t="shared" si="6"/>
        <v>7-16</v>
      </c>
      <c r="Q100" s="16" t="str">
        <f t="shared" si="7"/>
        <v>1-16</v>
      </c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">
        <v>183810.0</v>
      </c>
      <c r="B101" s="9" t="s">
        <v>264</v>
      </c>
      <c r="C101" s="10" t="s">
        <v>265</v>
      </c>
      <c r="D101" s="11" t="s">
        <v>177</v>
      </c>
      <c r="E101" s="12" t="s">
        <v>253</v>
      </c>
      <c r="F101" s="13" t="str">
        <f t="array" ref="F101">INDEX(Turmas!D2:D106,MATCH(E101,Turmas!A2:A106,0))</f>
        <v>Manhã</v>
      </c>
      <c r="G101" s="14">
        <v>0.0</v>
      </c>
      <c r="H101" s="15">
        <v>3.0</v>
      </c>
      <c r="I101" s="15">
        <v>0.0</v>
      </c>
      <c r="J101" s="15">
        <v>2.0</v>
      </c>
      <c r="K101" s="15">
        <f t="shared" si="1"/>
        <v>1</v>
      </c>
      <c r="L101" s="16" t="str">
        <f t="shared" si="2"/>
        <v>7-16</v>
      </c>
      <c r="M101" s="16" t="str">
        <f t="shared" si="3"/>
        <v>7-16</v>
      </c>
      <c r="N101" s="16" t="str">
        <f t="shared" si="4"/>
        <v>7-16</v>
      </c>
      <c r="O101" s="16" t="str">
        <f t="shared" si="5"/>
        <v>7-16</v>
      </c>
      <c r="P101" s="16" t="str">
        <f t="shared" si="6"/>
        <v>7-16</v>
      </c>
      <c r="Q101" s="16" t="str">
        <f t="shared" si="7"/>
        <v>1-16</v>
      </c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">
        <v>183811.0</v>
      </c>
      <c r="B102" s="9" t="s">
        <v>266</v>
      </c>
      <c r="C102" s="10" t="s">
        <v>267</v>
      </c>
      <c r="D102" s="11" t="s">
        <v>159</v>
      </c>
      <c r="E102" s="12" t="s">
        <v>268</v>
      </c>
      <c r="F102" s="13" t="str">
        <f t="array" ref="F102">INDEX(Turmas!D2:D106,MATCH(E102,Turmas!A2:A106,0))</f>
        <v>Tarde</v>
      </c>
      <c r="G102" s="14">
        <v>0.0</v>
      </c>
      <c r="H102" s="15">
        <v>3.0</v>
      </c>
      <c r="I102" s="15">
        <v>0.0</v>
      </c>
      <c r="J102" s="15">
        <v>2.0</v>
      </c>
      <c r="K102" s="15">
        <f t="shared" si="1"/>
        <v>1</v>
      </c>
      <c r="L102" s="16" t="str">
        <f t="shared" si="2"/>
        <v>1-6,13-16</v>
      </c>
      <c r="M102" s="16" t="str">
        <f t="shared" si="3"/>
        <v>1-6,13-16</v>
      </c>
      <c r="N102" s="16" t="str">
        <f t="shared" si="4"/>
        <v>1-6,13-16</v>
      </c>
      <c r="O102" s="16" t="str">
        <f t="shared" si="5"/>
        <v>1-6,13-16</v>
      </c>
      <c r="P102" s="16" t="str">
        <f t="shared" si="6"/>
        <v>1-6,13-16</v>
      </c>
      <c r="Q102" s="16" t="str">
        <f t="shared" si="7"/>
        <v>1-16</v>
      </c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">
        <v>182268.0</v>
      </c>
      <c r="B103" s="9" t="s">
        <v>269</v>
      </c>
      <c r="C103" s="10" t="s">
        <v>270</v>
      </c>
      <c r="D103" s="11" t="s">
        <v>210</v>
      </c>
      <c r="E103" s="12" t="s">
        <v>268</v>
      </c>
      <c r="F103" s="13" t="str">
        <f t="array" ref="F103">INDEX(Turmas!D2:D106,MATCH(E103,Turmas!A2:A106,0))</f>
        <v>Tarde</v>
      </c>
      <c r="G103" s="14">
        <v>0.0</v>
      </c>
      <c r="H103" s="15">
        <v>3.0</v>
      </c>
      <c r="I103" s="15">
        <v>0.0</v>
      </c>
      <c r="J103" s="15">
        <v>2.0</v>
      </c>
      <c r="K103" s="15">
        <f t="shared" si="1"/>
        <v>1</v>
      </c>
      <c r="L103" s="16" t="str">
        <f t="shared" si="2"/>
        <v>1-6,13-16</v>
      </c>
      <c r="M103" s="16" t="str">
        <f t="shared" si="3"/>
        <v>1-6,13-16</v>
      </c>
      <c r="N103" s="16" t="str">
        <f t="shared" si="4"/>
        <v>1-6,13-16</v>
      </c>
      <c r="O103" s="16" t="str">
        <f t="shared" si="5"/>
        <v>1-6,13-16</v>
      </c>
      <c r="P103" s="16" t="str">
        <f t="shared" si="6"/>
        <v>1-6,13-16</v>
      </c>
      <c r="Q103" s="16" t="str">
        <f t="shared" si="7"/>
        <v>1-16</v>
      </c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">
        <v>182270.0</v>
      </c>
      <c r="B104" s="9" t="s">
        <v>271</v>
      </c>
      <c r="C104" s="10" t="s">
        <v>272</v>
      </c>
      <c r="D104" s="11" t="s">
        <v>273</v>
      </c>
      <c r="E104" s="12" t="s">
        <v>268</v>
      </c>
      <c r="F104" s="13" t="str">
        <f t="array" ref="F104">INDEX(Turmas!D2:D106,MATCH(E104,Turmas!A2:A106,0))</f>
        <v>Tarde</v>
      </c>
      <c r="G104" s="14">
        <v>0.0</v>
      </c>
      <c r="H104" s="15">
        <v>4.0</v>
      </c>
      <c r="I104" s="15">
        <v>0.0</v>
      </c>
      <c r="J104" s="15">
        <v>4.0</v>
      </c>
      <c r="K104" s="15">
        <f t="shared" si="1"/>
        <v>1</v>
      </c>
      <c r="L104" s="16" t="str">
        <f t="shared" si="2"/>
        <v>1-6,13-16</v>
      </c>
      <c r="M104" s="16" t="str">
        <f t="shared" si="3"/>
        <v>1-6,13-16</v>
      </c>
      <c r="N104" s="16" t="str">
        <f t="shared" si="4"/>
        <v>1-6,13-16</v>
      </c>
      <c r="O104" s="16" t="str">
        <f t="shared" si="5"/>
        <v>1-6,13-16</v>
      </c>
      <c r="P104" s="16" t="str">
        <f t="shared" si="6"/>
        <v>1-6,13-16</v>
      </c>
      <c r="Q104" s="16" t="str">
        <f t="shared" si="7"/>
        <v>1-16</v>
      </c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">
        <v>182269.0</v>
      </c>
      <c r="B105" s="9" t="s">
        <v>274</v>
      </c>
      <c r="C105" s="10" t="s">
        <v>275</v>
      </c>
      <c r="D105" s="11" t="s">
        <v>276</v>
      </c>
      <c r="E105" s="12" t="s">
        <v>268</v>
      </c>
      <c r="F105" s="13" t="str">
        <f t="array" ref="F105">INDEX(Turmas!D2:D106,MATCH(E105,Turmas!A2:A106,0))</f>
        <v>Tarde</v>
      </c>
      <c r="G105" s="14">
        <v>0.0</v>
      </c>
      <c r="H105" s="15">
        <v>4.0</v>
      </c>
      <c r="I105" s="15">
        <v>0.0</v>
      </c>
      <c r="J105" s="15">
        <v>2.0</v>
      </c>
      <c r="K105" s="15">
        <f t="shared" si="1"/>
        <v>2</v>
      </c>
      <c r="L105" s="16" t="str">
        <f t="shared" si="2"/>
        <v>1-6,13-16</v>
      </c>
      <c r="M105" s="16" t="str">
        <f t="shared" si="3"/>
        <v>1-6,13-16</v>
      </c>
      <c r="N105" s="16" t="str">
        <f t="shared" si="4"/>
        <v>1-6,13-16</v>
      </c>
      <c r="O105" s="16" t="str">
        <f t="shared" si="5"/>
        <v>1-6,13-16</v>
      </c>
      <c r="P105" s="16" t="str">
        <f t="shared" si="6"/>
        <v>1-6,13-16</v>
      </c>
      <c r="Q105" s="16" t="str">
        <f t="shared" si="7"/>
        <v>1-16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">
        <v>182272.0</v>
      </c>
      <c r="B106" s="9" t="s">
        <v>277</v>
      </c>
      <c r="C106" s="10" t="s">
        <v>278</v>
      </c>
      <c r="D106" s="11" t="s">
        <v>279</v>
      </c>
      <c r="E106" s="23" t="s">
        <v>268</v>
      </c>
      <c r="F106" s="13" t="str">
        <f t="array" ref="F106">INDEX(Turmas!D2:D106,MATCH(E106,Turmas!A2:A106,0))</f>
        <v>Tarde</v>
      </c>
      <c r="G106" s="14">
        <v>0.0</v>
      </c>
      <c r="H106" s="15">
        <v>3.0</v>
      </c>
      <c r="I106" s="15">
        <v>0.0</v>
      </c>
      <c r="J106" s="15">
        <v>2.0</v>
      </c>
      <c r="K106" s="15">
        <f t="shared" si="1"/>
        <v>1</v>
      </c>
      <c r="L106" s="16" t="str">
        <f t="shared" si="2"/>
        <v>1-6,13-16</v>
      </c>
      <c r="M106" s="16" t="str">
        <f t="shared" si="3"/>
        <v>1-6,13-16</v>
      </c>
      <c r="N106" s="16" t="str">
        <f t="shared" si="4"/>
        <v>1-6,13-16</v>
      </c>
      <c r="O106" s="16" t="str">
        <f t="shared" si="5"/>
        <v>1-6,13-16</v>
      </c>
      <c r="P106" s="16" t="str">
        <f t="shared" si="6"/>
        <v>1-6,13-16</v>
      </c>
      <c r="Q106" s="16" t="str">
        <f t="shared" si="7"/>
        <v>1-16</v>
      </c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">
        <v>182271.0</v>
      </c>
      <c r="B107" s="9" t="s">
        <v>280</v>
      </c>
      <c r="C107" s="10" t="s">
        <v>281</v>
      </c>
      <c r="D107" s="11" t="s">
        <v>243</v>
      </c>
      <c r="E107" s="23" t="s">
        <v>268</v>
      </c>
      <c r="F107" s="13" t="str">
        <f t="array" ref="F107">INDEX(Turmas!D2:D106,MATCH(E107,Turmas!A2:A106,0))</f>
        <v>Tarde</v>
      </c>
      <c r="G107" s="14">
        <v>0.0</v>
      </c>
      <c r="H107" s="15">
        <v>4.0</v>
      </c>
      <c r="I107" s="15">
        <v>0.0</v>
      </c>
      <c r="J107" s="15">
        <v>2.0</v>
      </c>
      <c r="K107" s="15">
        <f t="shared" si="1"/>
        <v>2</v>
      </c>
      <c r="L107" s="16" t="str">
        <f t="shared" si="2"/>
        <v>1-6,13-16</v>
      </c>
      <c r="M107" s="16" t="str">
        <f t="shared" si="3"/>
        <v>1-6,13-16</v>
      </c>
      <c r="N107" s="16" t="str">
        <f t="shared" si="4"/>
        <v>1-6,13-16</v>
      </c>
      <c r="O107" s="16" t="str">
        <f t="shared" si="5"/>
        <v>1-6,13-16</v>
      </c>
      <c r="P107" s="16" t="str">
        <f t="shared" si="6"/>
        <v>1-6,13-16</v>
      </c>
      <c r="Q107" s="16" t="str">
        <f t="shared" si="7"/>
        <v>1-16</v>
      </c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">
        <v>182273.0</v>
      </c>
      <c r="B108" s="9" t="s">
        <v>282</v>
      </c>
      <c r="C108" s="10" t="s">
        <v>152</v>
      </c>
      <c r="D108" s="11" t="s">
        <v>283</v>
      </c>
      <c r="E108" s="23" t="s">
        <v>268</v>
      </c>
      <c r="F108" s="13" t="str">
        <f t="array" ref="F108">INDEX(Turmas!D2:D106,MATCH(E108,Turmas!A2:A106,0))</f>
        <v>Tarde</v>
      </c>
      <c r="G108" s="14">
        <v>0.0</v>
      </c>
      <c r="H108" s="15">
        <v>4.0</v>
      </c>
      <c r="I108" s="15">
        <v>0.0</v>
      </c>
      <c r="J108" s="15">
        <v>4.0</v>
      </c>
      <c r="K108" s="15">
        <f t="shared" si="1"/>
        <v>1</v>
      </c>
      <c r="L108" s="16" t="str">
        <f t="shared" si="2"/>
        <v>1-6,13-16</v>
      </c>
      <c r="M108" s="16" t="str">
        <f t="shared" si="3"/>
        <v>1-6,13-16</v>
      </c>
      <c r="N108" s="16" t="str">
        <f t="shared" si="4"/>
        <v>1-6,13-16</v>
      </c>
      <c r="O108" s="16" t="str">
        <f t="shared" si="5"/>
        <v>1-6,13-16</v>
      </c>
      <c r="P108" s="16" t="str">
        <f t="shared" si="6"/>
        <v>1-6,13-16</v>
      </c>
      <c r="Q108" s="16" t="str">
        <f t="shared" si="7"/>
        <v>1-16</v>
      </c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">
        <v>182274.0</v>
      </c>
      <c r="B109" s="9" t="s">
        <v>284</v>
      </c>
      <c r="C109" s="10" t="s">
        <v>285</v>
      </c>
      <c r="D109" s="11" t="s">
        <v>195</v>
      </c>
      <c r="E109" s="23" t="s">
        <v>286</v>
      </c>
      <c r="F109" s="13" t="str">
        <f t="array" ref="F109">INDEX(Turmas!D2:D106,MATCH(E109,Turmas!A2:A106,0))</f>
        <v>Manhã</v>
      </c>
      <c r="G109" s="14">
        <v>0.0</v>
      </c>
      <c r="H109" s="15">
        <v>3.0</v>
      </c>
      <c r="I109" s="15">
        <v>0.0</v>
      </c>
      <c r="J109" s="15">
        <v>2.0</v>
      </c>
      <c r="K109" s="15">
        <f t="shared" si="1"/>
        <v>1</v>
      </c>
      <c r="L109" s="16" t="str">
        <f t="shared" si="2"/>
        <v>7-16</v>
      </c>
      <c r="M109" s="16" t="str">
        <f t="shared" si="3"/>
        <v>7-16</v>
      </c>
      <c r="N109" s="16" t="str">
        <f t="shared" si="4"/>
        <v>7-16</v>
      </c>
      <c r="O109" s="16" t="str">
        <f t="shared" si="5"/>
        <v>7-16</v>
      </c>
      <c r="P109" s="16" t="str">
        <f t="shared" si="6"/>
        <v>7-16</v>
      </c>
      <c r="Q109" s="16" t="str">
        <f t="shared" si="7"/>
        <v>1-16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">
        <v>182275.0</v>
      </c>
      <c r="B110" s="9" t="s">
        <v>287</v>
      </c>
      <c r="C110" s="10" t="s">
        <v>288</v>
      </c>
      <c r="D110" s="11" t="s">
        <v>289</v>
      </c>
      <c r="E110" s="23" t="s">
        <v>286</v>
      </c>
      <c r="F110" s="13" t="str">
        <f t="array" ref="F110">INDEX(Turmas!D2:D106,MATCH(E110,Turmas!A2:A106,0))</f>
        <v>Manhã</v>
      </c>
      <c r="G110" s="14">
        <v>0.0</v>
      </c>
      <c r="H110" s="15">
        <v>2.0</v>
      </c>
      <c r="I110" s="15">
        <v>0.0</v>
      </c>
      <c r="J110" s="15">
        <v>2.0</v>
      </c>
      <c r="K110" s="15">
        <f t="shared" si="1"/>
        <v>1</v>
      </c>
      <c r="L110" s="16" t="str">
        <f t="shared" si="2"/>
        <v>7-16</v>
      </c>
      <c r="M110" s="16" t="str">
        <f t="shared" si="3"/>
        <v>7-16</v>
      </c>
      <c r="N110" s="16" t="str">
        <f t="shared" si="4"/>
        <v>7-16</v>
      </c>
      <c r="O110" s="16" t="str">
        <f t="shared" si="5"/>
        <v>7-16</v>
      </c>
      <c r="P110" s="16" t="str">
        <f t="shared" si="6"/>
        <v>7-16</v>
      </c>
      <c r="Q110" s="16" t="str">
        <f t="shared" si="7"/>
        <v>1-16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">
        <v>182276.0</v>
      </c>
      <c r="B111" s="9" t="s">
        <v>290</v>
      </c>
      <c r="C111" s="10" t="s">
        <v>291</v>
      </c>
      <c r="D111" s="11" t="s">
        <v>292</v>
      </c>
      <c r="E111" s="23" t="s">
        <v>286</v>
      </c>
      <c r="F111" s="13" t="str">
        <f t="array" ref="F111">INDEX(Turmas!D2:D106,MATCH(E111,Turmas!A2:A106,0))</f>
        <v>Manhã</v>
      </c>
      <c r="G111" s="14">
        <v>0.0</v>
      </c>
      <c r="H111" s="15">
        <v>3.0</v>
      </c>
      <c r="I111" s="15">
        <v>0.0</v>
      </c>
      <c r="J111" s="15">
        <v>2.0</v>
      </c>
      <c r="K111" s="15">
        <f t="shared" si="1"/>
        <v>1</v>
      </c>
      <c r="L111" s="16" t="str">
        <f t="shared" si="2"/>
        <v>7-16</v>
      </c>
      <c r="M111" s="16" t="str">
        <f t="shared" si="3"/>
        <v>7-16</v>
      </c>
      <c r="N111" s="16" t="str">
        <f t="shared" si="4"/>
        <v>7-16</v>
      </c>
      <c r="O111" s="16" t="str">
        <f t="shared" si="5"/>
        <v>7-16</v>
      </c>
      <c r="P111" s="16" t="str">
        <f t="shared" si="6"/>
        <v>7-16</v>
      </c>
      <c r="Q111" s="16" t="str">
        <f t="shared" si="7"/>
        <v>1-16</v>
      </c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">
        <v>182277.0</v>
      </c>
      <c r="B112" s="9" t="s">
        <v>293</v>
      </c>
      <c r="C112" s="10" t="s">
        <v>294</v>
      </c>
      <c r="D112" s="11" t="s">
        <v>162</v>
      </c>
      <c r="E112" s="23" t="s">
        <v>286</v>
      </c>
      <c r="F112" s="13" t="str">
        <f t="array" ref="F112">INDEX(Turmas!D2:D106,MATCH(E112,Turmas!A2:A106,0))</f>
        <v>Manhã</v>
      </c>
      <c r="G112" s="14">
        <v>0.0</v>
      </c>
      <c r="H112" s="15">
        <v>3.0</v>
      </c>
      <c r="I112" s="15">
        <v>0.0</v>
      </c>
      <c r="J112" s="15">
        <v>2.0</v>
      </c>
      <c r="K112" s="15">
        <f t="shared" si="1"/>
        <v>1</v>
      </c>
      <c r="L112" s="16" t="str">
        <f t="shared" si="2"/>
        <v>7-16</v>
      </c>
      <c r="M112" s="16" t="str">
        <f t="shared" si="3"/>
        <v>7-16</v>
      </c>
      <c r="N112" s="16" t="str">
        <f t="shared" si="4"/>
        <v>7-16</v>
      </c>
      <c r="O112" s="16" t="str">
        <f t="shared" si="5"/>
        <v>7-16</v>
      </c>
      <c r="P112" s="16" t="str">
        <f t="shared" si="6"/>
        <v>7-16</v>
      </c>
      <c r="Q112" s="16" t="str">
        <f t="shared" si="7"/>
        <v>1-16</v>
      </c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">
        <v>182278.0</v>
      </c>
      <c r="B113" s="9" t="s">
        <v>295</v>
      </c>
      <c r="C113" s="10" t="s">
        <v>296</v>
      </c>
      <c r="D113" s="11" t="s">
        <v>297</v>
      </c>
      <c r="E113" s="23" t="s">
        <v>286</v>
      </c>
      <c r="F113" s="13" t="str">
        <f t="array" ref="F113">INDEX(Turmas!D2:D106,MATCH(E113,Turmas!A2:A106,0))</f>
        <v>Manhã</v>
      </c>
      <c r="G113" s="14">
        <v>0.0</v>
      </c>
      <c r="H113" s="15">
        <v>4.0</v>
      </c>
      <c r="I113" s="15">
        <v>0.0</v>
      </c>
      <c r="J113" s="15">
        <v>2.0</v>
      </c>
      <c r="K113" s="15">
        <f t="shared" si="1"/>
        <v>2</v>
      </c>
      <c r="L113" s="16" t="str">
        <f t="shared" si="2"/>
        <v>7-16</v>
      </c>
      <c r="M113" s="16" t="str">
        <f t="shared" si="3"/>
        <v>7-16</v>
      </c>
      <c r="N113" s="16" t="str">
        <f t="shared" si="4"/>
        <v>7-16</v>
      </c>
      <c r="O113" s="16" t="str">
        <f t="shared" si="5"/>
        <v>7-16</v>
      </c>
      <c r="P113" s="16" t="str">
        <f t="shared" si="6"/>
        <v>7-16</v>
      </c>
      <c r="Q113" s="16" t="str">
        <f t="shared" si="7"/>
        <v>1-16</v>
      </c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">
        <v>182280.0</v>
      </c>
      <c r="B114" s="9" t="s">
        <v>298</v>
      </c>
      <c r="C114" s="10" t="s">
        <v>299</v>
      </c>
      <c r="D114" s="11" t="s">
        <v>300</v>
      </c>
      <c r="E114" s="23" t="s">
        <v>286</v>
      </c>
      <c r="F114" s="13" t="str">
        <f t="array" ref="F114">INDEX(Turmas!D2:D106,MATCH(E114,Turmas!A2:A106,0))</f>
        <v>Manhã</v>
      </c>
      <c r="G114" s="14">
        <v>0.0</v>
      </c>
      <c r="H114" s="15">
        <v>3.0</v>
      </c>
      <c r="I114" s="15">
        <v>0.0</v>
      </c>
      <c r="J114" s="15">
        <v>2.0</v>
      </c>
      <c r="K114" s="15">
        <f t="shared" si="1"/>
        <v>1</v>
      </c>
      <c r="L114" s="16" t="str">
        <f t="shared" si="2"/>
        <v>7-16</v>
      </c>
      <c r="M114" s="16" t="str">
        <f t="shared" si="3"/>
        <v>7-16</v>
      </c>
      <c r="N114" s="16" t="str">
        <f t="shared" si="4"/>
        <v>7-16</v>
      </c>
      <c r="O114" s="16" t="str">
        <f t="shared" si="5"/>
        <v>7-16</v>
      </c>
      <c r="P114" s="16" t="str">
        <f t="shared" si="6"/>
        <v>7-16</v>
      </c>
      <c r="Q114" s="16" t="str">
        <f t="shared" si="7"/>
        <v>1-16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">
        <v>182281.0</v>
      </c>
      <c r="B115" s="9" t="s">
        <v>301</v>
      </c>
      <c r="C115" s="10" t="s">
        <v>302</v>
      </c>
      <c r="D115" s="11" t="s">
        <v>190</v>
      </c>
      <c r="E115" s="23" t="s">
        <v>303</v>
      </c>
      <c r="F115" s="13" t="str">
        <f t="array" ref="F115">INDEX(Turmas!D2:D106,MATCH(E115,Turmas!A2:A106,0))</f>
        <v>Tarde</v>
      </c>
      <c r="G115" s="14">
        <v>0.0</v>
      </c>
      <c r="H115" s="15">
        <v>3.0</v>
      </c>
      <c r="I115" s="15">
        <v>0.0</v>
      </c>
      <c r="J115" s="15">
        <v>2.0</v>
      </c>
      <c r="K115" s="15">
        <f t="shared" si="1"/>
        <v>1</v>
      </c>
      <c r="L115" s="16" t="str">
        <f t="shared" si="2"/>
        <v>1-6,13-16</v>
      </c>
      <c r="M115" s="16" t="str">
        <f t="shared" si="3"/>
        <v>1-6,13-16</v>
      </c>
      <c r="N115" s="16" t="str">
        <f t="shared" si="4"/>
        <v>1-6,13-16</v>
      </c>
      <c r="O115" s="16" t="str">
        <f t="shared" si="5"/>
        <v>1-6,13-16</v>
      </c>
      <c r="P115" s="16" t="str">
        <f t="shared" si="6"/>
        <v>1-6,13-16</v>
      </c>
      <c r="Q115" s="16" t="str">
        <f t="shared" si="7"/>
        <v>1-16</v>
      </c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">
        <v>182282.0</v>
      </c>
      <c r="B116" s="9" t="s">
        <v>304</v>
      </c>
      <c r="C116" s="10" t="s">
        <v>305</v>
      </c>
      <c r="D116" s="11" t="s">
        <v>26</v>
      </c>
      <c r="E116" s="23" t="s">
        <v>303</v>
      </c>
      <c r="F116" s="13" t="str">
        <f t="array" ref="F116">INDEX(Turmas!D2:D106,MATCH(E116,Turmas!A2:A106,0))</f>
        <v>Tarde</v>
      </c>
      <c r="G116" s="14">
        <v>0.0</v>
      </c>
      <c r="H116" s="15">
        <v>2.0</v>
      </c>
      <c r="I116" s="15">
        <v>0.0</v>
      </c>
      <c r="J116" s="15">
        <v>2.0</v>
      </c>
      <c r="K116" s="15">
        <f t="shared" si="1"/>
        <v>1</v>
      </c>
      <c r="L116" s="16" t="str">
        <f t="shared" si="2"/>
        <v>1-6,13-16</v>
      </c>
      <c r="M116" s="16" t="str">
        <f t="shared" si="3"/>
        <v>1-6,13-16</v>
      </c>
      <c r="N116" s="16" t="str">
        <f t="shared" si="4"/>
        <v>1-6,13-16</v>
      </c>
      <c r="O116" s="16" t="str">
        <f t="shared" si="5"/>
        <v>1-6,13-16</v>
      </c>
      <c r="P116" s="16" t="str">
        <f t="shared" si="6"/>
        <v>1-6,13-16</v>
      </c>
      <c r="Q116" s="16" t="str">
        <f t="shared" si="7"/>
        <v>1-16</v>
      </c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">
        <v>182283.0</v>
      </c>
      <c r="B117" s="9" t="s">
        <v>306</v>
      </c>
      <c r="C117" s="10" t="s">
        <v>307</v>
      </c>
      <c r="D117" s="11" t="s">
        <v>190</v>
      </c>
      <c r="E117" s="23" t="s">
        <v>303</v>
      </c>
      <c r="F117" s="13" t="str">
        <f t="array" ref="F117">INDEX(Turmas!D2:D106,MATCH(E117,Turmas!A2:A106,0))</f>
        <v>Tarde</v>
      </c>
      <c r="G117" s="14">
        <v>0.0</v>
      </c>
      <c r="H117" s="15">
        <v>3.0</v>
      </c>
      <c r="I117" s="15">
        <v>0.0</v>
      </c>
      <c r="J117" s="15">
        <v>2.0</v>
      </c>
      <c r="K117" s="15">
        <f t="shared" si="1"/>
        <v>1</v>
      </c>
      <c r="L117" s="16" t="str">
        <f t="shared" si="2"/>
        <v>1-6,13-16</v>
      </c>
      <c r="M117" s="16" t="str">
        <f t="shared" si="3"/>
        <v>1-6,13-16</v>
      </c>
      <c r="N117" s="16" t="str">
        <f t="shared" si="4"/>
        <v>1-6,13-16</v>
      </c>
      <c r="O117" s="16" t="str">
        <f t="shared" si="5"/>
        <v>1-6,13-16</v>
      </c>
      <c r="P117" s="16" t="str">
        <f t="shared" si="6"/>
        <v>1-6,13-16</v>
      </c>
      <c r="Q117" s="16" t="str">
        <f t="shared" si="7"/>
        <v>1-16</v>
      </c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">
        <v>182284.0</v>
      </c>
      <c r="B118" s="9" t="s">
        <v>308</v>
      </c>
      <c r="C118" s="10" t="s">
        <v>309</v>
      </c>
      <c r="D118" s="11" t="s">
        <v>183</v>
      </c>
      <c r="E118" s="23" t="s">
        <v>303</v>
      </c>
      <c r="F118" s="13" t="str">
        <f t="array" ref="F118">INDEX(Turmas!D2:D106,MATCH(E118,Turmas!A2:A106,0))</f>
        <v>Tarde</v>
      </c>
      <c r="G118" s="14">
        <v>0.0</v>
      </c>
      <c r="H118" s="15">
        <v>3.0</v>
      </c>
      <c r="I118" s="15">
        <v>0.0</v>
      </c>
      <c r="J118" s="15">
        <v>2.0</v>
      </c>
      <c r="K118" s="15">
        <f t="shared" si="1"/>
        <v>1</v>
      </c>
      <c r="L118" s="16" t="str">
        <f t="shared" si="2"/>
        <v>1-6,13-16</v>
      </c>
      <c r="M118" s="16" t="str">
        <f t="shared" si="3"/>
        <v>1-6,13-16</v>
      </c>
      <c r="N118" s="16" t="str">
        <f t="shared" si="4"/>
        <v>1-6,13-16</v>
      </c>
      <c r="O118" s="16" t="str">
        <f t="shared" si="5"/>
        <v>1-6,13-16</v>
      </c>
      <c r="P118" s="16" t="str">
        <f t="shared" si="6"/>
        <v>1-6,13-16</v>
      </c>
      <c r="Q118" s="16" t="str">
        <f t="shared" si="7"/>
        <v>1-16</v>
      </c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">
        <v>182285.0</v>
      </c>
      <c r="B119" s="9" t="s">
        <v>310</v>
      </c>
      <c r="C119" s="10" t="s">
        <v>311</v>
      </c>
      <c r="D119" s="11" t="s">
        <v>312</v>
      </c>
      <c r="E119" s="23" t="s">
        <v>303</v>
      </c>
      <c r="F119" s="13" t="str">
        <f t="array" ref="F119">INDEX(Turmas!D2:D106,MATCH(E119,Turmas!A2:A106,0))</f>
        <v>Tarde</v>
      </c>
      <c r="G119" s="14">
        <v>0.0</v>
      </c>
      <c r="H119" s="15">
        <v>2.0</v>
      </c>
      <c r="I119" s="15">
        <v>0.0</v>
      </c>
      <c r="J119" s="15">
        <v>2.0</v>
      </c>
      <c r="K119" s="15">
        <f t="shared" si="1"/>
        <v>1</v>
      </c>
      <c r="L119" s="16" t="str">
        <f t="shared" si="2"/>
        <v>1-6,13-16</v>
      </c>
      <c r="M119" s="16" t="str">
        <f t="shared" si="3"/>
        <v>1-6,13-16</v>
      </c>
      <c r="N119" s="16" t="str">
        <f t="shared" si="4"/>
        <v>1-6,13-16</v>
      </c>
      <c r="O119" s="16" t="str">
        <f t="shared" si="5"/>
        <v>1-6,13-16</v>
      </c>
      <c r="P119" s="16" t="str">
        <f t="shared" si="6"/>
        <v>1-6,13-16</v>
      </c>
      <c r="Q119" s="16" t="str">
        <f t="shared" si="7"/>
        <v>1-16</v>
      </c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">
        <v>182286.0</v>
      </c>
      <c r="B120" s="9" t="s">
        <v>313</v>
      </c>
      <c r="C120" s="10" t="s">
        <v>314</v>
      </c>
      <c r="D120" s="11" t="s">
        <v>315</v>
      </c>
      <c r="E120" s="23" t="s">
        <v>303</v>
      </c>
      <c r="F120" s="13" t="str">
        <f t="array" ref="F120">INDEX(Turmas!D2:D106,MATCH(E120,Turmas!A2:A106,0))</f>
        <v>Tarde</v>
      </c>
      <c r="G120" s="14">
        <v>0.0</v>
      </c>
      <c r="H120" s="15">
        <v>2.0</v>
      </c>
      <c r="I120" s="15">
        <v>0.0</v>
      </c>
      <c r="J120" s="15">
        <v>2.0</v>
      </c>
      <c r="K120" s="15">
        <f t="shared" si="1"/>
        <v>1</v>
      </c>
      <c r="L120" s="16" t="str">
        <f t="shared" si="2"/>
        <v>1-6,13-16</v>
      </c>
      <c r="M120" s="16" t="str">
        <f t="shared" si="3"/>
        <v>1-6,13-16</v>
      </c>
      <c r="N120" s="16" t="str">
        <f t="shared" si="4"/>
        <v>1-6,13-16</v>
      </c>
      <c r="O120" s="16" t="str">
        <f t="shared" si="5"/>
        <v>1-6,13-16</v>
      </c>
      <c r="P120" s="16" t="str">
        <f t="shared" si="6"/>
        <v>1-6,13-16</v>
      </c>
      <c r="Q120" s="16" t="str">
        <f t="shared" si="7"/>
        <v>1-16</v>
      </c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">
        <v>182287.0</v>
      </c>
      <c r="B121" s="9" t="s">
        <v>316</v>
      </c>
      <c r="C121" s="10" t="s">
        <v>317</v>
      </c>
      <c r="D121" s="11" t="s">
        <v>318</v>
      </c>
      <c r="E121" s="23" t="s">
        <v>303</v>
      </c>
      <c r="F121" s="13" t="str">
        <f t="array" ref="F121">INDEX(Turmas!D2:D106,MATCH(E121,Turmas!A2:A106,0))</f>
        <v>Tarde</v>
      </c>
      <c r="G121" s="14">
        <v>0.0</v>
      </c>
      <c r="H121" s="15">
        <v>3.0</v>
      </c>
      <c r="I121" s="15">
        <v>0.0</v>
      </c>
      <c r="J121" s="15">
        <v>2.0</v>
      </c>
      <c r="K121" s="15">
        <f t="shared" si="1"/>
        <v>1</v>
      </c>
      <c r="L121" s="16" t="str">
        <f t="shared" si="2"/>
        <v>1-6,13-16</v>
      </c>
      <c r="M121" s="16" t="str">
        <f t="shared" si="3"/>
        <v>1-6,13-16</v>
      </c>
      <c r="N121" s="16" t="str">
        <f t="shared" si="4"/>
        <v>1-6,13-16</v>
      </c>
      <c r="O121" s="16" t="str">
        <f t="shared" si="5"/>
        <v>1-6,13-16</v>
      </c>
      <c r="P121" s="16" t="str">
        <f t="shared" si="6"/>
        <v>1-6,13-16</v>
      </c>
      <c r="Q121" s="16" t="str">
        <f t="shared" si="7"/>
        <v>1-16</v>
      </c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">
        <v>182288.0</v>
      </c>
      <c r="B122" s="9" t="s">
        <v>319</v>
      </c>
      <c r="C122" s="10" t="s">
        <v>320</v>
      </c>
      <c r="D122" s="11" t="s">
        <v>29</v>
      </c>
      <c r="E122" s="23" t="s">
        <v>303</v>
      </c>
      <c r="F122" s="13" t="str">
        <f t="array" ref="F122">INDEX(Turmas!D2:D106,MATCH(E122,Turmas!A2:A106,0))</f>
        <v>Tarde</v>
      </c>
      <c r="G122" s="14">
        <v>0.0</v>
      </c>
      <c r="H122" s="15">
        <v>4.0</v>
      </c>
      <c r="I122" s="15">
        <v>0.0</v>
      </c>
      <c r="J122" s="15">
        <v>4.0</v>
      </c>
      <c r="K122" s="15">
        <f t="shared" si="1"/>
        <v>1</v>
      </c>
      <c r="L122" s="16" t="str">
        <f t="shared" si="2"/>
        <v>1-6,13-16</v>
      </c>
      <c r="M122" s="16" t="str">
        <f t="shared" si="3"/>
        <v>1-6,13-16</v>
      </c>
      <c r="N122" s="16" t="str">
        <f t="shared" si="4"/>
        <v>1-6,13-16</v>
      </c>
      <c r="O122" s="16" t="str">
        <f t="shared" si="5"/>
        <v>1-6,13-16</v>
      </c>
      <c r="P122" s="16" t="str">
        <f t="shared" si="6"/>
        <v>1-6,13-16</v>
      </c>
      <c r="Q122" s="16" t="str">
        <f t="shared" si="7"/>
        <v>1-16</v>
      </c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">
        <v>182289.0</v>
      </c>
      <c r="B123" s="9" t="s">
        <v>321</v>
      </c>
      <c r="C123" s="10" t="s">
        <v>322</v>
      </c>
      <c r="D123" s="11" t="s">
        <v>323</v>
      </c>
      <c r="E123" s="23" t="s">
        <v>324</v>
      </c>
      <c r="F123" s="13" t="str">
        <f t="array" ref="F123">INDEX(Turmas!D2:D106,MATCH(E123,Turmas!A2:A106,0))</f>
        <v>Tarde</v>
      </c>
      <c r="G123" s="14">
        <v>0.0</v>
      </c>
      <c r="H123" s="15">
        <v>4.0</v>
      </c>
      <c r="I123" s="15">
        <v>0.0</v>
      </c>
      <c r="J123" s="15">
        <v>2.0</v>
      </c>
      <c r="K123" s="15">
        <f t="shared" si="1"/>
        <v>2</v>
      </c>
      <c r="L123" s="16" t="str">
        <f t="shared" si="2"/>
        <v>1-6,13-16</v>
      </c>
      <c r="M123" s="16" t="str">
        <f t="shared" si="3"/>
        <v>1-6,13-16</v>
      </c>
      <c r="N123" s="16" t="str">
        <f t="shared" si="4"/>
        <v>1-6,13-16</v>
      </c>
      <c r="O123" s="16" t="str">
        <f t="shared" si="5"/>
        <v>1-6,13-16</v>
      </c>
      <c r="P123" s="16" t="str">
        <f t="shared" si="6"/>
        <v>1-6,13-16</v>
      </c>
      <c r="Q123" s="16" t="str">
        <f t="shared" si="7"/>
        <v>1-16</v>
      </c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">
        <v>183790.0</v>
      </c>
      <c r="B124" s="9" t="s">
        <v>325</v>
      </c>
      <c r="C124" s="10" t="s">
        <v>326</v>
      </c>
      <c r="D124" s="11" t="s">
        <v>190</v>
      </c>
      <c r="E124" s="23" t="s">
        <v>327</v>
      </c>
      <c r="F124" s="13" t="str">
        <f t="array" ref="F124">INDEX(Turmas!D2:D106,MATCH(E124,Turmas!A2:A106,0))</f>
        <v>Tarde</v>
      </c>
      <c r="G124" s="14">
        <v>0.0</v>
      </c>
      <c r="H124" s="15">
        <v>2.0</v>
      </c>
      <c r="I124" s="15">
        <v>0.0</v>
      </c>
      <c r="J124" s="15">
        <v>2.0</v>
      </c>
      <c r="K124" s="15">
        <f t="shared" si="1"/>
        <v>1</v>
      </c>
      <c r="L124" s="16" t="str">
        <f t="shared" si="2"/>
        <v>1-6,13-16</v>
      </c>
      <c r="M124" s="16" t="str">
        <f t="shared" si="3"/>
        <v>1-6,13-16</v>
      </c>
      <c r="N124" s="16" t="str">
        <f t="shared" si="4"/>
        <v>1-6,13-16</v>
      </c>
      <c r="O124" s="16" t="str">
        <f t="shared" si="5"/>
        <v>1-6,13-16</v>
      </c>
      <c r="P124" s="16" t="str">
        <f t="shared" si="6"/>
        <v>1-6,13-16</v>
      </c>
      <c r="Q124" s="16" t="str">
        <f t="shared" si="7"/>
        <v>1-16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">
        <v>183818.0</v>
      </c>
      <c r="B125" s="9" t="s">
        <v>328</v>
      </c>
      <c r="C125" s="10" t="s">
        <v>329</v>
      </c>
      <c r="D125" s="11" t="s">
        <v>289</v>
      </c>
      <c r="E125" s="24" t="s">
        <v>330</v>
      </c>
      <c r="F125" s="13" t="str">
        <f t="array" ref="F125">INDEX(Turmas!D2:D106,MATCH(E125,Turmas!A2:A106,0))</f>
        <v>Tarde</v>
      </c>
      <c r="G125" s="14">
        <v>0.0</v>
      </c>
      <c r="H125" s="15">
        <v>4.0</v>
      </c>
      <c r="I125" s="15">
        <v>0.0</v>
      </c>
      <c r="J125" s="15">
        <v>2.0</v>
      </c>
      <c r="K125" s="15">
        <f t="shared" si="1"/>
        <v>2</v>
      </c>
      <c r="L125" s="16" t="str">
        <f t="shared" si="2"/>
        <v>1-6,13-16</v>
      </c>
      <c r="M125" s="16" t="str">
        <f t="shared" si="3"/>
        <v>1-6,13-16</v>
      </c>
      <c r="N125" s="16" t="str">
        <f t="shared" si="4"/>
        <v>1-6,13-16</v>
      </c>
      <c r="O125" s="16" t="str">
        <f t="shared" si="5"/>
        <v>1-6,13-16</v>
      </c>
      <c r="P125" s="16" t="str">
        <f t="shared" si="6"/>
        <v>1-6,13-16</v>
      </c>
      <c r="Q125" s="16" t="str">
        <f t="shared" si="7"/>
        <v>1-16</v>
      </c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">
        <v>183851.0</v>
      </c>
      <c r="B126" s="9" t="s">
        <v>331</v>
      </c>
      <c r="C126" s="10" t="s">
        <v>332</v>
      </c>
      <c r="D126" s="11" t="s">
        <v>263</v>
      </c>
      <c r="E126" s="24" t="s">
        <v>330</v>
      </c>
      <c r="F126" s="13" t="str">
        <f t="array" ref="F126">INDEX(Turmas!D2:D106,MATCH(E126,Turmas!A2:A106,0))</f>
        <v>Tarde</v>
      </c>
      <c r="G126" s="14">
        <v>0.0</v>
      </c>
      <c r="H126" s="15">
        <v>2.0</v>
      </c>
      <c r="I126" s="15">
        <v>0.0</v>
      </c>
      <c r="J126" s="15">
        <v>2.0</v>
      </c>
      <c r="K126" s="15">
        <f t="shared" si="1"/>
        <v>1</v>
      </c>
      <c r="L126" s="16" t="str">
        <f t="shared" si="2"/>
        <v>1-6,13-16</v>
      </c>
      <c r="M126" s="16" t="str">
        <f t="shared" si="3"/>
        <v>1-6,13-16</v>
      </c>
      <c r="N126" s="16" t="str">
        <f t="shared" si="4"/>
        <v>1-6,13-16</v>
      </c>
      <c r="O126" s="16" t="str">
        <f t="shared" si="5"/>
        <v>1-6,13-16</v>
      </c>
      <c r="P126" s="16" t="str">
        <f t="shared" si="6"/>
        <v>1-6,13-16</v>
      </c>
      <c r="Q126" s="16" t="str">
        <f t="shared" si="7"/>
        <v>1-16</v>
      </c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">
        <v>183852.0</v>
      </c>
      <c r="B127" s="9" t="s">
        <v>333</v>
      </c>
      <c r="C127" s="10" t="s">
        <v>334</v>
      </c>
      <c r="D127" s="11" t="s">
        <v>335</v>
      </c>
      <c r="E127" s="24" t="s">
        <v>330</v>
      </c>
      <c r="F127" s="13" t="str">
        <f t="array" ref="F127">INDEX(Turmas!D2:D106,MATCH(E127,Turmas!A2:A106,0))</f>
        <v>Tarde</v>
      </c>
      <c r="G127" s="14">
        <v>0.0</v>
      </c>
      <c r="H127" s="15">
        <v>2.0</v>
      </c>
      <c r="I127" s="15">
        <v>0.0</v>
      </c>
      <c r="J127" s="15">
        <v>2.0</v>
      </c>
      <c r="K127" s="15">
        <f t="shared" si="1"/>
        <v>1</v>
      </c>
      <c r="L127" s="16" t="str">
        <f t="shared" si="2"/>
        <v>1-6,13-16</v>
      </c>
      <c r="M127" s="16" t="str">
        <f t="shared" si="3"/>
        <v>1-6,13-16</v>
      </c>
      <c r="N127" s="16" t="str">
        <f t="shared" si="4"/>
        <v>1-6,13-16</v>
      </c>
      <c r="O127" s="16" t="str">
        <f t="shared" si="5"/>
        <v>1-6,13-16</v>
      </c>
      <c r="P127" s="16" t="str">
        <f t="shared" si="6"/>
        <v>1-6,13-16</v>
      </c>
      <c r="Q127" s="16" t="str">
        <f t="shared" si="7"/>
        <v>1-16</v>
      </c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">
        <v>183855.0</v>
      </c>
      <c r="B128" s="9" t="s">
        <v>336</v>
      </c>
      <c r="C128" s="10" t="s">
        <v>337</v>
      </c>
      <c r="D128" s="11" t="s">
        <v>180</v>
      </c>
      <c r="E128" s="24" t="s">
        <v>338</v>
      </c>
      <c r="F128" s="13" t="str">
        <f t="array" ref="F128">INDEX(Turmas!D2:D106,MATCH(E128,Turmas!A2:A106,0))</f>
        <v>Tarde</v>
      </c>
      <c r="G128" s="14">
        <v>0.0</v>
      </c>
      <c r="H128" s="15">
        <v>3.0</v>
      </c>
      <c r="I128" s="15">
        <v>0.0</v>
      </c>
      <c r="J128" s="15">
        <v>2.0</v>
      </c>
      <c r="K128" s="15">
        <f t="shared" si="1"/>
        <v>1</v>
      </c>
      <c r="L128" s="16" t="str">
        <f t="shared" si="2"/>
        <v>1-6,13-16</v>
      </c>
      <c r="M128" s="16" t="str">
        <f t="shared" si="3"/>
        <v>1-6,13-16</v>
      </c>
      <c r="N128" s="16" t="str">
        <f t="shared" si="4"/>
        <v>1-6,13-16</v>
      </c>
      <c r="O128" s="16" t="str">
        <f t="shared" si="5"/>
        <v>1-6,13-16</v>
      </c>
      <c r="P128" s="16" t="str">
        <f t="shared" si="6"/>
        <v>1-6,13-16</v>
      </c>
      <c r="Q128" s="16" t="str">
        <f t="shared" si="7"/>
        <v>1-16</v>
      </c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">
        <v>183858.0</v>
      </c>
      <c r="B129" s="9" t="s">
        <v>339</v>
      </c>
      <c r="C129" s="10" t="s">
        <v>340</v>
      </c>
      <c r="D129" s="11" t="s">
        <v>207</v>
      </c>
      <c r="E129" s="24" t="s">
        <v>338</v>
      </c>
      <c r="F129" s="13" t="str">
        <f t="array" ref="F129">INDEX(Turmas!D2:D106,MATCH(E129,Turmas!A2:A106,0))</f>
        <v>Tarde</v>
      </c>
      <c r="G129" s="14">
        <v>0.0</v>
      </c>
      <c r="H129" s="15">
        <v>3.0</v>
      </c>
      <c r="I129" s="15">
        <v>0.0</v>
      </c>
      <c r="J129" s="15">
        <v>2.0</v>
      </c>
      <c r="K129" s="15">
        <f t="shared" si="1"/>
        <v>1</v>
      </c>
      <c r="L129" s="16" t="str">
        <f t="shared" si="2"/>
        <v>1-6,13-16</v>
      </c>
      <c r="M129" s="16" t="str">
        <f t="shared" si="3"/>
        <v>1-6,13-16</v>
      </c>
      <c r="N129" s="16" t="str">
        <f t="shared" si="4"/>
        <v>1-6,13-16</v>
      </c>
      <c r="O129" s="16" t="str">
        <f t="shared" si="5"/>
        <v>1-6,13-16</v>
      </c>
      <c r="P129" s="16" t="str">
        <f t="shared" si="6"/>
        <v>1-6,13-16</v>
      </c>
      <c r="Q129" s="16" t="str">
        <f t="shared" si="7"/>
        <v>1-16</v>
      </c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">
        <v>183856.0</v>
      </c>
      <c r="B130" s="9" t="s">
        <v>341</v>
      </c>
      <c r="C130" s="10" t="s">
        <v>342</v>
      </c>
      <c r="D130" s="11" t="s">
        <v>210</v>
      </c>
      <c r="E130" s="24" t="s">
        <v>338</v>
      </c>
      <c r="F130" s="13" t="str">
        <f t="array" ref="F130">INDEX(Turmas!D2:D106,MATCH(E130,Turmas!A2:A106,0))</f>
        <v>Tarde</v>
      </c>
      <c r="G130" s="14">
        <v>0.0</v>
      </c>
      <c r="H130" s="15">
        <v>3.0</v>
      </c>
      <c r="I130" s="15">
        <v>0.0</v>
      </c>
      <c r="J130" s="15">
        <v>2.0</v>
      </c>
      <c r="K130" s="15">
        <f t="shared" si="1"/>
        <v>1</v>
      </c>
      <c r="L130" s="16" t="str">
        <f t="shared" si="2"/>
        <v>1-6,13-16</v>
      </c>
      <c r="M130" s="16" t="str">
        <f t="shared" si="3"/>
        <v>1-6,13-16</v>
      </c>
      <c r="N130" s="16" t="str">
        <f t="shared" si="4"/>
        <v>1-6,13-16</v>
      </c>
      <c r="O130" s="16" t="str">
        <f t="shared" si="5"/>
        <v>1-6,13-16</v>
      </c>
      <c r="P130" s="16" t="str">
        <f t="shared" si="6"/>
        <v>1-6,13-16</v>
      </c>
      <c r="Q130" s="16" t="str">
        <f t="shared" si="7"/>
        <v>1-16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9">
        <v>183857.0</v>
      </c>
      <c r="B131" s="9" t="s">
        <v>343</v>
      </c>
      <c r="C131" s="10" t="s">
        <v>145</v>
      </c>
      <c r="D131" s="11" t="s">
        <v>344</v>
      </c>
      <c r="E131" s="23" t="s">
        <v>345</v>
      </c>
      <c r="F131" s="13" t="str">
        <f t="array" ref="F131">INDEX(Turmas!D2:D106,MATCH(E131,Turmas!A2:A106,0))</f>
        <v>Noite</v>
      </c>
      <c r="G131" s="14">
        <v>0.0</v>
      </c>
      <c r="H131" s="15">
        <v>3.0</v>
      </c>
      <c r="I131" s="15">
        <v>0.0</v>
      </c>
      <c r="J131" s="15">
        <v>2.0</v>
      </c>
      <c r="K131" s="15">
        <f t="shared" si="1"/>
        <v>1</v>
      </c>
      <c r="L131" s="16" t="str">
        <f t="shared" si="2"/>
        <v>1-12</v>
      </c>
      <c r="M131" s="16" t="str">
        <f t="shared" si="3"/>
        <v>1-12</v>
      </c>
      <c r="N131" s="16" t="str">
        <f t="shared" si="4"/>
        <v>1-12</v>
      </c>
      <c r="O131" s="16" t="str">
        <f t="shared" si="5"/>
        <v>1-12</v>
      </c>
      <c r="P131" s="16" t="str">
        <f t="shared" si="6"/>
        <v>1-12</v>
      </c>
      <c r="Q131" s="16" t="str">
        <f t="shared" si="7"/>
        <v>0</v>
      </c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9">
        <v>183475.0</v>
      </c>
      <c r="B132" s="9" t="s">
        <v>346</v>
      </c>
      <c r="C132" s="10" t="s">
        <v>347</v>
      </c>
      <c r="D132" s="11" t="s">
        <v>83</v>
      </c>
      <c r="E132" s="23" t="s">
        <v>345</v>
      </c>
      <c r="F132" s="13" t="str">
        <f t="array" ref="F132">INDEX(Turmas!D2:D106,MATCH(E132,Turmas!A2:A106,0))</f>
        <v>Noite</v>
      </c>
      <c r="G132" s="20">
        <v>0.0</v>
      </c>
      <c r="H132" s="15">
        <v>4.0</v>
      </c>
      <c r="I132" s="15">
        <v>0.0</v>
      </c>
      <c r="J132" s="15">
        <v>2.0</v>
      </c>
      <c r="K132" s="15">
        <f t="shared" si="1"/>
        <v>2</v>
      </c>
      <c r="L132" s="16" t="str">
        <f t="shared" si="2"/>
        <v>1-12</v>
      </c>
      <c r="M132" s="16" t="str">
        <f t="shared" si="3"/>
        <v>1-12</v>
      </c>
      <c r="N132" s="16" t="str">
        <f t="shared" si="4"/>
        <v>1-12</v>
      </c>
      <c r="O132" s="16" t="str">
        <f t="shared" si="5"/>
        <v>1-12</v>
      </c>
      <c r="P132" s="16" t="str">
        <f t="shared" si="6"/>
        <v>1-12</v>
      </c>
      <c r="Q132" s="16" t="str">
        <f t="shared" si="7"/>
        <v>0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9">
        <v>183478.0</v>
      </c>
      <c r="B133" s="9" t="s">
        <v>348</v>
      </c>
      <c r="C133" s="10" t="s">
        <v>349</v>
      </c>
      <c r="D133" s="11" t="s">
        <v>350</v>
      </c>
      <c r="E133" s="23" t="s">
        <v>345</v>
      </c>
      <c r="F133" s="13" t="str">
        <f t="array" ref="F133">INDEX(Turmas!D2:D106,MATCH(E133,Turmas!A2:A106,0))</f>
        <v>Noite</v>
      </c>
      <c r="G133" s="14">
        <v>0.0</v>
      </c>
      <c r="H133" s="15">
        <v>4.0</v>
      </c>
      <c r="I133" s="15">
        <v>0.0</v>
      </c>
      <c r="J133" s="15">
        <v>2.0</v>
      </c>
      <c r="K133" s="15">
        <f t="shared" si="1"/>
        <v>2</v>
      </c>
      <c r="L133" s="16" t="str">
        <f t="shared" si="2"/>
        <v>1-12</v>
      </c>
      <c r="M133" s="16" t="str">
        <f t="shared" si="3"/>
        <v>1-12</v>
      </c>
      <c r="N133" s="16" t="str">
        <f t="shared" si="4"/>
        <v>1-12</v>
      </c>
      <c r="O133" s="16" t="str">
        <f t="shared" si="5"/>
        <v>1-12</v>
      </c>
      <c r="P133" s="16" t="str">
        <f t="shared" si="6"/>
        <v>1-12</v>
      </c>
      <c r="Q133" s="16" t="str">
        <f t="shared" si="7"/>
        <v>0</v>
      </c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9">
        <v>183479.0</v>
      </c>
      <c r="B134" s="9" t="s">
        <v>351</v>
      </c>
      <c r="C134" s="19" t="s">
        <v>352</v>
      </c>
      <c r="D134" s="11" t="s">
        <v>353</v>
      </c>
      <c r="E134" s="23" t="s">
        <v>345</v>
      </c>
      <c r="F134" s="13" t="str">
        <f t="array" ref="F134">INDEX(Turmas!D2:D106,MATCH(E134,Turmas!A2:A106,0))</f>
        <v>Noite</v>
      </c>
      <c r="G134" s="14">
        <v>0.0</v>
      </c>
      <c r="H134" s="15">
        <v>2.0</v>
      </c>
      <c r="I134" s="15">
        <v>0.0</v>
      </c>
      <c r="J134" s="15">
        <v>2.0</v>
      </c>
      <c r="K134" s="15">
        <f t="shared" si="1"/>
        <v>1</v>
      </c>
      <c r="L134" s="16" t="str">
        <f t="shared" si="2"/>
        <v>1-12</v>
      </c>
      <c r="M134" s="16" t="str">
        <f t="shared" si="3"/>
        <v>1-12</v>
      </c>
      <c r="N134" s="16" t="str">
        <f t="shared" si="4"/>
        <v>1-12</v>
      </c>
      <c r="O134" s="16" t="str">
        <f t="shared" si="5"/>
        <v>1-12</v>
      </c>
      <c r="P134" s="16" t="str">
        <f t="shared" si="6"/>
        <v>1-12</v>
      </c>
      <c r="Q134" s="16" t="str">
        <f t="shared" si="7"/>
        <v>0</v>
      </c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9">
        <v>183480.0</v>
      </c>
      <c r="B135" s="9" t="s">
        <v>354</v>
      </c>
      <c r="C135" s="19" t="s">
        <v>355</v>
      </c>
      <c r="D135" s="11" t="s">
        <v>350</v>
      </c>
      <c r="E135" s="23" t="s">
        <v>345</v>
      </c>
      <c r="F135" s="13" t="str">
        <f t="array" ref="F135">INDEX(Turmas!D2:D106,MATCH(E135,Turmas!A2:A106,0))</f>
        <v>Noite</v>
      </c>
      <c r="G135" s="14">
        <v>0.0</v>
      </c>
      <c r="H135" s="15">
        <v>2.0</v>
      </c>
      <c r="I135" s="15">
        <v>0.0</v>
      </c>
      <c r="J135" s="15">
        <v>2.0</v>
      </c>
      <c r="K135" s="15">
        <f t="shared" si="1"/>
        <v>1</v>
      </c>
      <c r="L135" s="16" t="str">
        <f t="shared" si="2"/>
        <v>1-12</v>
      </c>
      <c r="M135" s="16" t="str">
        <f t="shared" si="3"/>
        <v>1-12</v>
      </c>
      <c r="N135" s="16" t="str">
        <f t="shared" si="4"/>
        <v>1-12</v>
      </c>
      <c r="O135" s="16" t="str">
        <f t="shared" si="5"/>
        <v>1-12</v>
      </c>
      <c r="P135" s="16" t="str">
        <f t="shared" si="6"/>
        <v>1-12</v>
      </c>
      <c r="Q135" s="16" t="str">
        <f t="shared" si="7"/>
        <v>0</v>
      </c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9">
        <v>183474.0</v>
      </c>
      <c r="B136" s="9" t="s">
        <v>356</v>
      </c>
      <c r="C136" s="19" t="s">
        <v>357</v>
      </c>
      <c r="D136" s="11" t="s">
        <v>19</v>
      </c>
      <c r="E136" s="23" t="s">
        <v>345</v>
      </c>
      <c r="F136" s="13" t="str">
        <f t="array" ref="F136">INDEX(Turmas!D2:D106,MATCH(E136,Turmas!A2:A106,0))</f>
        <v>Noite</v>
      </c>
      <c r="G136" s="14">
        <v>0.0</v>
      </c>
      <c r="H136" s="15">
        <v>2.0</v>
      </c>
      <c r="I136" s="15">
        <v>0.0</v>
      </c>
      <c r="J136" s="15">
        <v>2.0</v>
      </c>
      <c r="K136" s="15">
        <f t="shared" si="1"/>
        <v>1</v>
      </c>
      <c r="L136" s="16" t="str">
        <f t="shared" si="2"/>
        <v>1-12</v>
      </c>
      <c r="M136" s="16" t="str">
        <f t="shared" si="3"/>
        <v>1-12</v>
      </c>
      <c r="N136" s="16" t="str">
        <f t="shared" si="4"/>
        <v>1-12</v>
      </c>
      <c r="O136" s="16" t="str">
        <f t="shared" si="5"/>
        <v>1-12</v>
      </c>
      <c r="P136" s="16" t="str">
        <f t="shared" si="6"/>
        <v>1-12</v>
      </c>
      <c r="Q136" s="16" t="str">
        <f t="shared" si="7"/>
        <v>0</v>
      </c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9">
        <v>183476.0</v>
      </c>
      <c r="B137" s="9" t="s">
        <v>358</v>
      </c>
      <c r="C137" s="19" t="s">
        <v>359</v>
      </c>
      <c r="D137" s="11" t="s">
        <v>350</v>
      </c>
      <c r="E137" s="23" t="s">
        <v>345</v>
      </c>
      <c r="F137" s="13" t="str">
        <f t="array" ref="F137">INDEX(Turmas!D2:D106,MATCH(E137,Turmas!A2:A106,0))</f>
        <v>Noite</v>
      </c>
      <c r="G137" s="14">
        <v>0.0</v>
      </c>
      <c r="H137" s="15">
        <v>2.0</v>
      </c>
      <c r="I137" s="15">
        <v>0.0</v>
      </c>
      <c r="J137" s="15">
        <v>2.0</v>
      </c>
      <c r="K137" s="15">
        <f t="shared" si="1"/>
        <v>1</v>
      </c>
      <c r="L137" s="16" t="str">
        <f t="shared" si="2"/>
        <v>1-12</v>
      </c>
      <c r="M137" s="16" t="str">
        <f t="shared" si="3"/>
        <v>1-12</v>
      </c>
      <c r="N137" s="16" t="str">
        <f t="shared" si="4"/>
        <v>1-12</v>
      </c>
      <c r="O137" s="16" t="str">
        <f t="shared" si="5"/>
        <v>1-12</v>
      </c>
      <c r="P137" s="16" t="str">
        <f t="shared" si="6"/>
        <v>1-12</v>
      </c>
      <c r="Q137" s="16" t="str">
        <f t="shared" si="7"/>
        <v>0</v>
      </c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9">
        <v>183477.0</v>
      </c>
      <c r="B138" s="9" t="s">
        <v>360</v>
      </c>
      <c r="C138" s="19" t="s">
        <v>361</v>
      </c>
      <c r="D138" s="11" t="s">
        <v>362</v>
      </c>
      <c r="E138" s="23" t="s">
        <v>363</v>
      </c>
      <c r="F138" s="13" t="str">
        <f t="array" ref="F138">INDEX(Turmas!D2:D106,MATCH(E138,Turmas!A2:A106,0))</f>
        <v>Noite</v>
      </c>
      <c r="G138" s="14">
        <v>0.0</v>
      </c>
      <c r="H138" s="15">
        <v>4.0</v>
      </c>
      <c r="I138" s="15">
        <v>0.0</v>
      </c>
      <c r="J138" s="15">
        <v>2.0</v>
      </c>
      <c r="K138" s="15">
        <f t="shared" si="1"/>
        <v>2</v>
      </c>
      <c r="L138" s="16" t="str">
        <f t="shared" si="2"/>
        <v>1-12</v>
      </c>
      <c r="M138" s="16" t="str">
        <f t="shared" si="3"/>
        <v>1-12</v>
      </c>
      <c r="N138" s="16" t="str">
        <f t="shared" si="4"/>
        <v>1-12</v>
      </c>
      <c r="O138" s="16" t="str">
        <f t="shared" si="5"/>
        <v>1-12</v>
      </c>
      <c r="P138" s="16" t="str">
        <f t="shared" si="6"/>
        <v>1-12</v>
      </c>
      <c r="Q138" s="16" t="str">
        <f t="shared" si="7"/>
        <v>0</v>
      </c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9">
        <v>183485.0</v>
      </c>
      <c r="B139" s="9" t="s">
        <v>364</v>
      </c>
      <c r="C139" s="19" t="s">
        <v>365</v>
      </c>
      <c r="D139" s="11" t="s">
        <v>366</v>
      </c>
      <c r="E139" s="23" t="s">
        <v>363</v>
      </c>
      <c r="F139" s="13" t="str">
        <f t="array" ref="F139">INDEX(Turmas!D2:D106,MATCH(E139,Turmas!A2:A106,0))</f>
        <v>Noite</v>
      </c>
      <c r="G139" s="14">
        <v>0.0</v>
      </c>
      <c r="H139" s="15">
        <v>4.0</v>
      </c>
      <c r="I139" s="15">
        <v>0.0</v>
      </c>
      <c r="J139" s="15">
        <v>2.0</v>
      </c>
      <c r="K139" s="15">
        <f t="shared" si="1"/>
        <v>2</v>
      </c>
      <c r="L139" s="16" t="str">
        <f t="shared" si="2"/>
        <v>1-12</v>
      </c>
      <c r="M139" s="16" t="str">
        <f t="shared" si="3"/>
        <v>1-12</v>
      </c>
      <c r="N139" s="16" t="str">
        <f t="shared" si="4"/>
        <v>1-12</v>
      </c>
      <c r="O139" s="16" t="str">
        <f t="shared" si="5"/>
        <v>1-12</v>
      </c>
      <c r="P139" s="16" t="str">
        <f t="shared" si="6"/>
        <v>1-12</v>
      </c>
      <c r="Q139" s="16" t="str">
        <f t="shared" si="7"/>
        <v>0</v>
      </c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9">
        <v>183483.0</v>
      </c>
      <c r="B140" s="9" t="s">
        <v>367</v>
      </c>
      <c r="C140" s="19" t="s">
        <v>368</v>
      </c>
      <c r="D140" s="11" t="s">
        <v>369</v>
      </c>
      <c r="E140" s="23" t="s">
        <v>363</v>
      </c>
      <c r="F140" s="13" t="str">
        <f t="array" ref="F140">INDEX(Turmas!D2:D106,MATCH(E140,Turmas!A2:A106,0))</f>
        <v>Noite</v>
      </c>
      <c r="G140" s="14">
        <v>0.0</v>
      </c>
      <c r="H140" s="15">
        <v>4.0</v>
      </c>
      <c r="I140" s="15">
        <v>0.0</v>
      </c>
      <c r="J140" s="15">
        <v>4.0</v>
      </c>
      <c r="K140" s="15">
        <f t="shared" si="1"/>
        <v>1</v>
      </c>
      <c r="L140" s="16" t="str">
        <f t="shared" si="2"/>
        <v>1-12</v>
      </c>
      <c r="M140" s="16" t="str">
        <f t="shared" si="3"/>
        <v>1-12</v>
      </c>
      <c r="N140" s="16" t="str">
        <f t="shared" si="4"/>
        <v>1-12</v>
      </c>
      <c r="O140" s="16" t="str">
        <f t="shared" si="5"/>
        <v>1-12</v>
      </c>
      <c r="P140" s="16" t="str">
        <f t="shared" si="6"/>
        <v>1-12</v>
      </c>
      <c r="Q140" s="16" t="str">
        <f t="shared" si="7"/>
        <v>0</v>
      </c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9">
        <v>183482.0</v>
      </c>
      <c r="B141" s="9" t="s">
        <v>370</v>
      </c>
      <c r="C141" s="19" t="s">
        <v>371</v>
      </c>
      <c r="D141" s="11" t="s">
        <v>350</v>
      </c>
      <c r="E141" s="23" t="s">
        <v>363</v>
      </c>
      <c r="F141" s="13" t="str">
        <f t="array" ref="F141">INDEX(Turmas!D2:D106,MATCH(E141,Turmas!A2:A106,0))</f>
        <v>Noite</v>
      </c>
      <c r="G141" s="14">
        <v>0.0</v>
      </c>
      <c r="H141" s="15">
        <v>4.0</v>
      </c>
      <c r="I141" s="15">
        <v>0.0</v>
      </c>
      <c r="J141" s="15">
        <v>2.0</v>
      </c>
      <c r="K141" s="15">
        <f t="shared" si="1"/>
        <v>2</v>
      </c>
      <c r="L141" s="16" t="str">
        <f t="shared" si="2"/>
        <v>1-12</v>
      </c>
      <c r="M141" s="16" t="str">
        <f t="shared" si="3"/>
        <v>1-12</v>
      </c>
      <c r="N141" s="16" t="str">
        <f t="shared" si="4"/>
        <v>1-12</v>
      </c>
      <c r="O141" s="16" t="str">
        <f t="shared" si="5"/>
        <v>1-12</v>
      </c>
      <c r="P141" s="16" t="str">
        <f t="shared" si="6"/>
        <v>1-12</v>
      </c>
      <c r="Q141" s="16" t="str">
        <f t="shared" si="7"/>
        <v>0</v>
      </c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9">
        <v>183484.0</v>
      </c>
      <c r="B142" s="9" t="s">
        <v>372</v>
      </c>
      <c r="C142" s="19" t="s">
        <v>373</v>
      </c>
      <c r="D142" s="11" t="s">
        <v>374</v>
      </c>
      <c r="E142" s="23" t="s">
        <v>363</v>
      </c>
      <c r="F142" s="13" t="str">
        <f t="array" ref="F142">INDEX(Turmas!D2:D106,MATCH(E142,Turmas!A2:A106,0))</f>
        <v>Noite</v>
      </c>
      <c r="G142" s="14">
        <v>0.0</v>
      </c>
      <c r="H142" s="15">
        <v>4.0</v>
      </c>
      <c r="I142" s="15">
        <v>0.0</v>
      </c>
      <c r="J142" s="15">
        <v>2.0</v>
      </c>
      <c r="K142" s="15">
        <f t="shared" si="1"/>
        <v>2</v>
      </c>
      <c r="L142" s="16" t="str">
        <f t="shared" si="2"/>
        <v>1-12</v>
      </c>
      <c r="M142" s="16" t="str">
        <f t="shared" si="3"/>
        <v>1-12</v>
      </c>
      <c r="N142" s="16" t="str">
        <f t="shared" si="4"/>
        <v>1-12</v>
      </c>
      <c r="O142" s="16" t="str">
        <f t="shared" si="5"/>
        <v>1-12</v>
      </c>
      <c r="P142" s="16" t="str">
        <f t="shared" si="6"/>
        <v>1-12</v>
      </c>
      <c r="Q142" s="16" t="str">
        <f t="shared" si="7"/>
        <v>0</v>
      </c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9">
        <v>183481.0</v>
      </c>
      <c r="B143" s="9" t="s">
        <v>375</v>
      </c>
      <c r="C143" s="19" t="s">
        <v>194</v>
      </c>
      <c r="D143" s="11" t="s">
        <v>376</v>
      </c>
      <c r="E143" s="23" t="s">
        <v>377</v>
      </c>
      <c r="F143" s="13" t="str">
        <f t="array" ref="F143">INDEX(Turmas!D2:D106,MATCH(E143,Turmas!A2:A106,0))</f>
        <v>Tarde</v>
      </c>
      <c r="G143" s="14">
        <v>0.0</v>
      </c>
      <c r="H143" s="15">
        <v>4.0</v>
      </c>
      <c r="I143" s="15">
        <v>0.0</v>
      </c>
      <c r="J143" s="15">
        <v>2.0</v>
      </c>
      <c r="K143" s="15">
        <f t="shared" si="1"/>
        <v>2</v>
      </c>
      <c r="L143" s="16" t="str">
        <f t="shared" si="2"/>
        <v>1-6,13-16</v>
      </c>
      <c r="M143" s="16" t="str">
        <f t="shared" si="3"/>
        <v>1-6,13-16</v>
      </c>
      <c r="N143" s="16" t="str">
        <f t="shared" si="4"/>
        <v>1-6,13-16</v>
      </c>
      <c r="O143" s="16" t="str">
        <f t="shared" si="5"/>
        <v>1-6,13-16</v>
      </c>
      <c r="P143" s="16" t="str">
        <f t="shared" si="6"/>
        <v>1-6,13-16</v>
      </c>
      <c r="Q143" s="16" t="str">
        <f t="shared" si="7"/>
        <v>1-16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9">
        <v>182449.0</v>
      </c>
      <c r="B144" s="9" t="s">
        <v>378</v>
      </c>
      <c r="C144" s="19" t="s">
        <v>379</v>
      </c>
      <c r="D144" s="11" t="s">
        <v>380</v>
      </c>
      <c r="E144" s="23" t="s">
        <v>377</v>
      </c>
      <c r="F144" s="13" t="str">
        <f t="array" ref="F144">INDEX(Turmas!D2:D106,MATCH(E144,Turmas!A2:A106,0))</f>
        <v>Tarde</v>
      </c>
      <c r="G144" s="14">
        <v>0.0</v>
      </c>
      <c r="H144" s="15">
        <v>4.0</v>
      </c>
      <c r="I144" s="15">
        <v>0.0</v>
      </c>
      <c r="J144" s="15">
        <v>4.0</v>
      </c>
      <c r="K144" s="15">
        <f t="shared" si="1"/>
        <v>1</v>
      </c>
      <c r="L144" s="16" t="str">
        <f t="shared" si="2"/>
        <v>1-6,13-16</v>
      </c>
      <c r="M144" s="16" t="str">
        <f t="shared" si="3"/>
        <v>1-6,13-16</v>
      </c>
      <c r="N144" s="16" t="str">
        <f t="shared" si="4"/>
        <v>1-6,13-16</v>
      </c>
      <c r="O144" s="16" t="str">
        <f t="shared" si="5"/>
        <v>1-6,13-16</v>
      </c>
      <c r="P144" s="16" t="str">
        <f t="shared" si="6"/>
        <v>1-6,13-16</v>
      </c>
      <c r="Q144" s="16" t="str">
        <f t="shared" si="7"/>
        <v>1-16</v>
      </c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9">
        <v>182453.0</v>
      </c>
      <c r="B145" s="9" t="s">
        <v>381</v>
      </c>
      <c r="C145" s="19" t="s">
        <v>209</v>
      </c>
      <c r="D145" s="11" t="s">
        <v>289</v>
      </c>
      <c r="E145" s="23" t="s">
        <v>377</v>
      </c>
      <c r="F145" s="13" t="str">
        <f t="array" ref="F145">INDEX(Turmas!D2:D106,MATCH(E145,Turmas!A2:A106,0))</f>
        <v>Tarde</v>
      </c>
      <c r="G145" s="14">
        <v>0.0</v>
      </c>
      <c r="H145" s="15">
        <v>2.0</v>
      </c>
      <c r="I145" s="15">
        <v>0.0</v>
      </c>
      <c r="J145" s="15">
        <v>2.0</v>
      </c>
      <c r="K145" s="15">
        <f t="shared" si="1"/>
        <v>1</v>
      </c>
      <c r="L145" s="16" t="str">
        <f t="shared" si="2"/>
        <v>1-6,13-16</v>
      </c>
      <c r="M145" s="16" t="str">
        <f t="shared" si="3"/>
        <v>1-6,13-16</v>
      </c>
      <c r="N145" s="16" t="str">
        <f t="shared" si="4"/>
        <v>1-6,13-16</v>
      </c>
      <c r="O145" s="16" t="str">
        <f t="shared" si="5"/>
        <v>1-6,13-16</v>
      </c>
      <c r="P145" s="16" t="str">
        <f t="shared" si="6"/>
        <v>1-6,13-16</v>
      </c>
      <c r="Q145" s="16" t="str">
        <f t="shared" si="7"/>
        <v>1-16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9">
        <v>182454.0</v>
      </c>
      <c r="B146" s="9" t="s">
        <v>382</v>
      </c>
      <c r="C146" s="19" t="s">
        <v>383</v>
      </c>
      <c r="D146" s="11" t="s">
        <v>80</v>
      </c>
      <c r="E146" s="23" t="s">
        <v>377</v>
      </c>
      <c r="F146" s="13" t="str">
        <f t="array" ref="F146">INDEX(Turmas!D2:D106,MATCH(E146,Turmas!A2:A106,0))</f>
        <v>Tarde</v>
      </c>
      <c r="G146" s="14">
        <v>0.0</v>
      </c>
      <c r="H146" s="15">
        <v>3.0</v>
      </c>
      <c r="I146" s="15">
        <v>0.0</v>
      </c>
      <c r="J146" s="15">
        <v>2.0</v>
      </c>
      <c r="K146" s="15">
        <f t="shared" si="1"/>
        <v>1</v>
      </c>
      <c r="L146" s="16" t="str">
        <f t="shared" si="2"/>
        <v>1-6,13-16</v>
      </c>
      <c r="M146" s="16" t="str">
        <f t="shared" si="3"/>
        <v>1-6,13-16</v>
      </c>
      <c r="N146" s="16" t="str">
        <f t="shared" si="4"/>
        <v>1-6,13-16</v>
      </c>
      <c r="O146" s="16" t="str">
        <f t="shared" si="5"/>
        <v>1-6,13-16</v>
      </c>
      <c r="P146" s="16" t="str">
        <f t="shared" si="6"/>
        <v>1-6,13-16</v>
      </c>
      <c r="Q146" s="16" t="str">
        <f t="shared" si="7"/>
        <v>1-16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9">
        <v>182455.0</v>
      </c>
      <c r="B147" s="9" t="s">
        <v>384</v>
      </c>
      <c r="C147" s="19" t="s">
        <v>385</v>
      </c>
      <c r="D147" s="11" t="s">
        <v>46</v>
      </c>
      <c r="E147" s="23" t="s">
        <v>386</v>
      </c>
      <c r="F147" s="13" t="str">
        <f t="array" ref="F147">INDEX(Turmas!D2:D106,MATCH(E147,Turmas!A2:A106,0))</f>
        <v>Manhã</v>
      </c>
      <c r="G147" s="14">
        <v>0.0</v>
      </c>
      <c r="H147" s="15">
        <v>4.0</v>
      </c>
      <c r="I147" s="15">
        <v>0.0</v>
      </c>
      <c r="J147" s="15">
        <v>4.0</v>
      </c>
      <c r="K147" s="15">
        <f t="shared" si="1"/>
        <v>1</v>
      </c>
      <c r="L147" s="16" t="str">
        <f t="shared" si="2"/>
        <v>7-16</v>
      </c>
      <c r="M147" s="16" t="str">
        <f t="shared" si="3"/>
        <v>7-16</v>
      </c>
      <c r="N147" s="16" t="str">
        <f t="shared" si="4"/>
        <v>7-16</v>
      </c>
      <c r="O147" s="16" t="str">
        <f t="shared" si="5"/>
        <v>7-16</v>
      </c>
      <c r="P147" s="16" t="str">
        <f t="shared" si="6"/>
        <v>7-16</v>
      </c>
      <c r="Q147" s="16" t="str">
        <f t="shared" si="7"/>
        <v>1-16</v>
      </c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9">
        <v>182456.0</v>
      </c>
      <c r="B148" s="9" t="s">
        <v>387</v>
      </c>
      <c r="C148" s="19" t="s">
        <v>236</v>
      </c>
      <c r="D148" s="11" t="s">
        <v>388</v>
      </c>
      <c r="E148" s="23" t="s">
        <v>386</v>
      </c>
      <c r="F148" s="13" t="str">
        <f t="array" ref="F148">INDEX(Turmas!D2:D106,MATCH(E148,Turmas!A2:A106,0))</f>
        <v>Manhã</v>
      </c>
      <c r="G148" s="14">
        <v>0.0</v>
      </c>
      <c r="H148" s="15">
        <v>2.0</v>
      </c>
      <c r="I148" s="15">
        <v>0.0</v>
      </c>
      <c r="J148" s="15">
        <v>2.0</v>
      </c>
      <c r="K148" s="15">
        <f t="shared" si="1"/>
        <v>1</v>
      </c>
      <c r="L148" s="16" t="str">
        <f t="shared" si="2"/>
        <v>7-16</v>
      </c>
      <c r="M148" s="16" t="str">
        <f t="shared" si="3"/>
        <v>7-16</v>
      </c>
      <c r="N148" s="16" t="str">
        <f t="shared" si="4"/>
        <v>7-16</v>
      </c>
      <c r="O148" s="16" t="str">
        <f t="shared" si="5"/>
        <v>7-16</v>
      </c>
      <c r="P148" s="16" t="str">
        <f t="shared" si="6"/>
        <v>7-16</v>
      </c>
      <c r="Q148" s="16" t="str">
        <f t="shared" si="7"/>
        <v>1-16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9">
        <v>182458.0</v>
      </c>
      <c r="B149" s="9" t="s">
        <v>389</v>
      </c>
      <c r="C149" s="19" t="s">
        <v>390</v>
      </c>
      <c r="D149" s="11" t="s">
        <v>219</v>
      </c>
      <c r="E149" s="23" t="s">
        <v>386</v>
      </c>
      <c r="F149" s="13" t="str">
        <f t="array" ref="F149">INDEX(Turmas!D2:D106,MATCH(E149,Turmas!A2:A106,0))</f>
        <v>Manhã</v>
      </c>
      <c r="G149" s="14">
        <v>0.0</v>
      </c>
      <c r="H149" s="15">
        <v>3.0</v>
      </c>
      <c r="I149" s="15">
        <v>0.0</v>
      </c>
      <c r="J149" s="15">
        <v>2.0</v>
      </c>
      <c r="K149" s="15">
        <f t="shared" si="1"/>
        <v>1</v>
      </c>
      <c r="L149" s="16" t="str">
        <f t="shared" si="2"/>
        <v>7-16</v>
      </c>
      <c r="M149" s="16" t="str">
        <f t="shared" si="3"/>
        <v>7-16</v>
      </c>
      <c r="N149" s="16" t="str">
        <f t="shared" si="4"/>
        <v>7-16</v>
      </c>
      <c r="O149" s="16" t="str">
        <f t="shared" si="5"/>
        <v>7-16</v>
      </c>
      <c r="P149" s="16" t="str">
        <f t="shared" si="6"/>
        <v>7-16</v>
      </c>
      <c r="Q149" s="16" t="str">
        <f t="shared" si="7"/>
        <v>1-16</v>
      </c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9">
        <v>182459.0</v>
      </c>
      <c r="B150" s="9" t="s">
        <v>391</v>
      </c>
      <c r="C150" s="19" t="s">
        <v>392</v>
      </c>
      <c r="D150" s="11" t="s">
        <v>393</v>
      </c>
      <c r="E150" s="23" t="s">
        <v>386</v>
      </c>
      <c r="F150" s="13" t="str">
        <f t="array" ref="F150">INDEX(Turmas!D2:D106,MATCH(E150,Turmas!A2:A106,0))</f>
        <v>Manhã</v>
      </c>
      <c r="G150" s="14">
        <v>0.0</v>
      </c>
      <c r="H150" s="15">
        <v>2.0</v>
      </c>
      <c r="I150" s="15">
        <v>0.0</v>
      </c>
      <c r="J150" s="15">
        <v>2.0</v>
      </c>
      <c r="K150" s="15">
        <f t="shared" si="1"/>
        <v>1</v>
      </c>
      <c r="L150" s="16" t="str">
        <f t="shared" si="2"/>
        <v>7-16</v>
      </c>
      <c r="M150" s="16" t="str">
        <f t="shared" si="3"/>
        <v>7-16</v>
      </c>
      <c r="N150" s="16" t="str">
        <f t="shared" si="4"/>
        <v>7-16</v>
      </c>
      <c r="O150" s="16" t="str">
        <f t="shared" si="5"/>
        <v>7-16</v>
      </c>
      <c r="P150" s="16" t="str">
        <f t="shared" si="6"/>
        <v>7-16</v>
      </c>
      <c r="Q150" s="16" t="str">
        <f t="shared" si="7"/>
        <v>1-16</v>
      </c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9">
        <v>182460.0</v>
      </c>
      <c r="B151" s="9" t="s">
        <v>394</v>
      </c>
      <c r="C151" s="19" t="s">
        <v>395</v>
      </c>
      <c r="D151" s="11" t="s">
        <v>396</v>
      </c>
      <c r="E151" s="23" t="s">
        <v>386</v>
      </c>
      <c r="F151" s="13" t="str">
        <f t="array" ref="F151">INDEX(Turmas!D2:D106,MATCH(E151,Turmas!A2:A106,0))</f>
        <v>Manhã</v>
      </c>
      <c r="G151" s="14">
        <v>0.0</v>
      </c>
      <c r="H151" s="15">
        <v>3.0</v>
      </c>
      <c r="I151" s="15">
        <v>0.0</v>
      </c>
      <c r="J151" s="15">
        <v>2.0</v>
      </c>
      <c r="K151" s="15">
        <f t="shared" si="1"/>
        <v>1</v>
      </c>
      <c r="L151" s="16" t="str">
        <f t="shared" si="2"/>
        <v>7-16</v>
      </c>
      <c r="M151" s="16" t="str">
        <f t="shared" si="3"/>
        <v>7-16</v>
      </c>
      <c r="N151" s="16" t="str">
        <f t="shared" si="4"/>
        <v>7-16</v>
      </c>
      <c r="O151" s="16" t="str">
        <f t="shared" si="5"/>
        <v>7-16</v>
      </c>
      <c r="P151" s="16" t="str">
        <f t="shared" si="6"/>
        <v>7-16</v>
      </c>
      <c r="Q151" s="16" t="str">
        <f t="shared" si="7"/>
        <v>1-16</v>
      </c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9">
        <v>182461.0</v>
      </c>
      <c r="B152" s="9" t="s">
        <v>397</v>
      </c>
      <c r="C152" s="19" t="s">
        <v>398</v>
      </c>
      <c r="D152" s="11" t="s">
        <v>399</v>
      </c>
      <c r="E152" s="23" t="s">
        <v>386</v>
      </c>
      <c r="F152" s="13" t="str">
        <f t="array" ref="F152">INDEX(Turmas!D2:D106,MATCH(E152,Turmas!A2:A106,0))</f>
        <v>Manhã</v>
      </c>
      <c r="G152" s="14">
        <v>30.0</v>
      </c>
      <c r="H152" s="15">
        <v>2.0</v>
      </c>
      <c r="I152" s="15">
        <v>0.0</v>
      </c>
      <c r="J152" s="15">
        <v>2.0</v>
      </c>
      <c r="K152" s="15">
        <f t="shared" si="1"/>
        <v>1</v>
      </c>
      <c r="L152" s="16" t="str">
        <f t="shared" si="2"/>
        <v>7-16</v>
      </c>
      <c r="M152" s="16" t="str">
        <f t="shared" si="3"/>
        <v>7-16</v>
      </c>
      <c r="N152" s="16" t="str">
        <f t="shared" si="4"/>
        <v>7-16</v>
      </c>
      <c r="O152" s="16" t="str">
        <f t="shared" si="5"/>
        <v>7-16</v>
      </c>
      <c r="P152" s="16" t="str">
        <f t="shared" si="6"/>
        <v>7-16</v>
      </c>
      <c r="Q152" s="16" t="str">
        <f t="shared" si="7"/>
        <v>1-16</v>
      </c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9">
        <v>182462.0</v>
      </c>
      <c r="B153" s="9" t="s">
        <v>400</v>
      </c>
      <c r="C153" s="19" t="s">
        <v>401</v>
      </c>
      <c r="D153" s="11" t="s">
        <v>353</v>
      </c>
      <c r="E153" s="23" t="s">
        <v>402</v>
      </c>
      <c r="F153" s="13" t="str">
        <f t="array" ref="F153">INDEX(Turmas!D2:D106,MATCH(E153,Turmas!A2:A106,0))</f>
        <v>Tarde</v>
      </c>
      <c r="G153" s="14">
        <v>0.0</v>
      </c>
      <c r="H153" s="15">
        <v>3.0</v>
      </c>
      <c r="I153" s="15">
        <v>0.0</v>
      </c>
      <c r="J153" s="15">
        <v>2.0</v>
      </c>
      <c r="K153" s="15">
        <f t="shared" si="1"/>
        <v>1</v>
      </c>
      <c r="L153" s="16" t="str">
        <f t="shared" si="2"/>
        <v>1-6,13-16</v>
      </c>
      <c r="M153" s="16" t="str">
        <f t="shared" si="3"/>
        <v>1-6,13-16</v>
      </c>
      <c r="N153" s="16" t="str">
        <f t="shared" si="4"/>
        <v>1-6,13-16</v>
      </c>
      <c r="O153" s="16" t="str">
        <f t="shared" si="5"/>
        <v>1-6,13-16</v>
      </c>
      <c r="P153" s="16" t="str">
        <f t="shared" si="6"/>
        <v>1-6,13-16</v>
      </c>
      <c r="Q153" s="16" t="str">
        <f t="shared" si="7"/>
        <v>1-16</v>
      </c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9">
        <v>182463.0</v>
      </c>
      <c r="B154" s="9" t="s">
        <v>403</v>
      </c>
      <c r="C154" s="19" t="s">
        <v>404</v>
      </c>
      <c r="D154" s="11" t="s">
        <v>405</v>
      </c>
      <c r="E154" s="23" t="s">
        <v>402</v>
      </c>
      <c r="F154" s="13" t="str">
        <f t="array" ref="F154">INDEX(Turmas!D2:D106,MATCH(E154,Turmas!A2:A106,0))</f>
        <v>Tarde</v>
      </c>
      <c r="G154" s="14">
        <v>0.0</v>
      </c>
      <c r="H154" s="15">
        <v>3.0</v>
      </c>
      <c r="I154" s="15">
        <v>0.0</v>
      </c>
      <c r="J154" s="15">
        <v>2.0</v>
      </c>
      <c r="K154" s="15">
        <f t="shared" si="1"/>
        <v>1</v>
      </c>
      <c r="L154" s="16" t="str">
        <f t="shared" si="2"/>
        <v>1-6,13-16</v>
      </c>
      <c r="M154" s="16" t="str">
        <f t="shared" si="3"/>
        <v>1-6,13-16</v>
      </c>
      <c r="N154" s="16" t="str">
        <f t="shared" si="4"/>
        <v>1-6,13-16</v>
      </c>
      <c r="O154" s="16" t="str">
        <f t="shared" si="5"/>
        <v>1-6,13-16</v>
      </c>
      <c r="P154" s="16" t="str">
        <f t="shared" si="6"/>
        <v>1-6,13-16</v>
      </c>
      <c r="Q154" s="16" t="str">
        <f t="shared" si="7"/>
        <v>1-16</v>
      </c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9">
        <v>182464.0</v>
      </c>
      <c r="B155" s="9" t="s">
        <v>406</v>
      </c>
      <c r="C155" s="19" t="s">
        <v>407</v>
      </c>
      <c r="D155" s="11" t="s">
        <v>380</v>
      </c>
      <c r="E155" s="23" t="s">
        <v>402</v>
      </c>
      <c r="F155" s="13" t="str">
        <f t="array" ref="F155">INDEX(Turmas!D2:D106,MATCH(E155,Turmas!A2:A106,0))</f>
        <v>Tarde</v>
      </c>
      <c r="G155" s="14">
        <v>0.0</v>
      </c>
      <c r="H155" s="15">
        <v>4.0</v>
      </c>
      <c r="I155" s="15">
        <v>0.0</v>
      </c>
      <c r="J155" s="15">
        <v>2.0</v>
      </c>
      <c r="K155" s="15">
        <f t="shared" si="1"/>
        <v>2</v>
      </c>
      <c r="L155" s="16" t="str">
        <f t="shared" si="2"/>
        <v>1-6,13-16</v>
      </c>
      <c r="M155" s="16" t="str">
        <f t="shared" si="3"/>
        <v>1-6,13-16</v>
      </c>
      <c r="N155" s="16" t="str">
        <f t="shared" si="4"/>
        <v>1-6,13-16</v>
      </c>
      <c r="O155" s="16" t="str">
        <f t="shared" si="5"/>
        <v>1-6,13-16</v>
      </c>
      <c r="P155" s="16" t="str">
        <f t="shared" si="6"/>
        <v>1-6,13-16</v>
      </c>
      <c r="Q155" s="16" t="str">
        <f t="shared" si="7"/>
        <v>1-16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9">
        <v>182466.0</v>
      </c>
      <c r="B156" s="9" t="s">
        <v>408</v>
      </c>
      <c r="C156" s="19" t="s">
        <v>409</v>
      </c>
      <c r="D156" s="11" t="s">
        <v>410</v>
      </c>
      <c r="E156" s="23" t="s">
        <v>402</v>
      </c>
      <c r="F156" s="13" t="str">
        <f t="array" ref="F156">INDEX(Turmas!D2:D106,MATCH(E156,Turmas!A2:A106,0))</f>
        <v>Tarde</v>
      </c>
      <c r="G156" s="14">
        <v>0.0</v>
      </c>
      <c r="H156" s="15">
        <v>3.0</v>
      </c>
      <c r="I156" s="15">
        <v>0.0</v>
      </c>
      <c r="J156" s="15">
        <v>2.0</v>
      </c>
      <c r="K156" s="15">
        <f t="shared" si="1"/>
        <v>1</v>
      </c>
      <c r="L156" s="16" t="str">
        <f t="shared" si="2"/>
        <v>1-6,13-16</v>
      </c>
      <c r="M156" s="16" t="str">
        <f t="shared" si="3"/>
        <v>1-6,13-16</v>
      </c>
      <c r="N156" s="16" t="str">
        <f t="shared" si="4"/>
        <v>1-6,13-16</v>
      </c>
      <c r="O156" s="16" t="str">
        <f t="shared" si="5"/>
        <v>1-6,13-16</v>
      </c>
      <c r="P156" s="16" t="str">
        <f t="shared" si="6"/>
        <v>1-6,13-16</v>
      </c>
      <c r="Q156" s="16" t="str">
        <f t="shared" si="7"/>
        <v>1-16</v>
      </c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9">
        <v>182465.0</v>
      </c>
      <c r="B157" s="9" t="s">
        <v>411</v>
      </c>
      <c r="C157" s="19" t="s">
        <v>412</v>
      </c>
      <c r="D157" s="11" t="s">
        <v>366</v>
      </c>
      <c r="E157" s="23" t="s">
        <v>402</v>
      </c>
      <c r="F157" s="13" t="str">
        <f t="array" ref="F157">INDEX(Turmas!D2:D106,MATCH(E157,Turmas!A2:A106,0))</f>
        <v>Tarde</v>
      </c>
      <c r="G157" s="14">
        <v>0.0</v>
      </c>
      <c r="H157" s="15">
        <v>2.0</v>
      </c>
      <c r="I157" s="15">
        <v>0.0</v>
      </c>
      <c r="J157" s="15">
        <v>2.0</v>
      </c>
      <c r="K157" s="15">
        <f t="shared" si="1"/>
        <v>1</v>
      </c>
      <c r="L157" s="16" t="str">
        <f t="shared" si="2"/>
        <v>1-6,13-16</v>
      </c>
      <c r="M157" s="16" t="str">
        <f t="shared" si="3"/>
        <v>1-6,13-16</v>
      </c>
      <c r="N157" s="16" t="str">
        <f t="shared" si="4"/>
        <v>1-6,13-16</v>
      </c>
      <c r="O157" s="16" t="str">
        <f t="shared" si="5"/>
        <v>1-6,13-16</v>
      </c>
      <c r="P157" s="16" t="str">
        <f t="shared" si="6"/>
        <v>1-6,13-16</v>
      </c>
      <c r="Q157" s="16" t="str">
        <f t="shared" si="7"/>
        <v>1-16</v>
      </c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9">
        <v>182467.0</v>
      </c>
      <c r="B158" s="9" t="s">
        <v>413</v>
      </c>
      <c r="C158" s="19" t="s">
        <v>414</v>
      </c>
      <c r="D158" s="11" t="s">
        <v>369</v>
      </c>
      <c r="E158" s="23" t="s">
        <v>415</v>
      </c>
      <c r="F158" s="13" t="str">
        <f t="array" ref="F158">INDEX(Turmas!D2:D106,MATCH(E158,Turmas!A2:A106,0))</f>
        <v>Manhã</v>
      </c>
      <c r="G158" s="14">
        <v>0.0</v>
      </c>
      <c r="H158" s="15">
        <v>2.0</v>
      </c>
      <c r="I158" s="15">
        <v>0.0</v>
      </c>
      <c r="J158" s="15">
        <v>2.0</v>
      </c>
      <c r="K158" s="15">
        <f t="shared" si="1"/>
        <v>1</v>
      </c>
      <c r="L158" s="16" t="str">
        <f t="shared" si="2"/>
        <v>7-16</v>
      </c>
      <c r="M158" s="16" t="str">
        <f t="shared" si="3"/>
        <v>7-16</v>
      </c>
      <c r="N158" s="16" t="str">
        <f t="shared" si="4"/>
        <v>7-16</v>
      </c>
      <c r="O158" s="16" t="str">
        <f t="shared" si="5"/>
        <v>7-16</v>
      </c>
      <c r="P158" s="16" t="str">
        <f t="shared" si="6"/>
        <v>7-16</v>
      </c>
      <c r="Q158" s="16" t="str">
        <f t="shared" si="7"/>
        <v>1-16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">
        <v>182469.0</v>
      </c>
      <c r="B159" s="9" t="s">
        <v>416</v>
      </c>
      <c r="C159" s="10" t="s">
        <v>417</v>
      </c>
      <c r="D159" s="11" t="s">
        <v>405</v>
      </c>
      <c r="E159" s="12" t="s">
        <v>415</v>
      </c>
      <c r="F159" s="13" t="str">
        <f t="array" ref="F159">INDEX(Turmas!D2:D106,MATCH(E159,Turmas!A2:A106,0))</f>
        <v>Manhã</v>
      </c>
      <c r="G159" s="14">
        <v>0.0</v>
      </c>
      <c r="H159" s="15">
        <v>3.0</v>
      </c>
      <c r="I159" s="15">
        <v>0.0</v>
      </c>
      <c r="J159" s="15">
        <v>2.0</v>
      </c>
      <c r="K159" s="15">
        <f t="shared" si="1"/>
        <v>1</v>
      </c>
      <c r="L159" s="16" t="str">
        <f t="shared" si="2"/>
        <v>7-16</v>
      </c>
      <c r="M159" s="16" t="str">
        <f t="shared" si="3"/>
        <v>7-16</v>
      </c>
      <c r="N159" s="16" t="str">
        <f t="shared" si="4"/>
        <v>7-16</v>
      </c>
      <c r="O159" s="16" t="str">
        <f t="shared" si="5"/>
        <v>7-16</v>
      </c>
      <c r="P159" s="16" t="str">
        <f t="shared" si="6"/>
        <v>7-16</v>
      </c>
      <c r="Q159" s="16" t="str">
        <f t="shared" si="7"/>
        <v>1-16</v>
      </c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">
        <v>182470.0</v>
      </c>
      <c r="B160" s="9" t="s">
        <v>418</v>
      </c>
      <c r="C160" s="10" t="s">
        <v>419</v>
      </c>
      <c r="D160" s="11" t="s">
        <v>374</v>
      </c>
      <c r="E160" s="12" t="s">
        <v>415</v>
      </c>
      <c r="F160" s="13" t="str">
        <f t="array" ref="F160">INDEX(Turmas!D2:D106,MATCH(E160,Turmas!A2:A106,0))</f>
        <v>Manhã</v>
      </c>
      <c r="G160" s="14">
        <v>0.0</v>
      </c>
      <c r="H160" s="15">
        <v>3.0</v>
      </c>
      <c r="I160" s="15">
        <v>0.0</v>
      </c>
      <c r="J160" s="15">
        <v>2.0</v>
      </c>
      <c r="K160" s="15">
        <f t="shared" si="1"/>
        <v>1</v>
      </c>
      <c r="L160" s="16" t="str">
        <f t="shared" si="2"/>
        <v>7-16</v>
      </c>
      <c r="M160" s="16" t="str">
        <f t="shared" si="3"/>
        <v>7-16</v>
      </c>
      <c r="N160" s="16" t="str">
        <f t="shared" si="4"/>
        <v>7-16</v>
      </c>
      <c r="O160" s="16" t="str">
        <f t="shared" si="5"/>
        <v>7-16</v>
      </c>
      <c r="P160" s="16" t="str">
        <f t="shared" si="6"/>
        <v>7-16</v>
      </c>
      <c r="Q160" s="16" t="str">
        <f t="shared" si="7"/>
        <v>1-16</v>
      </c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">
        <v>182472.0</v>
      </c>
      <c r="B161" s="9" t="s">
        <v>420</v>
      </c>
      <c r="C161" s="10" t="s">
        <v>421</v>
      </c>
      <c r="D161" s="11" t="s">
        <v>366</v>
      </c>
      <c r="E161" s="12" t="s">
        <v>415</v>
      </c>
      <c r="F161" s="13" t="str">
        <f t="array" ref="F161">INDEX(Turmas!D2:D106,MATCH(E161,Turmas!A2:A106,0))</f>
        <v>Manhã</v>
      </c>
      <c r="G161" s="14">
        <v>0.0</v>
      </c>
      <c r="H161" s="15">
        <v>3.0</v>
      </c>
      <c r="I161" s="15">
        <v>0.0</v>
      </c>
      <c r="J161" s="15">
        <v>2.0</v>
      </c>
      <c r="K161" s="15">
        <f t="shared" si="1"/>
        <v>1</v>
      </c>
      <c r="L161" s="16" t="str">
        <f t="shared" si="2"/>
        <v>7-16</v>
      </c>
      <c r="M161" s="16" t="str">
        <f t="shared" si="3"/>
        <v>7-16</v>
      </c>
      <c r="N161" s="16" t="str">
        <f t="shared" si="4"/>
        <v>7-16</v>
      </c>
      <c r="O161" s="16" t="str">
        <f t="shared" si="5"/>
        <v>7-16</v>
      </c>
      <c r="P161" s="16" t="str">
        <f t="shared" si="6"/>
        <v>7-16</v>
      </c>
      <c r="Q161" s="16" t="str">
        <f t="shared" si="7"/>
        <v>1-16</v>
      </c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9">
        <v>182471.0</v>
      </c>
      <c r="B162" s="9" t="s">
        <v>422</v>
      </c>
      <c r="C162" s="10" t="s">
        <v>423</v>
      </c>
      <c r="D162" s="11" t="s">
        <v>374</v>
      </c>
      <c r="E162" s="12" t="s">
        <v>424</v>
      </c>
      <c r="F162" s="13" t="str">
        <f t="array" ref="F162">INDEX(Turmas!D2:D106,MATCH(E162,Turmas!A2:A106,0))</f>
        <v>Tarde</v>
      </c>
      <c r="G162" s="14">
        <v>0.0</v>
      </c>
      <c r="H162" s="15">
        <v>3.0</v>
      </c>
      <c r="I162" s="15">
        <v>0.0</v>
      </c>
      <c r="J162" s="15">
        <v>2.0</v>
      </c>
      <c r="K162" s="15">
        <f t="shared" si="1"/>
        <v>1</v>
      </c>
      <c r="L162" s="16" t="str">
        <f t="shared" si="2"/>
        <v>1-6,13-16</v>
      </c>
      <c r="M162" s="16" t="str">
        <f t="shared" si="3"/>
        <v>1-6,13-16</v>
      </c>
      <c r="N162" s="16" t="str">
        <f t="shared" si="4"/>
        <v>1-6,13-16</v>
      </c>
      <c r="O162" s="16" t="str">
        <f t="shared" si="5"/>
        <v>1-6,13-16</v>
      </c>
      <c r="P162" s="16" t="str">
        <f t="shared" si="6"/>
        <v>1-6,13-16</v>
      </c>
      <c r="Q162" s="16" t="str">
        <f t="shared" si="7"/>
        <v>1-16</v>
      </c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">
        <v>182473.0</v>
      </c>
      <c r="B163" s="9" t="s">
        <v>425</v>
      </c>
      <c r="C163" s="10" t="s">
        <v>426</v>
      </c>
      <c r="D163" s="11" t="s">
        <v>350</v>
      </c>
      <c r="E163" s="12" t="s">
        <v>424</v>
      </c>
      <c r="F163" s="13" t="str">
        <f t="array" ref="F163">INDEX(Turmas!D2:D106,MATCH(E163,Turmas!A2:A106,0))</f>
        <v>Tarde</v>
      </c>
      <c r="G163" s="14">
        <v>0.0</v>
      </c>
      <c r="H163" s="15">
        <v>4.0</v>
      </c>
      <c r="I163" s="15">
        <v>0.0</v>
      </c>
      <c r="J163" s="15">
        <v>2.0</v>
      </c>
      <c r="K163" s="15">
        <f t="shared" si="1"/>
        <v>2</v>
      </c>
      <c r="L163" s="16" t="str">
        <f t="shared" si="2"/>
        <v>1-6,13-16</v>
      </c>
      <c r="M163" s="16" t="str">
        <f t="shared" si="3"/>
        <v>1-6,13-16</v>
      </c>
      <c r="N163" s="16" t="str">
        <f t="shared" si="4"/>
        <v>1-6,13-16</v>
      </c>
      <c r="O163" s="16" t="str">
        <f t="shared" si="5"/>
        <v>1-6,13-16</v>
      </c>
      <c r="P163" s="16" t="str">
        <f t="shared" si="6"/>
        <v>1-6,13-16</v>
      </c>
      <c r="Q163" s="16" t="str">
        <f t="shared" si="7"/>
        <v>1-16</v>
      </c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">
        <v>182474.0</v>
      </c>
      <c r="B164" s="9" t="s">
        <v>427</v>
      </c>
      <c r="C164" s="10" t="s">
        <v>428</v>
      </c>
      <c r="D164" s="11" t="s">
        <v>366</v>
      </c>
      <c r="E164" s="12" t="s">
        <v>424</v>
      </c>
      <c r="F164" s="13" t="str">
        <f t="array" ref="F164">INDEX(Turmas!D2:D106,MATCH(E164,Turmas!A2:A106,0))</f>
        <v>Tarde</v>
      </c>
      <c r="G164" s="14">
        <v>0.0</v>
      </c>
      <c r="H164" s="15">
        <v>2.0</v>
      </c>
      <c r="I164" s="15">
        <v>0.0</v>
      </c>
      <c r="J164" s="15">
        <v>2.0</v>
      </c>
      <c r="K164" s="15">
        <f t="shared" si="1"/>
        <v>1</v>
      </c>
      <c r="L164" s="16" t="str">
        <f t="shared" si="2"/>
        <v>1-6,13-16</v>
      </c>
      <c r="M164" s="16" t="str">
        <f t="shared" si="3"/>
        <v>1-6,13-16</v>
      </c>
      <c r="N164" s="16" t="str">
        <f t="shared" si="4"/>
        <v>1-6,13-16</v>
      </c>
      <c r="O164" s="16" t="str">
        <f t="shared" si="5"/>
        <v>1-6,13-16</v>
      </c>
      <c r="P164" s="16" t="str">
        <f t="shared" si="6"/>
        <v>1-6,13-16</v>
      </c>
      <c r="Q164" s="16" t="str">
        <f t="shared" si="7"/>
        <v>1-16</v>
      </c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">
        <v>182475.0</v>
      </c>
      <c r="B165" s="9" t="s">
        <v>429</v>
      </c>
      <c r="C165" s="10" t="s">
        <v>309</v>
      </c>
      <c r="D165" s="11" t="s">
        <v>430</v>
      </c>
      <c r="E165" s="12" t="s">
        <v>424</v>
      </c>
      <c r="F165" s="13" t="str">
        <f t="array" ref="F165">INDEX(Turmas!D2:D106,MATCH(E165,Turmas!A2:A106,0))</f>
        <v>Tarde</v>
      </c>
      <c r="G165" s="14">
        <v>0.0</v>
      </c>
      <c r="H165" s="15">
        <v>2.0</v>
      </c>
      <c r="I165" s="15">
        <v>0.0</v>
      </c>
      <c r="J165" s="15">
        <v>2.0</v>
      </c>
      <c r="K165" s="15">
        <f t="shared" si="1"/>
        <v>1</v>
      </c>
      <c r="L165" s="16" t="str">
        <f t="shared" si="2"/>
        <v>1-6,13-16</v>
      </c>
      <c r="M165" s="16" t="str">
        <f t="shared" si="3"/>
        <v>1-6,13-16</v>
      </c>
      <c r="N165" s="16" t="str">
        <f t="shared" si="4"/>
        <v>1-6,13-16</v>
      </c>
      <c r="O165" s="16" t="str">
        <f t="shared" si="5"/>
        <v>1-6,13-16</v>
      </c>
      <c r="P165" s="16" t="str">
        <f t="shared" si="6"/>
        <v>1-6,13-16</v>
      </c>
      <c r="Q165" s="16" t="str">
        <f t="shared" si="7"/>
        <v>1-16</v>
      </c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">
        <v>182478.0</v>
      </c>
      <c r="B166" s="9" t="s">
        <v>431</v>
      </c>
      <c r="C166" s="10" t="s">
        <v>432</v>
      </c>
      <c r="D166" s="11" t="s">
        <v>369</v>
      </c>
      <c r="E166" s="12" t="s">
        <v>424</v>
      </c>
      <c r="F166" s="13" t="str">
        <f t="array" ref="F166">INDEX(Turmas!D2:D106,MATCH(E166,Turmas!A2:A106,0))</f>
        <v>Tarde</v>
      </c>
      <c r="G166" s="14">
        <v>0.0</v>
      </c>
      <c r="H166" s="15">
        <v>3.0</v>
      </c>
      <c r="I166" s="15">
        <v>0.0</v>
      </c>
      <c r="J166" s="15">
        <v>2.0</v>
      </c>
      <c r="K166" s="15">
        <f t="shared" si="1"/>
        <v>1</v>
      </c>
      <c r="L166" s="16" t="str">
        <f t="shared" si="2"/>
        <v>1-6,13-16</v>
      </c>
      <c r="M166" s="16" t="str">
        <f t="shared" si="3"/>
        <v>1-6,13-16</v>
      </c>
      <c r="N166" s="16" t="str">
        <f t="shared" si="4"/>
        <v>1-6,13-16</v>
      </c>
      <c r="O166" s="16" t="str">
        <f t="shared" si="5"/>
        <v>1-6,13-16</v>
      </c>
      <c r="P166" s="16" t="str">
        <f t="shared" si="6"/>
        <v>1-6,13-16</v>
      </c>
      <c r="Q166" s="16" t="str">
        <f t="shared" si="7"/>
        <v>1-16</v>
      </c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">
        <v>182480.0</v>
      </c>
      <c r="B167" s="9" t="s">
        <v>433</v>
      </c>
      <c r="C167" s="10" t="s">
        <v>434</v>
      </c>
      <c r="D167" s="11" t="s">
        <v>430</v>
      </c>
      <c r="E167" s="12" t="s">
        <v>424</v>
      </c>
      <c r="F167" s="13" t="str">
        <f t="array" ref="F167">INDEX(Turmas!D2:D106,MATCH(E167,Turmas!A2:A106,0))</f>
        <v>Tarde</v>
      </c>
      <c r="G167" s="14">
        <v>0.0</v>
      </c>
      <c r="H167" s="15">
        <v>3.0</v>
      </c>
      <c r="I167" s="15">
        <v>0.0</v>
      </c>
      <c r="J167" s="15">
        <v>2.0</v>
      </c>
      <c r="K167" s="15">
        <f t="shared" si="1"/>
        <v>1</v>
      </c>
      <c r="L167" s="16" t="str">
        <f t="shared" si="2"/>
        <v>1-6,13-16</v>
      </c>
      <c r="M167" s="16" t="str">
        <f t="shared" si="3"/>
        <v>1-6,13-16</v>
      </c>
      <c r="N167" s="16" t="str">
        <f t="shared" si="4"/>
        <v>1-6,13-16</v>
      </c>
      <c r="O167" s="16" t="str">
        <f t="shared" si="5"/>
        <v>1-6,13-16</v>
      </c>
      <c r="P167" s="16" t="str">
        <f t="shared" si="6"/>
        <v>1-6,13-16</v>
      </c>
      <c r="Q167" s="16" t="str">
        <f t="shared" si="7"/>
        <v>1-16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">
        <v>182481.0</v>
      </c>
      <c r="B168" s="9" t="s">
        <v>435</v>
      </c>
      <c r="C168" s="10" t="s">
        <v>436</v>
      </c>
      <c r="D168" s="11" t="s">
        <v>437</v>
      </c>
      <c r="E168" s="12" t="s">
        <v>424</v>
      </c>
      <c r="F168" s="13" t="str">
        <f t="array" ref="F168">INDEX(Turmas!D2:D106,MATCH(E168,Turmas!A2:A106,0))</f>
        <v>Tarde</v>
      </c>
      <c r="G168" s="14">
        <v>0.0</v>
      </c>
      <c r="H168" s="15">
        <v>4.0</v>
      </c>
      <c r="I168" s="15">
        <v>0.0</v>
      </c>
      <c r="J168" s="15">
        <v>2.0</v>
      </c>
      <c r="K168" s="15">
        <f t="shared" si="1"/>
        <v>2</v>
      </c>
      <c r="L168" s="16" t="str">
        <f t="shared" si="2"/>
        <v>1-6,13-16</v>
      </c>
      <c r="M168" s="16" t="str">
        <f t="shared" si="3"/>
        <v>1-6,13-16</v>
      </c>
      <c r="N168" s="16" t="str">
        <f t="shared" si="4"/>
        <v>1-6,13-16</v>
      </c>
      <c r="O168" s="16" t="str">
        <f t="shared" si="5"/>
        <v>1-6,13-16</v>
      </c>
      <c r="P168" s="16" t="str">
        <f t="shared" si="6"/>
        <v>1-6,13-16</v>
      </c>
      <c r="Q168" s="16" t="str">
        <f t="shared" si="7"/>
        <v>1-16</v>
      </c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">
        <v>182482.0</v>
      </c>
      <c r="B169" s="9" t="s">
        <v>438</v>
      </c>
      <c r="C169" s="10" t="s">
        <v>229</v>
      </c>
      <c r="D169" s="11" t="s">
        <v>439</v>
      </c>
      <c r="E169" s="12" t="s">
        <v>440</v>
      </c>
      <c r="F169" s="13" t="str">
        <f t="array" ref="F169">INDEX(Turmas!D2:D106,MATCH(E169,Turmas!A2:A106,0))</f>
        <v>Tarde</v>
      </c>
      <c r="G169" s="14">
        <v>0.0</v>
      </c>
      <c r="H169" s="15">
        <v>3.0</v>
      </c>
      <c r="I169" s="15">
        <v>0.0</v>
      </c>
      <c r="J169" s="15">
        <v>2.0</v>
      </c>
      <c r="K169" s="15">
        <f t="shared" si="1"/>
        <v>1</v>
      </c>
      <c r="L169" s="16" t="str">
        <f t="shared" si="2"/>
        <v>1-6,13-16</v>
      </c>
      <c r="M169" s="16" t="str">
        <f t="shared" si="3"/>
        <v>1-6,13-16</v>
      </c>
      <c r="N169" s="16" t="str">
        <f t="shared" si="4"/>
        <v>1-6,13-16</v>
      </c>
      <c r="O169" s="16" t="str">
        <f t="shared" si="5"/>
        <v>1-6,13-16</v>
      </c>
      <c r="P169" s="16" t="str">
        <f t="shared" si="6"/>
        <v>1-6,13-16</v>
      </c>
      <c r="Q169" s="16" t="str">
        <f t="shared" si="7"/>
        <v>1-16</v>
      </c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">
        <v>183888.0</v>
      </c>
      <c r="B170" s="9" t="s">
        <v>375</v>
      </c>
      <c r="C170" s="10" t="s">
        <v>194</v>
      </c>
      <c r="D170" s="11" t="s">
        <v>233</v>
      </c>
      <c r="E170" s="12" t="s">
        <v>441</v>
      </c>
      <c r="F170" s="13" t="str">
        <f t="array" ref="F170">INDEX(Turmas!D2:D106,MATCH(E170,Turmas!A2:A106,0))</f>
        <v>Noite</v>
      </c>
      <c r="G170" s="14">
        <v>0.0</v>
      </c>
      <c r="H170" s="15">
        <v>3.0</v>
      </c>
      <c r="I170" s="15">
        <v>0.0</v>
      </c>
      <c r="J170" s="15">
        <v>2.0</v>
      </c>
      <c r="K170" s="15">
        <f t="shared" si="1"/>
        <v>1</v>
      </c>
      <c r="L170" s="16" t="str">
        <f t="shared" si="2"/>
        <v>1-12</v>
      </c>
      <c r="M170" s="16" t="str">
        <f t="shared" si="3"/>
        <v>1-12</v>
      </c>
      <c r="N170" s="16" t="str">
        <f t="shared" si="4"/>
        <v>1-12</v>
      </c>
      <c r="O170" s="16" t="str">
        <f t="shared" si="5"/>
        <v>1-12</v>
      </c>
      <c r="P170" s="16" t="str">
        <f t="shared" si="6"/>
        <v>1-12</v>
      </c>
      <c r="Q170" s="16" t="str">
        <f t="shared" si="7"/>
        <v>0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">
        <v>182557.0</v>
      </c>
      <c r="B171" s="9" t="s">
        <v>375</v>
      </c>
      <c r="C171" s="10" t="s">
        <v>194</v>
      </c>
      <c r="D171" s="11" t="s">
        <v>233</v>
      </c>
      <c r="E171" s="12" t="s">
        <v>441</v>
      </c>
      <c r="F171" s="13" t="str">
        <f t="array" ref="F171">INDEX(Turmas!D2:D106,MATCH(E171,Turmas!A2:A106,0))</f>
        <v>Noite</v>
      </c>
      <c r="G171" s="14">
        <v>0.0</v>
      </c>
      <c r="H171" s="15">
        <v>3.0</v>
      </c>
      <c r="I171" s="15">
        <v>0.0</v>
      </c>
      <c r="J171" s="15">
        <v>2.0</v>
      </c>
      <c r="K171" s="15">
        <f t="shared" si="1"/>
        <v>1</v>
      </c>
      <c r="L171" s="16" t="str">
        <f t="shared" si="2"/>
        <v>1-12</v>
      </c>
      <c r="M171" s="16" t="str">
        <f t="shared" si="3"/>
        <v>1-12</v>
      </c>
      <c r="N171" s="16" t="str">
        <f t="shared" si="4"/>
        <v>1-12</v>
      </c>
      <c r="O171" s="16" t="str">
        <f t="shared" si="5"/>
        <v>1-12</v>
      </c>
      <c r="P171" s="16" t="str">
        <f t="shared" si="6"/>
        <v>1-12</v>
      </c>
      <c r="Q171" s="16" t="str">
        <f t="shared" si="7"/>
        <v>0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">
        <v>183586.0</v>
      </c>
      <c r="B172" s="9" t="s">
        <v>442</v>
      </c>
      <c r="C172" s="10" t="s">
        <v>443</v>
      </c>
      <c r="D172" s="11" t="s">
        <v>444</v>
      </c>
      <c r="E172" s="12" t="s">
        <v>441</v>
      </c>
      <c r="F172" s="13" t="str">
        <f t="array" ref="F172">INDEX(Turmas!D2:D106,MATCH(E172,Turmas!A2:A106,0))</f>
        <v>Noite</v>
      </c>
      <c r="G172" s="14">
        <v>0.0</v>
      </c>
      <c r="H172" s="15">
        <v>3.0</v>
      </c>
      <c r="I172" s="15">
        <v>0.0</v>
      </c>
      <c r="J172" s="15">
        <v>2.0</v>
      </c>
      <c r="K172" s="15">
        <f t="shared" si="1"/>
        <v>1</v>
      </c>
      <c r="L172" s="16" t="str">
        <f t="shared" si="2"/>
        <v>1-12</v>
      </c>
      <c r="M172" s="16" t="str">
        <f t="shared" si="3"/>
        <v>1-12</v>
      </c>
      <c r="N172" s="16" t="str">
        <f t="shared" si="4"/>
        <v>1-12</v>
      </c>
      <c r="O172" s="16" t="str">
        <f t="shared" si="5"/>
        <v>1-12</v>
      </c>
      <c r="P172" s="16" t="str">
        <f t="shared" si="6"/>
        <v>1-12</v>
      </c>
      <c r="Q172" s="16" t="str">
        <f t="shared" si="7"/>
        <v>0</v>
      </c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">
        <v>182559.0</v>
      </c>
      <c r="B173" s="9" t="s">
        <v>445</v>
      </c>
      <c r="C173" s="10" t="s">
        <v>446</v>
      </c>
      <c r="D173" s="11" t="s">
        <v>447</v>
      </c>
      <c r="E173" s="12" t="s">
        <v>441</v>
      </c>
      <c r="F173" s="13" t="str">
        <f t="array" ref="F173">INDEX(Turmas!D2:D106,MATCH(E173,Turmas!A2:A106,0))</f>
        <v>Noite</v>
      </c>
      <c r="G173" s="14">
        <v>0.0</v>
      </c>
      <c r="H173" s="15">
        <v>4.0</v>
      </c>
      <c r="I173" s="15">
        <v>0.0</v>
      </c>
      <c r="J173" s="15">
        <v>2.0</v>
      </c>
      <c r="K173" s="15">
        <f t="shared" si="1"/>
        <v>2</v>
      </c>
      <c r="L173" s="16" t="str">
        <f t="shared" si="2"/>
        <v>1-12</v>
      </c>
      <c r="M173" s="16" t="str">
        <f t="shared" si="3"/>
        <v>1-12</v>
      </c>
      <c r="N173" s="16" t="str">
        <f t="shared" si="4"/>
        <v>1-12</v>
      </c>
      <c r="O173" s="16" t="str">
        <f t="shared" si="5"/>
        <v>1-12</v>
      </c>
      <c r="P173" s="16" t="str">
        <f t="shared" si="6"/>
        <v>1-12</v>
      </c>
      <c r="Q173" s="16" t="str">
        <f t="shared" si="7"/>
        <v>0</v>
      </c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">
        <v>182558.0</v>
      </c>
      <c r="B174" s="9" t="s">
        <v>448</v>
      </c>
      <c r="C174" s="10" t="s">
        <v>449</v>
      </c>
      <c r="D174" s="11" t="s">
        <v>450</v>
      </c>
      <c r="E174" s="12" t="s">
        <v>441</v>
      </c>
      <c r="F174" s="13" t="str">
        <f t="array" ref="F174">INDEX(Turmas!D2:D106,MATCH(E174,Turmas!A2:A106,0))</f>
        <v>Noite</v>
      </c>
      <c r="G174" s="14">
        <v>0.0</v>
      </c>
      <c r="H174" s="15">
        <v>2.0</v>
      </c>
      <c r="I174" s="15">
        <v>0.0</v>
      </c>
      <c r="J174" s="15">
        <v>2.0</v>
      </c>
      <c r="K174" s="15">
        <f t="shared" si="1"/>
        <v>1</v>
      </c>
      <c r="L174" s="16" t="str">
        <f t="shared" si="2"/>
        <v>1-12</v>
      </c>
      <c r="M174" s="16" t="str">
        <f t="shared" si="3"/>
        <v>1-12</v>
      </c>
      <c r="N174" s="16" t="str">
        <f t="shared" si="4"/>
        <v>1-12</v>
      </c>
      <c r="O174" s="16" t="str">
        <f t="shared" si="5"/>
        <v>1-12</v>
      </c>
      <c r="P174" s="16" t="str">
        <f t="shared" si="6"/>
        <v>1-12</v>
      </c>
      <c r="Q174" s="16" t="str">
        <f t="shared" si="7"/>
        <v>0</v>
      </c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">
        <v>182560.0</v>
      </c>
      <c r="B175" s="9" t="s">
        <v>381</v>
      </c>
      <c r="C175" s="10" t="s">
        <v>209</v>
      </c>
      <c r="D175" s="11" t="s">
        <v>451</v>
      </c>
      <c r="E175" s="12" t="s">
        <v>441</v>
      </c>
      <c r="F175" s="13" t="str">
        <f t="array" ref="F175">INDEX(Turmas!D2:D106,MATCH(E175,Turmas!A2:A106,0))</f>
        <v>Noite</v>
      </c>
      <c r="G175" s="14">
        <v>0.0</v>
      </c>
      <c r="H175" s="15">
        <v>2.0</v>
      </c>
      <c r="I175" s="15">
        <v>0.0</v>
      </c>
      <c r="J175" s="15">
        <v>2.0</v>
      </c>
      <c r="K175" s="15">
        <f t="shared" si="1"/>
        <v>1</v>
      </c>
      <c r="L175" s="16" t="str">
        <f t="shared" si="2"/>
        <v>1-12</v>
      </c>
      <c r="M175" s="16" t="str">
        <f t="shared" si="3"/>
        <v>1-12</v>
      </c>
      <c r="N175" s="16" t="str">
        <f t="shared" si="4"/>
        <v>1-12</v>
      </c>
      <c r="O175" s="16" t="str">
        <f t="shared" si="5"/>
        <v>1-12</v>
      </c>
      <c r="P175" s="16" t="str">
        <f t="shared" si="6"/>
        <v>1-12</v>
      </c>
      <c r="Q175" s="16" t="str">
        <f t="shared" si="7"/>
        <v>0</v>
      </c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">
        <v>182561.0</v>
      </c>
      <c r="B176" s="9" t="s">
        <v>382</v>
      </c>
      <c r="C176" s="10" t="s">
        <v>383</v>
      </c>
      <c r="D176" s="11" t="s">
        <v>452</v>
      </c>
      <c r="E176" s="12" t="s">
        <v>441</v>
      </c>
      <c r="F176" s="13" t="str">
        <f t="array" ref="F176">INDEX(Turmas!D2:D106,MATCH(E176,Turmas!A2:A106,0))</f>
        <v>Noite</v>
      </c>
      <c r="G176" s="14">
        <v>0.0</v>
      </c>
      <c r="H176" s="15">
        <v>2.0</v>
      </c>
      <c r="I176" s="15">
        <v>0.0</v>
      </c>
      <c r="J176" s="15">
        <v>2.0</v>
      </c>
      <c r="K176" s="15">
        <f t="shared" si="1"/>
        <v>1</v>
      </c>
      <c r="L176" s="16" t="str">
        <f t="shared" si="2"/>
        <v>1-12</v>
      </c>
      <c r="M176" s="16" t="str">
        <f t="shared" si="3"/>
        <v>1-12</v>
      </c>
      <c r="N176" s="16" t="str">
        <f t="shared" si="4"/>
        <v>1-12</v>
      </c>
      <c r="O176" s="16" t="str">
        <f t="shared" si="5"/>
        <v>1-12</v>
      </c>
      <c r="P176" s="16" t="str">
        <f t="shared" si="6"/>
        <v>1-12</v>
      </c>
      <c r="Q176" s="16" t="str">
        <f t="shared" si="7"/>
        <v>0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">
        <v>182562.0</v>
      </c>
      <c r="B177" s="9" t="s">
        <v>453</v>
      </c>
      <c r="C177" s="10" t="s">
        <v>454</v>
      </c>
      <c r="D177" s="11" t="s">
        <v>455</v>
      </c>
      <c r="E177" s="12" t="s">
        <v>456</v>
      </c>
      <c r="F177" s="13" t="str">
        <f t="array" ref="F177">INDEX(Turmas!D2:D106,MATCH(E177,Turmas!A2:A106,0))</f>
        <v>Noite</v>
      </c>
      <c r="G177" s="14">
        <v>0.0</v>
      </c>
      <c r="H177" s="15">
        <v>4.0</v>
      </c>
      <c r="I177" s="15">
        <v>0.0</v>
      </c>
      <c r="J177" s="15">
        <v>2.0</v>
      </c>
      <c r="K177" s="15">
        <f t="shared" si="1"/>
        <v>2</v>
      </c>
      <c r="L177" s="16" t="str">
        <f t="shared" si="2"/>
        <v>1-12</v>
      </c>
      <c r="M177" s="16" t="str">
        <f t="shared" si="3"/>
        <v>1-12</v>
      </c>
      <c r="N177" s="16" t="str">
        <f t="shared" si="4"/>
        <v>1-12</v>
      </c>
      <c r="O177" s="16" t="str">
        <f t="shared" si="5"/>
        <v>1-12</v>
      </c>
      <c r="P177" s="16" t="str">
        <f t="shared" si="6"/>
        <v>1-12</v>
      </c>
      <c r="Q177" s="16" t="str">
        <f t="shared" si="7"/>
        <v>0</v>
      </c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">
        <v>182563.0</v>
      </c>
      <c r="B178" s="9" t="s">
        <v>457</v>
      </c>
      <c r="C178" s="10" t="s">
        <v>458</v>
      </c>
      <c r="D178" s="11" t="s">
        <v>252</v>
      </c>
      <c r="E178" s="12" t="s">
        <v>456</v>
      </c>
      <c r="F178" s="13" t="str">
        <f t="array" ref="F178">INDEX(Turmas!D2:D106,MATCH(E178,Turmas!A2:A106,0))</f>
        <v>Noite</v>
      </c>
      <c r="G178" s="14">
        <v>0.0</v>
      </c>
      <c r="H178" s="15">
        <v>4.0</v>
      </c>
      <c r="I178" s="15">
        <v>0.0</v>
      </c>
      <c r="J178" s="15">
        <v>4.0</v>
      </c>
      <c r="K178" s="15">
        <f t="shared" si="1"/>
        <v>1</v>
      </c>
      <c r="L178" s="16" t="str">
        <f t="shared" si="2"/>
        <v>1-12</v>
      </c>
      <c r="M178" s="16" t="str">
        <f t="shared" si="3"/>
        <v>1-12</v>
      </c>
      <c r="N178" s="16" t="str">
        <f t="shared" si="4"/>
        <v>1-12</v>
      </c>
      <c r="O178" s="16" t="str">
        <f t="shared" si="5"/>
        <v>1-12</v>
      </c>
      <c r="P178" s="16" t="str">
        <f t="shared" si="6"/>
        <v>1-12</v>
      </c>
      <c r="Q178" s="16" t="str">
        <f t="shared" si="7"/>
        <v>0</v>
      </c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">
        <v>182564.0</v>
      </c>
      <c r="B179" s="9" t="s">
        <v>459</v>
      </c>
      <c r="C179" s="10" t="s">
        <v>460</v>
      </c>
      <c r="D179" s="11" t="s">
        <v>323</v>
      </c>
      <c r="E179" s="12" t="s">
        <v>456</v>
      </c>
      <c r="F179" s="13" t="str">
        <f t="array" ref="F179">INDEX(Turmas!D2:D106,MATCH(E179,Turmas!A2:A106,0))</f>
        <v>Noite</v>
      </c>
      <c r="G179" s="14">
        <v>0.0</v>
      </c>
      <c r="H179" s="15">
        <v>4.0</v>
      </c>
      <c r="I179" s="15">
        <v>0.0</v>
      </c>
      <c r="J179" s="15">
        <v>4.0</v>
      </c>
      <c r="K179" s="15">
        <f t="shared" si="1"/>
        <v>1</v>
      </c>
      <c r="L179" s="16" t="str">
        <f t="shared" si="2"/>
        <v>1-12</v>
      </c>
      <c r="M179" s="16" t="str">
        <f t="shared" si="3"/>
        <v>1-12</v>
      </c>
      <c r="N179" s="16" t="str">
        <f t="shared" si="4"/>
        <v>1-12</v>
      </c>
      <c r="O179" s="16" t="str">
        <f t="shared" si="5"/>
        <v>1-12</v>
      </c>
      <c r="P179" s="16" t="str">
        <f t="shared" si="6"/>
        <v>1-12</v>
      </c>
      <c r="Q179" s="16" t="str">
        <f t="shared" si="7"/>
        <v>0</v>
      </c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">
        <v>182565.0</v>
      </c>
      <c r="B180" s="9" t="s">
        <v>461</v>
      </c>
      <c r="C180" s="10" t="s">
        <v>462</v>
      </c>
      <c r="D180" s="11" t="s">
        <v>463</v>
      </c>
      <c r="E180" s="12" t="s">
        <v>456</v>
      </c>
      <c r="F180" s="13" t="str">
        <f t="array" ref="F180">INDEX(Turmas!D2:D106,MATCH(E180,Turmas!A2:A106,0))</f>
        <v>Noite</v>
      </c>
      <c r="G180" s="14">
        <v>0.0</v>
      </c>
      <c r="H180" s="15">
        <v>4.0</v>
      </c>
      <c r="I180" s="15">
        <v>0.0</v>
      </c>
      <c r="J180" s="15">
        <v>2.0</v>
      </c>
      <c r="K180" s="15">
        <f t="shared" si="1"/>
        <v>2</v>
      </c>
      <c r="L180" s="16" t="str">
        <f t="shared" si="2"/>
        <v>1-12</v>
      </c>
      <c r="M180" s="16" t="str">
        <f t="shared" si="3"/>
        <v>1-12</v>
      </c>
      <c r="N180" s="16" t="str">
        <f t="shared" si="4"/>
        <v>1-12</v>
      </c>
      <c r="O180" s="16" t="str">
        <f t="shared" si="5"/>
        <v>1-12</v>
      </c>
      <c r="P180" s="16" t="str">
        <f t="shared" si="6"/>
        <v>1-12</v>
      </c>
      <c r="Q180" s="16" t="str">
        <f t="shared" si="7"/>
        <v>0</v>
      </c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">
        <v>182566.0</v>
      </c>
      <c r="B181" s="9" t="s">
        <v>464</v>
      </c>
      <c r="C181" s="10" t="s">
        <v>465</v>
      </c>
      <c r="D181" s="11" t="s">
        <v>466</v>
      </c>
      <c r="E181" s="12" t="s">
        <v>456</v>
      </c>
      <c r="F181" s="13" t="str">
        <f t="array" ref="F181">INDEX(Turmas!D2:D106,MATCH(E181,Turmas!A2:A106,0))</f>
        <v>Noite</v>
      </c>
      <c r="G181" s="14">
        <v>0.0</v>
      </c>
      <c r="H181" s="15">
        <v>2.0</v>
      </c>
      <c r="I181" s="15">
        <v>0.0</v>
      </c>
      <c r="J181" s="15">
        <v>2.0</v>
      </c>
      <c r="K181" s="15">
        <f t="shared" si="1"/>
        <v>1</v>
      </c>
      <c r="L181" s="16" t="str">
        <f t="shared" si="2"/>
        <v>1-12</v>
      </c>
      <c r="M181" s="16" t="str">
        <f t="shared" si="3"/>
        <v>1-12</v>
      </c>
      <c r="N181" s="16" t="str">
        <f t="shared" si="4"/>
        <v>1-12</v>
      </c>
      <c r="O181" s="16" t="str">
        <f t="shared" si="5"/>
        <v>1-12</v>
      </c>
      <c r="P181" s="16" t="str">
        <f t="shared" si="6"/>
        <v>1-12</v>
      </c>
      <c r="Q181" s="16" t="str">
        <f t="shared" si="7"/>
        <v>0</v>
      </c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">
        <v>182567.0</v>
      </c>
      <c r="B182" s="9" t="s">
        <v>467</v>
      </c>
      <c r="C182" s="10" t="s">
        <v>468</v>
      </c>
      <c r="D182" s="11" t="s">
        <v>469</v>
      </c>
      <c r="E182" s="12" t="s">
        <v>470</v>
      </c>
      <c r="F182" s="13" t="str">
        <f t="array" ref="F182">INDEX(Turmas!D2:D106,MATCH(E182,Turmas!A2:A106,0))</f>
        <v>Noite</v>
      </c>
      <c r="G182" s="14">
        <v>0.0</v>
      </c>
      <c r="H182" s="15">
        <v>4.0</v>
      </c>
      <c r="I182" s="15">
        <v>0.0</v>
      </c>
      <c r="J182" s="15">
        <v>2.0</v>
      </c>
      <c r="K182" s="15">
        <f t="shared" si="1"/>
        <v>2</v>
      </c>
      <c r="L182" s="16" t="str">
        <f t="shared" si="2"/>
        <v>1-12</v>
      </c>
      <c r="M182" s="16" t="str">
        <f t="shared" si="3"/>
        <v>1-12</v>
      </c>
      <c r="N182" s="16" t="str">
        <f t="shared" si="4"/>
        <v>1-12</v>
      </c>
      <c r="O182" s="16" t="str">
        <f t="shared" si="5"/>
        <v>1-12</v>
      </c>
      <c r="P182" s="16" t="str">
        <f t="shared" si="6"/>
        <v>1-12</v>
      </c>
      <c r="Q182" s="16" t="str">
        <f t="shared" si="7"/>
        <v>0</v>
      </c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">
        <v>182568.0</v>
      </c>
      <c r="B183" s="9" t="s">
        <v>471</v>
      </c>
      <c r="C183" s="10" t="s">
        <v>278</v>
      </c>
      <c r="D183" s="11" t="s">
        <v>472</v>
      </c>
      <c r="E183" s="12" t="s">
        <v>470</v>
      </c>
      <c r="F183" s="13" t="str">
        <f t="array" ref="F183">INDEX(Turmas!D2:D106,MATCH(E183,Turmas!A2:A106,0))</f>
        <v>Noite</v>
      </c>
      <c r="G183" s="14">
        <v>0.0</v>
      </c>
      <c r="H183" s="15">
        <v>2.0</v>
      </c>
      <c r="I183" s="15">
        <v>0.0</v>
      </c>
      <c r="J183" s="15">
        <v>2.0</v>
      </c>
      <c r="K183" s="15">
        <f t="shared" si="1"/>
        <v>1</v>
      </c>
      <c r="L183" s="16" t="str">
        <f t="shared" si="2"/>
        <v>1-12</v>
      </c>
      <c r="M183" s="16" t="str">
        <f t="shared" si="3"/>
        <v>1-12</v>
      </c>
      <c r="N183" s="16" t="str">
        <f t="shared" si="4"/>
        <v>1-12</v>
      </c>
      <c r="O183" s="16" t="str">
        <f t="shared" si="5"/>
        <v>1-12</v>
      </c>
      <c r="P183" s="16" t="str">
        <f t="shared" si="6"/>
        <v>1-12</v>
      </c>
      <c r="Q183" s="16" t="str">
        <f t="shared" si="7"/>
        <v>0</v>
      </c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">
        <v>182569.0</v>
      </c>
      <c r="B184" s="9" t="s">
        <v>473</v>
      </c>
      <c r="C184" s="10" t="s">
        <v>474</v>
      </c>
      <c r="D184" s="11" t="s">
        <v>227</v>
      </c>
      <c r="E184" s="12" t="s">
        <v>470</v>
      </c>
      <c r="F184" s="13" t="str">
        <f t="array" ref="F184">INDEX(Turmas!D2:D106,MATCH(E184,Turmas!A2:A106,0))</f>
        <v>Noite</v>
      </c>
      <c r="G184" s="14">
        <v>0.0</v>
      </c>
      <c r="H184" s="15">
        <v>4.0</v>
      </c>
      <c r="I184" s="15">
        <v>0.0</v>
      </c>
      <c r="J184" s="15">
        <v>2.0</v>
      </c>
      <c r="K184" s="15">
        <f t="shared" si="1"/>
        <v>2</v>
      </c>
      <c r="L184" s="16" t="str">
        <f t="shared" si="2"/>
        <v>1-12</v>
      </c>
      <c r="M184" s="16" t="str">
        <f t="shared" si="3"/>
        <v>1-12</v>
      </c>
      <c r="N184" s="16" t="str">
        <f t="shared" si="4"/>
        <v>1-12</v>
      </c>
      <c r="O184" s="16" t="str">
        <f t="shared" si="5"/>
        <v>1-12</v>
      </c>
      <c r="P184" s="16" t="str">
        <f t="shared" si="6"/>
        <v>1-12</v>
      </c>
      <c r="Q184" s="16" t="str">
        <f t="shared" si="7"/>
        <v>0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">
        <v>182570.0</v>
      </c>
      <c r="B185" s="9" t="s">
        <v>475</v>
      </c>
      <c r="C185" s="10" t="s">
        <v>476</v>
      </c>
      <c r="D185" s="11" t="s">
        <v>450</v>
      </c>
      <c r="E185" s="12" t="s">
        <v>470</v>
      </c>
      <c r="F185" s="13" t="str">
        <f t="array" ref="F185">INDEX(Turmas!D2:D106,MATCH(E185,Turmas!A2:A106,0))</f>
        <v>Noite</v>
      </c>
      <c r="G185" s="14">
        <v>0.0</v>
      </c>
      <c r="H185" s="15">
        <v>4.0</v>
      </c>
      <c r="I185" s="15">
        <v>0.0</v>
      </c>
      <c r="J185" s="15">
        <v>4.0</v>
      </c>
      <c r="K185" s="15">
        <f t="shared" si="1"/>
        <v>1</v>
      </c>
      <c r="L185" s="16" t="str">
        <f t="shared" si="2"/>
        <v>1-12</v>
      </c>
      <c r="M185" s="16" t="str">
        <f t="shared" si="3"/>
        <v>1-12</v>
      </c>
      <c r="N185" s="16" t="str">
        <f t="shared" si="4"/>
        <v>1-12</v>
      </c>
      <c r="O185" s="16" t="str">
        <f t="shared" si="5"/>
        <v>1-12</v>
      </c>
      <c r="P185" s="16" t="str">
        <f t="shared" si="6"/>
        <v>1-12</v>
      </c>
      <c r="Q185" s="16" t="str">
        <f t="shared" si="7"/>
        <v>0</v>
      </c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">
        <v>182572.0</v>
      </c>
      <c r="B186" s="9" t="s">
        <v>477</v>
      </c>
      <c r="C186" s="10" t="s">
        <v>478</v>
      </c>
      <c r="D186" s="11" t="s">
        <v>479</v>
      </c>
      <c r="E186" s="23" t="s">
        <v>470</v>
      </c>
      <c r="F186" s="13" t="str">
        <f t="array" ref="F186">INDEX(Turmas!D2:D106,MATCH(E186,Turmas!A2:A106,0))</f>
        <v>Noite</v>
      </c>
      <c r="G186" s="14">
        <v>0.0</v>
      </c>
      <c r="H186" s="15">
        <v>2.0</v>
      </c>
      <c r="I186" s="15">
        <v>0.0</v>
      </c>
      <c r="J186" s="15">
        <v>2.0</v>
      </c>
      <c r="K186" s="15">
        <f t="shared" si="1"/>
        <v>1</v>
      </c>
      <c r="L186" s="16" t="str">
        <f t="shared" si="2"/>
        <v>1-12</v>
      </c>
      <c r="M186" s="16" t="str">
        <f t="shared" si="3"/>
        <v>1-12</v>
      </c>
      <c r="N186" s="16" t="str">
        <f t="shared" si="4"/>
        <v>1-12</v>
      </c>
      <c r="O186" s="16" t="str">
        <f t="shared" si="5"/>
        <v>1-12</v>
      </c>
      <c r="P186" s="16" t="str">
        <f t="shared" si="6"/>
        <v>1-12</v>
      </c>
      <c r="Q186" s="16" t="str">
        <f t="shared" si="7"/>
        <v>0</v>
      </c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">
        <v>182571.0</v>
      </c>
      <c r="B187" s="9" t="s">
        <v>480</v>
      </c>
      <c r="C187" s="10" t="s">
        <v>481</v>
      </c>
      <c r="D187" s="11" t="s">
        <v>29</v>
      </c>
      <c r="E187" s="23" t="s">
        <v>470</v>
      </c>
      <c r="F187" s="13" t="str">
        <f t="array" ref="F187">INDEX(Turmas!D2:D106,MATCH(E187,Turmas!A2:A106,0))</f>
        <v>Noite</v>
      </c>
      <c r="G187" s="14">
        <v>0.0</v>
      </c>
      <c r="H187" s="15">
        <v>4.0</v>
      </c>
      <c r="I187" s="15">
        <v>0.0</v>
      </c>
      <c r="J187" s="15">
        <v>2.0</v>
      </c>
      <c r="K187" s="15">
        <f t="shared" si="1"/>
        <v>2</v>
      </c>
      <c r="L187" s="16" t="str">
        <f t="shared" si="2"/>
        <v>1-12</v>
      </c>
      <c r="M187" s="16" t="str">
        <f t="shared" si="3"/>
        <v>1-12</v>
      </c>
      <c r="N187" s="16" t="str">
        <f t="shared" si="4"/>
        <v>1-12</v>
      </c>
      <c r="O187" s="16" t="str">
        <f t="shared" si="5"/>
        <v>1-12</v>
      </c>
      <c r="P187" s="16" t="str">
        <f t="shared" si="6"/>
        <v>1-12</v>
      </c>
      <c r="Q187" s="16" t="str">
        <f t="shared" si="7"/>
        <v>0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">
        <v>182573.0</v>
      </c>
      <c r="B188" s="9" t="s">
        <v>482</v>
      </c>
      <c r="C188" s="10" t="s">
        <v>483</v>
      </c>
      <c r="D188" s="11" t="s">
        <v>484</v>
      </c>
      <c r="E188" s="23" t="s">
        <v>485</v>
      </c>
      <c r="F188" s="13" t="str">
        <f t="array" ref="F188">INDEX(Turmas!D2:D106,MATCH(E188,Turmas!A2:A106,0))</f>
        <v>Noite</v>
      </c>
      <c r="G188" s="14">
        <v>0.0</v>
      </c>
      <c r="H188" s="15">
        <v>2.0</v>
      </c>
      <c r="I188" s="15">
        <v>0.0</v>
      </c>
      <c r="J188" s="15">
        <v>2.0</v>
      </c>
      <c r="K188" s="15">
        <f t="shared" si="1"/>
        <v>1</v>
      </c>
      <c r="L188" s="16" t="str">
        <f t="shared" si="2"/>
        <v>1-12</v>
      </c>
      <c r="M188" s="16" t="str">
        <f t="shared" si="3"/>
        <v>1-12</v>
      </c>
      <c r="N188" s="16" t="str">
        <f t="shared" si="4"/>
        <v>1-12</v>
      </c>
      <c r="O188" s="16" t="str">
        <f t="shared" si="5"/>
        <v>1-12</v>
      </c>
      <c r="P188" s="16" t="str">
        <f t="shared" si="6"/>
        <v>1-12</v>
      </c>
      <c r="Q188" s="16" t="str">
        <f t="shared" si="7"/>
        <v>0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">
        <v>182574.0</v>
      </c>
      <c r="B189" s="9" t="s">
        <v>486</v>
      </c>
      <c r="C189" s="10" t="s">
        <v>487</v>
      </c>
      <c r="D189" s="11" t="s">
        <v>19</v>
      </c>
      <c r="E189" s="23" t="s">
        <v>485</v>
      </c>
      <c r="F189" s="13" t="str">
        <f t="array" ref="F189">INDEX(Turmas!D2:D106,MATCH(E189,Turmas!A2:A106,0))</f>
        <v>Noite</v>
      </c>
      <c r="G189" s="14">
        <v>0.0</v>
      </c>
      <c r="H189" s="15">
        <v>2.0</v>
      </c>
      <c r="I189" s="15">
        <v>0.0</v>
      </c>
      <c r="J189" s="15">
        <v>2.0</v>
      </c>
      <c r="K189" s="15">
        <f t="shared" si="1"/>
        <v>1</v>
      </c>
      <c r="L189" s="16" t="str">
        <f t="shared" si="2"/>
        <v>1-12</v>
      </c>
      <c r="M189" s="16" t="str">
        <f t="shared" si="3"/>
        <v>1-12</v>
      </c>
      <c r="N189" s="16" t="str">
        <f t="shared" si="4"/>
        <v>1-12</v>
      </c>
      <c r="O189" s="16" t="str">
        <f t="shared" si="5"/>
        <v>1-12</v>
      </c>
      <c r="P189" s="16" t="str">
        <f t="shared" si="6"/>
        <v>1-12</v>
      </c>
      <c r="Q189" s="16" t="str">
        <f t="shared" si="7"/>
        <v>0</v>
      </c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">
        <v>182575.0</v>
      </c>
      <c r="B190" s="9" t="s">
        <v>488</v>
      </c>
      <c r="C190" s="10" t="s">
        <v>489</v>
      </c>
      <c r="D190" s="11" t="s">
        <v>490</v>
      </c>
      <c r="E190" s="23" t="s">
        <v>485</v>
      </c>
      <c r="F190" s="13" t="str">
        <f t="array" ref="F190">INDEX(Turmas!D2:D106,MATCH(E190,Turmas!A2:A106,0))</f>
        <v>Noite</v>
      </c>
      <c r="G190" s="14">
        <v>0.0</v>
      </c>
      <c r="H190" s="15">
        <v>2.0</v>
      </c>
      <c r="I190" s="15">
        <v>0.0</v>
      </c>
      <c r="J190" s="15">
        <v>2.0</v>
      </c>
      <c r="K190" s="15">
        <f t="shared" si="1"/>
        <v>1</v>
      </c>
      <c r="L190" s="16" t="str">
        <f t="shared" si="2"/>
        <v>1-12</v>
      </c>
      <c r="M190" s="16" t="str">
        <f t="shared" si="3"/>
        <v>1-12</v>
      </c>
      <c r="N190" s="16" t="str">
        <f t="shared" si="4"/>
        <v>1-12</v>
      </c>
      <c r="O190" s="16" t="str">
        <f t="shared" si="5"/>
        <v>1-12</v>
      </c>
      <c r="P190" s="16" t="str">
        <f t="shared" si="6"/>
        <v>1-12</v>
      </c>
      <c r="Q190" s="16" t="str">
        <f t="shared" si="7"/>
        <v>0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">
        <v>182576.0</v>
      </c>
      <c r="B191" s="9" t="s">
        <v>491</v>
      </c>
      <c r="C191" s="10" t="s">
        <v>492</v>
      </c>
      <c r="D191" s="11" t="s">
        <v>493</v>
      </c>
      <c r="E191" s="23" t="s">
        <v>485</v>
      </c>
      <c r="F191" s="13" t="str">
        <f t="array" ref="F191">INDEX(Turmas!D2:D106,MATCH(E191,Turmas!A2:A106,0))</f>
        <v>Noite</v>
      </c>
      <c r="G191" s="14">
        <v>0.0</v>
      </c>
      <c r="H191" s="15">
        <v>4.0</v>
      </c>
      <c r="I191" s="15">
        <v>0.0</v>
      </c>
      <c r="J191" s="15">
        <v>2.0</v>
      </c>
      <c r="K191" s="15">
        <f t="shared" si="1"/>
        <v>2</v>
      </c>
      <c r="L191" s="16" t="str">
        <f t="shared" si="2"/>
        <v>1-12</v>
      </c>
      <c r="M191" s="16" t="str">
        <f t="shared" si="3"/>
        <v>1-12</v>
      </c>
      <c r="N191" s="16" t="str">
        <f t="shared" si="4"/>
        <v>1-12</v>
      </c>
      <c r="O191" s="16" t="str">
        <f t="shared" si="5"/>
        <v>1-12</v>
      </c>
      <c r="P191" s="16" t="str">
        <f t="shared" si="6"/>
        <v>1-12</v>
      </c>
      <c r="Q191" s="16" t="str">
        <f t="shared" si="7"/>
        <v>0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">
        <v>182577.0</v>
      </c>
      <c r="B192" s="9" t="s">
        <v>494</v>
      </c>
      <c r="C192" s="10" t="s">
        <v>495</v>
      </c>
      <c r="D192" s="11" t="s">
        <v>496</v>
      </c>
      <c r="E192" s="23" t="s">
        <v>485</v>
      </c>
      <c r="F192" s="13" t="str">
        <f t="array" ref="F192">INDEX(Turmas!D2:D106,MATCH(E192,Turmas!A2:A106,0))</f>
        <v>Noite</v>
      </c>
      <c r="G192" s="14">
        <v>0.0</v>
      </c>
      <c r="H192" s="15">
        <v>4.0</v>
      </c>
      <c r="I192" s="15">
        <v>0.0</v>
      </c>
      <c r="J192" s="15">
        <v>2.0</v>
      </c>
      <c r="K192" s="15">
        <f t="shared" si="1"/>
        <v>2</v>
      </c>
      <c r="L192" s="16" t="str">
        <f t="shared" si="2"/>
        <v>1-12</v>
      </c>
      <c r="M192" s="16" t="str">
        <f t="shared" si="3"/>
        <v>1-12</v>
      </c>
      <c r="N192" s="16" t="str">
        <f t="shared" si="4"/>
        <v>1-12</v>
      </c>
      <c r="O192" s="16" t="str">
        <f t="shared" si="5"/>
        <v>1-12</v>
      </c>
      <c r="P192" s="16" t="str">
        <f t="shared" si="6"/>
        <v>1-12</v>
      </c>
      <c r="Q192" s="16" t="str">
        <f t="shared" si="7"/>
        <v>0</v>
      </c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">
        <v>182578.0</v>
      </c>
      <c r="B193" s="9" t="s">
        <v>497</v>
      </c>
      <c r="C193" s="10" t="s">
        <v>498</v>
      </c>
      <c r="D193" s="11" t="s">
        <v>479</v>
      </c>
      <c r="E193" s="23" t="s">
        <v>485</v>
      </c>
      <c r="F193" s="13" t="str">
        <f t="array" ref="F193">INDEX(Turmas!D2:D106,MATCH(E193,Turmas!A2:A106,0))</f>
        <v>Noite</v>
      </c>
      <c r="G193" s="14">
        <v>0.0</v>
      </c>
      <c r="H193" s="15">
        <v>2.0</v>
      </c>
      <c r="I193" s="15">
        <v>0.0</v>
      </c>
      <c r="J193" s="15">
        <v>2.0</v>
      </c>
      <c r="K193" s="15">
        <f t="shared" si="1"/>
        <v>1</v>
      </c>
      <c r="L193" s="16" t="str">
        <f t="shared" si="2"/>
        <v>1-12</v>
      </c>
      <c r="M193" s="16" t="str">
        <f t="shared" si="3"/>
        <v>1-12</v>
      </c>
      <c r="N193" s="16" t="str">
        <f t="shared" si="4"/>
        <v>1-12</v>
      </c>
      <c r="O193" s="16" t="str">
        <f t="shared" si="5"/>
        <v>1-12</v>
      </c>
      <c r="P193" s="16" t="str">
        <f t="shared" si="6"/>
        <v>1-12</v>
      </c>
      <c r="Q193" s="16" t="str">
        <f t="shared" si="7"/>
        <v>0</v>
      </c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">
        <v>182579.0</v>
      </c>
      <c r="B194" s="9" t="s">
        <v>375</v>
      </c>
      <c r="C194" s="10" t="s">
        <v>194</v>
      </c>
      <c r="D194" s="11" t="s">
        <v>499</v>
      </c>
      <c r="E194" s="23" t="s">
        <v>500</v>
      </c>
      <c r="F194" s="13" t="str">
        <f t="array" ref="F194">INDEX(Turmas!D2:D106,MATCH(E194,Turmas!A2:A106,0))</f>
        <v>Tarde</v>
      </c>
      <c r="G194" s="14">
        <v>0.0</v>
      </c>
      <c r="H194" s="15">
        <v>4.0</v>
      </c>
      <c r="I194" s="15">
        <v>0.0</v>
      </c>
      <c r="J194" s="15">
        <v>2.0</v>
      </c>
      <c r="K194" s="15">
        <f t="shared" si="1"/>
        <v>2</v>
      </c>
      <c r="L194" s="16" t="str">
        <f t="shared" si="2"/>
        <v>1-6,13-16</v>
      </c>
      <c r="M194" s="16" t="str">
        <f t="shared" si="3"/>
        <v>1-6,13-16</v>
      </c>
      <c r="N194" s="16" t="str">
        <f t="shared" si="4"/>
        <v>1-6,13-16</v>
      </c>
      <c r="O194" s="16" t="str">
        <f t="shared" si="5"/>
        <v>1-6,13-16</v>
      </c>
      <c r="P194" s="16" t="str">
        <f t="shared" si="6"/>
        <v>1-6,13-16</v>
      </c>
      <c r="Q194" s="16" t="str">
        <f t="shared" si="7"/>
        <v>1-16</v>
      </c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">
        <v>182329.0</v>
      </c>
      <c r="B195" s="9" t="s">
        <v>442</v>
      </c>
      <c r="C195" s="10" t="s">
        <v>443</v>
      </c>
      <c r="D195" s="11" t="s">
        <v>444</v>
      </c>
      <c r="E195" s="23" t="s">
        <v>500</v>
      </c>
      <c r="F195" s="13" t="str">
        <f t="array" ref="F195">INDEX(Turmas!D2:D106,MATCH(E195,Turmas!A2:A106,0))</f>
        <v>Tarde</v>
      </c>
      <c r="G195" s="20">
        <v>0.0</v>
      </c>
      <c r="H195" s="15">
        <v>3.0</v>
      </c>
      <c r="I195" s="15">
        <v>0.0</v>
      </c>
      <c r="J195" s="15">
        <v>2.0</v>
      </c>
      <c r="K195" s="15">
        <f t="shared" si="1"/>
        <v>1</v>
      </c>
      <c r="L195" s="16" t="str">
        <f t="shared" si="2"/>
        <v>1-6,13-16</v>
      </c>
      <c r="M195" s="16" t="str">
        <f t="shared" si="3"/>
        <v>1-6,13-16</v>
      </c>
      <c r="N195" s="16" t="str">
        <f t="shared" si="4"/>
        <v>1-6,13-16</v>
      </c>
      <c r="O195" s="16" t="str">
        <f t="shared" si="5"/>
        <v>1-6,13-16</v>
      </c>
      <c r="P195" s="16" t="str">
        <f t="shared" si="6"/>
        <v>1-6,13-16</v>
      </c>
      <c r="Q195" s="16" t="str">
        <f t="shared" si="7"/>
        <v>1-16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9">
        <v>182331.0</v>
      </c>
      <c r="B196" s="9" t="s">
        <v>501</v>
      </c>
      <c r="C196" s="10" t="s">
        <v>502</v>
      </c>
      <c r="D196" s="11" t="s">
        <v>63</v>
      </c>
      <c r="E196" s="23" t="s">
        <v>500</v>
      </c>
      <c r="F196" s="13" t="str">
        <f t="array" ref="F196">INDEX(Turmas!D2:D106,MATCH(E196,Turmas!A2:A106,0))</f>
        <v>Tarde</v>
      </c>
      <c r="G196" s="14">
        <v>0.0</v>
      </c>
      <c r="H196" s="15">
        <v>3.0</v>
      </c>
      <c r="I196" s="15">
        <v>0.0</v>
      </c>
      <c r="J196" s="15">
        <v>2.0</v>
      </c>
      <c r="K196" s="15">
        <f t="shared" si="1"/>
        <v>1</v>
      </c>
      <c r="L196" s="16" t="str">
        <f t="shared" si="2"/>
        <v>1-6,13-16</v>
      </c>
      <c r="M196" s="16" t="str">
        <f t="shared" si="3"/>
        <v>1-6,13-16</v>
      </c>
      <c r="N196" s="16" t="str">
        <f t="shared" si="4"/>
        <v>1-6,13-16</v>
      </c>
      <c r="O196" s="16" t="str">
        <f t="shared" si="5"/>
        <v>1-6,13-16</v>
      </c>
      <c r="P196" s="16" t="str">
        <f t="shared" si="6"/>
        <v>1-6,13-16</v>
      </c>
      <c r="Q196" s="16" t="str">
        <f t="shared" si="7"/>
        <v>1-16</v>
      </c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9">
        <v>182330.0</v>
      </c>
      <c r="B197" s="9" t="s">
        <v>503</v>
      </c>
      <c r="C197" s="10" t="s">
        <v>504</v>
      </c>
      <c r="D197" s="11" t="s">
        <v>447</v>
      </c>
      <c r="E197" s="23" t="s">
        <v>500</v>
      </c>
      <c r="F197" s="13" t="str">
        <f t="array" ref="F197">INDEX(Turmas!D2:D106,MATCH(E197,Turmas!A2:A106,0))</f>
        <v>Tarde</v>
      </c>
      <c r="G197" s="14">
        <v>0.0</v>
      </c>
      <c r="H197" s="15">
        <v>2.0</v>
      </c>
      <c r="I197" s="15">
        <v>0.0</v>
      </c>
      <c r="J197" s="15">
        <v>2.0</v>
      </c>
      <c r="K197" s="15">
        <f t="shared" si="1"/>
        <v>1</v>
      </c>
      <c r="L197" s="16" t="str">
        <f t="shared" si="2"/>
        <v>1-6,13-16</v>
      </c>
      <c r="M197" s="16" t="str">
        <f t="shared" si="3"/>
        <v>1-6,13-16</v>
      </c>
      <c r="N197" s="16" t="str">
        <f t="shared" si="4"/>
        <v>1-6,13-16</v>
      </c>
      <c r="O197" s="16" t="str">
        <f t="shared" si="5"/>
        <v>1-6,13-16</v>
      </c>
      <c r="P197" s="16" t="str">
        <f t="shared" si="6"/>
        <v>1-6,13-16</v>
      </c>
      <c r="Q197" s="16" t="str">
        <f t="shared" si="7"/>
        <v>1-16</v>
      </c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">
        <v>182332.0</v>
      </c>
      <c r="B198" s="9" t="s">
        <v>505</v>
      </c>
      <c r="C198" s="10" t="s">
        <v>506</v>
      </c>
      <c r="D198" s="11" t="s">
        <v>252</v>
      </c>
      <c r="E198" s="23" t="s">
        <v>500</v>
      </c>
      <c r="F198" s="13" t="str">
        <f t="array" ref="F198">INDEX(Turmas!D2:D106,MATCH(E198,Turmas!A2:A106,0))</f>
        <v>Tarde</v>
      </c>
      <c r="G198" s="14">
        <v>0.0</v>
      </c>
      <c r="H198" s="15">
        <v>2.0</v>
      </c>
      <c r="I198" s="15">
        <v>0.0</v>
      </c>
      <c r="J198" s="15">
        <v>2.0</v>
      </c>
      <c r="K198" s="15">
        <f t="shared" si="1"/>
        <v>1</v>
      </c>
      <c r="L198" s="16" t="str">
        <f t="shared" si="2"/>
        <v>1-6,13-16</v>
      </c>
      <c r="M198" s="16" t="str">
        <f t="shared" si="3"/>
        <v>1-6,13-16</v>
      </c>
      <c r="N198" s="16" t="str">
        <f t="shared" si="4"/>
        <v>1-6,13-16</v>
      </c>
      <c r="O198" s="16" t="str">
        <f t="shared" si="5"/>
        <v>1-6,13-16</v>
      </c>
      <c r="P198" s="16" t="str">
        <f t="shared" si="6"/>
        <v>1-6,13-16</v>
      </c>
      <c r="Q198" s="16" t="str">
        <f t="shared" si="7"/>
        <v>1-16</v>
      </c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">
        <v>182333.0</v>
      </c>
      <c r="B199" s="9" t="s">
        <v>381</v>
      </c>
      <c r="C199" s="10" t="s">
        <v>209</v>
      </c>
      <c r="D199" s="11" t="s">
        <v>240</v>
      </c>
      <c r="E199" s="23" t="s">
        <v>500</v>
      </c>
      <c r="F199" s="13" t="str">
        <f t="array" ref="F199">INDEX(Turmas!D2:D106,MATCH(E199,Turmas!A2:A106,0))</f>
        <v>Tarde</v>
      </c>
      <c r="G199" s="14">
        <v>0.0</v>
      </c>
      <c r="H199" s="15">
        <v>3.0</v>
      </c>
      <c r="I199" s="15">
        <v>0.0</v>
      </c>
      <c r="J199" s="15">
        <v>2.0</v>
      </c>
      <c r="K199" s="15">
        <f t="shared" si="1"/>
        <v>1</v>
      </c>
      <c r="L199" s="16" t="str">
        <f t="shared" si="2"/>
        <v>1-6,13-16</v>
      </c>
      <c r="M199" s="16" t="str">
        <f t="shared" si="3"/>
        <v>1-6,13-16</v>
      </c>
      <c r="N199" s="16" t="str">
        <f t="shared" si="4"/>
        <v>1-6,13-16</v>
      </c>
      <c r="O199" s="16" t="str">
        <f t="shared" si="5"/>
        <v>1-6,13-16</v>
      </c>
      <c r="P199" s="16" t="str">
        <f t="shared" si="6"/>
        <v>1-6,13-16</v>
      </c>
      <c r="Q199" s="16" t="str">
        <f t="shared" si="7"/>
        <v>1-16</v>
      </c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">
        <v>182334.0</v>
      </c>
      <c r="B200" s="9" t="s">
        <v>382</v>
      </c>
      <c r="C200" s="10" t="s">
        <v>383</v>
      </c>
      <c r="D200" s="11" t="s">
        <v>452</v>
      </c>
      <c r="E200" s="23" t="s">
        <v>500</v>
      </c>
      <c r="F200" s="13" t="str">
        <f t="array" ref="F200">INDEX(Turmas!D2:D106,MATCH(E200,Turmas!A2:A106,0))</f>
        <v>Tarde</v>
      </c>
      <c r="G200" s="14">
        <v>0.0</v>
      </c>
      <c r="H200" s="15">
        <v>2.0</v>
      </c>
      <c r="I200" s="15">
        <v>0.0</v>
      </c>
      <c r="J200" s="15">
        <v>2.0</v>
      </c>
      <c r="K200" s="15">
        <f t="shared" si="1"/>
        <v>1</v>
      </c>
      <c r="L200" s="16" t="str">
        <f t="shared" si="2"/>
        <v>1-6,13-16</v>
      </c>
      <c r="M200" s="16" t="str">
        <f t="shared" si="3"/>
        <v>1-6,13-16</v>
      </c>
      <c r="N200" s="16" t="str">
        <f t="shared" si="4"/>
        <v>1-6,13-16</v>
      </c>
      <c r="O200" s="16" t="str">
        <f t="shared" si="5"/>
        <v>1-6,13-16</v>
      </c>
      <c r="P200" s="16" t="str">
        <f t="shared" si="6"/>
        <v>1-6,13-16</v>
      </c>
      <c r="Q200" s="16" t="str">
        <f t="shared" si="7"/>
        <v>1-16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">
        <v>182335.0</v>
      </c>
      <c r="B201" s="9" t="s">
        <v>507</v>
      </c>
      <c r="C201" s="10" t="s">
        <v>508</v>
      </c>
      <c r="D201" s="11" t="s">
        <v>240</v>
      </c>
      <c r="E201" s="23" t="s">
        <v>500</v>
      </c>
      <c r="F201" s="13" t="str">
        <f t="array" ref="F201">INDEX(Turmas!D2:D106,MATCH(E201,Turmas!A2:A106,0))</f>
        <v>Tarde</v>
      </c>
      <c r="G201" s="14">
        <v>0.0</v>
      </c>
      <c r="H201" s="15">
        <v>4.0</v>
      </c>
      <c r="I201" s="15">
        <v>0.0</v>
      </c>
      <c r="J201" s="15">
        <v>2.0</v>
      </c>
      <c r="K201" s="15">
        <f t="shared" si="1"/>
        <v>2</v>
      </c>
      <c r="L201" s="16" t="str">
        <f t="shared" si="2"/>
        <v>1-6,13-16</v>
      </c>
      <c r="M201" s="16" t="str">
        <f t="shared" si="3"/>
        <v>1-6,13-16</v>
      </c>
      <c r="N201" s="16" t="str">
        <f t="shared" si="4"/>
        <v>1-6,13-16</v>
      </c>
      <c r="O201" s="16" t="str">
        <f t="shared" si="5"/>
        <v>1-6,13-16</v>
      </c>
      <c r="P201" s="16" t="str">
        <f t="shared" si="6"/>
        <v>1-6,13-16</v>
      </c>
      <c r="Q201" s="16" t="str">
        <f t="shared" si="7"/>
        <v>1-16</v>
      </c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">
        <v>182336.0</v>
      </c>
      <c r="B202" s="9" t="s">
        <v>509</v>
      </c>
      <c r="C202" s="10" t="s">
        <v>232</v>
      </c>
      <c r="D202" s="11" t="s">
        <v>376</v>
      </c>
      <c r="E202" s="23" t="s">
        <v>510</v>
      </c>
      <c r="F202" s="13" t="str">
        <f t="array" ref="F202">INDEX(Turmas!D2:D106,MATCH(E202,Turmas!A2:A106,0))</f>
        <v>Manhã</v>
      </c>
      <c r="G202" s="14">
        <v>0.0</v>
      </c>
      <c r="H202" s="15">
        <v>2.0</v>
      </c>
      <c r="I202" s="15">
        <v>0.0</v>
      </c>
      <c r="J202" s="15">
        <v>2.0</v>
      </c>
      <c r="K202" s="15">
        <f t="shared" si="1"/>
        <v>1</v>
      </c>
      <c r="L202" s="16" t="str">
        <f t="shared" si="2"/>
        <v>7-16</v>
      </c>
      <c r="M202" s="16" t="str">
        <f t="shared" si="3"/>
        <v>7-16</v>
      </c>
      <c r="N202" s="16" t="str">
        <f t="shared" si="4"/>
        <v>7-16</v>
      </c>
      <c r="O202" s="16" t="str">
        <f t="shared" si="5"/>
        <v>7-16</v>
      </c>
      <c r="P202" s="16" t="str">
        <f t="shared" si="6"/>
        <v>7-16</v>
      </c>
      <c r="Q202" s="16" t="str">
        <f t="shared" si="7"/>
        <v>1-16</v>
      </c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">
        <v>182337.0</v>
      </c>
      <c r="B203" s="9" t="s">
        <v>511</v>
      </c>
      <c r="C203" s="10" t="s">
        <v>512</v>
      </c>
      <c r="D203" s="11" t="s">
        <v>513</v>
      </c>
      <c r="E203" s="23" t="s">
        <v>510</v>
      </c>
      <c r="F203" s="13" t="str">
        <f t="array" ref="F203">INDEX(Turmas!D2:D106,MATCH(E203,Turmas!A2:A106,0))</f>
        <v>Manhã</v>
      </c>
      <c r="G203" s="14">
        <v>0.0</v>
      </c>
      <c r="H203" s="15">
        <v>3.0</v>
      </c>
      <c r="I203" s="15">
        <v>0.0</v>
      </c>
      <c r="J203" s="15">
        <v>2.0</v>
      </c>
      <c r="K203" s="15">
        <f t="shared" si="1"/>
        <v>1</v>
      </c>
      <c r="L203" s="16" t="str">
        <f t="shared" si="2"/>
        <v>7-16</v>
      </c>
      <c r="M203" s="16" t="str">
        <f t="shared" si="3"/>
        <v>7-16</v>
      </c>
      <c r="N203" s="16" t="str">
        <f t="shared" si="4"/>
        <v>7-16</v>
      </c>
      <c r="O203" s="16" t="str">
        <f t="shared" si="5"/>
        <v>7-16</v>
      </c>
      <c r="P203" s="16" t="str">
        <f t="shared" si="6"/>
        <v>7-16</v>
      </c>
      <c r="Q203" s="16" t="str">
        <f t="shared" si="7"/>
        <v>1-16</v>
      </c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">
        <v>182338.0</v>
      </c>
      <c r="B204" s="9" t="s">
        <v>459</v>
      </c>
      <c r="C204" s="10" t="s">
        <v>460</v>
      </c>
      <c r="D204" s="11" t="s">
        <v>323</v>
      </c>
      <c r="E204" s="23" t="s">
        <v>510</v>
      </c>
      <c r="F204" s="13" t="str">
        <f t="array" ref="F204">INDEX(Turmas!D2:D106,MATCH(E204,Turmas!A2:A106,0))</f>
        <v>Manhã</v>
      </c>
      <c r="G204" s="14">
        <v>0.0</v>
      </c>
      <c r="H204" s="15">
        <v>2.0</v>
      </c>
      <c r="I204" s="15">
        <v>0.0</v>
      </c>
      <c r="J204" s="15">
        <v>2.0</v>
      </c>
      <c r="K204" s="15">
        <f t="shared" si="1"/>
        <v>1</v>
      </c>
      <c r="L204" s="16" t="str">
        <f t="shared" si="2"/>
        <v>7-16</v>
      </c>
      <c r="M204" s="16" t="str">
        <f t="shared" si="3"/>
        <v>7-16</v>
      </c>
      <c r="N204" s="16" t="str">
        <f t="shared" si="4"/>
        <v>7-16</v>
      </c>
      <c r="O204" s="16" t="str">
        <f t="shared" si="5"/>
        <v>7-16</v>
      </c>
      <c r="P204" s="16" t="str">
        <f t="shared" si="6"/>
        <v>7-16</v>
      </c>
      <c r="Q204" s="16" t="str">
        <f t="shared" si="7"/>
        <v>1-16</v>
      </c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">
        <v>182340.0</v>
      </c>
      <c r="B205" s="9" t="s">
        <v>514</v>
      </c>
      <c r="C205" s="10" t="s">
        <v>515</v>
      </c>
      <c r="D205" s="11" t="s">
        <v>279</v>
      </c>
      <c r="E205" s="23" t="s">
        <v>510</v>
      </c>
      <c r="F205" s="13" t="str">
        <f t="array" ref="F205">INDEX(Turmas!D2:D106,MATCH(E205,Turmas!A2:A106,0))</f>
        <v>Manhã</v>
      </c>
      <c r="G205" s="14">
        <v>0.0</v>
      </c>
      <c r="H205" s="15">
        <v>3.0</v>
      </c>
      <c r="I205" s="15">
        <v>0.0</v>
      </c>
      <c r="J205" s="15">
        <v>2.0</v>
      </c>
      <c r="K205" s="15">
        <f t="shared" si="1"/>
        <v>1</v>
      </c>
      <c r="L205" s="16" t="str">
        <f t="shared" si="2"/>
        <v>7-16</v>
      </c>
      <c r="M205" s="16" t="str">
        <f t="shared" si="3"/>
        <v>7-16</v>
      </c>
      <c r="N205" s="16" t="str">
        <f t="shared" si="4"/>
        <v>7-16</v>
      </c>
      <c r="O205" s="16" t="str">
        <f t="shared" si="5"/>
        <v>7-16</v>
      </c>
      <c r="P205" s="16" t="str">
        <f t="shared" si="6"/>
        <v>7-16</v>
      </c>
      <c r="Q205" s="16" t="str">
        <f t="shared" si="7"/>
        <v>1-16</v>
      </c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">
        <v>182341.0</v>
      </c>
      <c r="B206" s="9" t="s">
        <v>516</v>
      </c>
      <c r="C206" s="10" t="s">
        <v>465</v>
      </c>
      <c r="D206" s="11" t="s">
        <v>466</v>
      </c>
      <c r="E206" s="12" t="s">
        <v>510</v>
      </c>
      <c r="F206" s="13" t="str">
        <f t="array" ref="F206">INDEX(Turmas!D2:D106,MATCH(E206,Turmas!A2:A106,0))</f>
        <v>Manhã</v>
      </c>
      <c r="G206" s="14">
        <v>0.0</v>
      </c>
      <c r="H206" s="15">
        <v>3.0</v>
      </c>
      <c r="I206" s="15">
        <v>0.0</v>
      </c>
      <c r="J206" s="15">
        <v>2.0</v>
      </c>
      <c r="K206" s="15">
        <f t="shared" si="1"/>
        <v>1</v>
      </c>
      <c r="L206" s="16" t="str">
        <f t="shared" si="2"/>
        <v>7-16</v>
      </c>
      <c r="M206" s="16" t="str">
        <f t="shared" si="3"/>
        <v>7-16</v>
      </c>
      <c r="N206" s="16" t="str">
        <f t="shared" si="4"/>
        <v>7-16</v>
      </c>
      <c r="O206" s="16" t="str">
        <f t="shared" si="5"/>
        <v>7-16</v>
      </c>
      <c r="P206" s="16" t="str">
        <f t="shared" si="6"/>
        <v>7-16</v>
      </c>
      <c r="Q206" s="16" t="str">
        <f t="shared" si="7"/>
        <v>1-16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">
        <v>182342.0</v>
      </c>
      <c r="B207" s="9" t="s">
        <v>517</v>
      </c>
      <c r="C207" s="10" t="s">
        <v>518</v>
      </c>
      <c r="D207" s="11" t="s">
        <v>469</v>
      </c>
      <c r="E207" s="12" t="s">
        <v>519</v>
      </c>
      <c r="F207" s="13" t="str">
        <f t="array" ref="F207">INDEX(Turmas!D2:D106,MATCH(E207,Turmas!A2:A106,0))</f>
        <v>Tarde</v>
      </c>
      <c r="G207" s="14">
        <v>0.0</v>
      </c>
      <c r="H207" s="15">
        <v>3.0</v>
      </c>
      <c r="I207" s="15">
        <v>0.0</v>
      </c>
      <c r="J207" s="15">
        <v>2.0</v>
      </c>
      <c r="K207" s="15">
        <f t="shared" si="1"/>
        <v>1</v>
      </c>
      <c r="L207" s="16" t="str">
        <f t="shared" si="2"/>
        <v>1-6,13-16</v>
      </c>
      <c r="M207" s="16" t="str">
        <f t="shared" si="3"/>
        <v>1-6,13-16</v>
      </c>
      <c r="N207" s="16" t="str">
        <f t="shared" si="4"/>
        <v>1-6,13-16</v>
      </c>
      <c r="O207" s="16" t="str">
        <f t="shared" si="5"/>
        <v>1-6,13-16</v>
      </c>
      <c r="P207" s="16" t="str">
        <f t="shared" si="6"/>
        <v>1-6,13-16</v>
      </c>
      <c r="Q207" s="16" t="str">
        <f t="shared" si="7"/>
        <v>1-16</v>
      </c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">
        <v>182343.0</v>
      </c>
      <c r="B208" s="9" t="s">
        <v>520</v>
      </c>
      <c r="C208" s="10" t="s">
        <v>521</v>
      </c>
      <c r="D208" s="11" t="s">
        <v>300</v>
      </c>
      <c r="E208" s="12" t="s">
        <v>519</v>
      </c>
      <c r="F208" s="13" t="str">
        <f t="array" ref="F208">INDEX(Turmas!D2:D106,MATCH(E208,Turmas!A2:A106,0))</f>
        <v>Tarde</v>
      </c>
      <c r="G208" s="14">
        <v>0.0</v>
      </c>
      <c r="H208" s="15">
        <v>2.0</v>
      </c>
      <c r="I208" s="15">
        <v>0.0</v>
      </c>
      <c r="J208" s="15">
        <v>2.0</v>
      </c>
      <c r="K208" s="15">
        <f t="shared" si="1"/>
        <v>1</v>
      </c>
      <c r="L208" s="16" t="str">
        <f t="shared" si="2"/>
        <v>1-6,13-16</v>
      </c>
      <c r="M208" s="16" t="str">
        <f t="shared" si="3"/>
        <v>1-6,13-16</v>
      </c>
      <c r="N208" s="16" t="str">
        <f t="shared" si="4"/>
        <v>1-6,13-16</v>
      </c>
      <c r="O208" s="16" t="str">
        <f t="shared" si="5"/>
        <v>1-6,13-16</v>
      </c>
      <c r="P208" s="16" t="str">
        <f t="shared" si="6"/>
        <v>1-6,13-16</v>
      </c>
      <c r="Q208" s="16" t="str">
        <f t="shared" si="7"/>
        <v>1-16</v>
      </c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">
        <v>182344.0</v>
      </c>
      <c r="B209" s="9" t="s">
        <v>522</v>
      </c>
      <c r="C209" s="10" t="s">
        <v>489</v>
      </c>
      <c r="D209" s="11" t="s">
        <v>323</v>
      </c>
      <c r="E209" s="12" t="s">
        <v>519</v>
      </c>
      <c r="F209" s="13" t="str">
        <f t="array" ref="F209">INDEX(Turmas!D2:D106,MATCH(E209,Turmas!A2:A106,0))</f>
        <v>Tarde</v>
      </c>
      <c r="G209" s="14">
        <v>0.0</v>
      </c>
      <c r="H209" s="15">
        <v>2.0</v>
      </c>
      <c r="I209" s="15">
        <v>0.0</v>
      </c>
      <c r="J209" s="15">
        <v>2.0</v>
      </c>
      <c r="K209" s="15">
        <f t="shared" si="1"/>
        <v>1</v>
      </c>
      <c r="L209" s="16" t="str">
        <f t="shared" si="2"/>
        <v>1-6,13-16</v>
      </c>
      <c r="M209" s="16" t="str">
        <f t="shared" si="3"/>
        <v>1-6,13-16</v>
      </c>
      <c r="N209" s="16" t="str">
        <f t="shared" si="4"/>
        <v>1-6,13-16</v>
      </c>
      <c r="O209" s="16" t="str">
        <f t="shared" si="5"/>
        <v>1-6,13-16</v>
      </c>
      <c r="P209" s="16" t="str">
        <f t="shared" si="6"/>
        <v>1-6,13-16</v>
      </c>
      <c r="Q209" s="16" t="str">
        <f t="shared" si="7"/>
        <v>1-16</v>
      </c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">
        <v>182345.0</v>
      </c>
      <c r="B210" s="9" t="s">
        <v>494</v>
      </c>
      <c r="C210" s="10" t="s">
        <v>495</v>
      </c>
      <c r="D210" s="11" t="s">
        <v>496</v>
      </c>
      <c r="E210" s="12" t="s">
        <v>519</v>
      </c>
      <c r="F210" s="13" t="str">
        <f t="array" ref="F210">INDEX(Turmas!D2:D106,MATCH(E210,Turmas!A2:A106,0))</f>
        <v>Tarde</v>
      </c>
      <c r="G210" s="14">
        <v>0.0</v>
      </c>
      <c r="H210" s="15">
        <v>2.0</v>
      </c>
      <c r="I210" s="15">
        <v>0.0</v>
      </c>
      <c r="J210" s="15">
        <v>2.0</v>
      </c>
      <c r="K210" s="15">
        <f t="shared" si="1"/>
        <v>1</v>
      </c>
      <c r="L210" s="16" t="str">
        <f t="shared" si="2"/>
        <v>1-6,13-16</v>
      </c>
      <c r="M210" s="16" t="str">
        <f t="shared" si="3"/>
        <v>1-6,13-16</v>
      </c>
      <c r="N210" s="16" t="str">
        <f t="shared" si="4"/>
        <v>1-6,13-16</v>
      </c>
      <c r="O210" s="16" t="str">
        <f t="shared" si="5"/>
        <v>1-6,13-16</v>
      </c>
      <c r="P210" s="16" t="str">
        <f t="shared" si="6"/>
        <v>1-6,13-16</v>
      </c>
      <c r="Q210" s="16" t="str">
        <f t="shared" si="7"/>
        <v>1-16</v>
      </c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">
        <v>182346.0</v>
      </c>
      <c r="B211" s="9" t="s">
        <v>523</v>
      </c>
      <c r="C211" s="10" t="s">
        <v>524</v>
      </c>
      <c r="D211" s="11" t="s">
        <v>525</v>
      </c>
      <c r="E211" s="12" t="s">
        <v>519</v>
      </c>
      <c r="F211" s="13" t="str">
        <f t="array" ref="F211">INDEX(Turmas!D2:D106,MATCH(E211,Turmas!A2:A106,0))</f>
        <v>Tarde</v>
      </c>
      <c r="G211" s="14">
        <v>0.0</v>
      </c>
      <c r="H211" s="15">
        <v>3.0</v>
      </c>
      <c r="I211" s="15">
        <v>0.0</v>
      </c>
      <c r="J211" s="15">
        <v>2.0</v>
      </c>
      <c r="K211" s="15">
        <f t="shared" si="1"/>
        <v>1</v>
      </c>
      <c r="L211" s="16" t="str">
        <f t="shared" si="2"/>
        <v>1-6,13-16</v>
      </c>
      <c r="M211" s="16" t="str">
        <f t="shared" si="3"/>
        <v>1-6,13-16</v>
      </c>
      <c r="N211" s="16" t="str">
        <f t="shared" si="4"/>
        <v>1-6,13-16</v>
      </c>
      <c r="O211" s="16" t="str">
        <f t="shared" si="5"/>
        <v>1-6,13-16</v>
      </c>
      <c r="P211" s="16" t="str">
        <f t="shared" si="6"/>
        <v>1-6,13-16</v>
      </c>
      <c r="Q211" s="16" t="str">
        <f t="shared" si="7"/>
        <v>1-16</v>
      </c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">
        <v>182347.0</v>
      </c>
      <c r="B212" s="9" t="s">
        <v>526</v>
      </c>
      <c r="C212" s="10" t="s">
        <v>527</v>
      </c>
      <c r="D212" s="11" t="s">
        <v>513</v>
      </c>
      <c r="E212" s="12" t="s">
        <v>519</v>
      </c>
      <c r="F212" s="13" t="str">
        <f t="array" ref="F212">INDEX(Turmas!D2:D106,MATCH(E212,Turmas!A2:A106,0))</f>
        <v>Tarde</v>
      </c>
      <c r="G212" s="14">
        <v>0.0</v>
      </c>
      <c r="H212" s="15">
        <v>2.0</v>
      </c>
      <c r="I212" s="15">
        <v>0.0</v>
      </c>
      <c r="J212" s="15">
        <v>2.0</v>
      </c>
      <c r="K212" s="15">
        <f t="shared" si="1"/>
        <v>1</v>
      </c>
      <c r="L212" s="16" t="str">
        <f t="shared" si="2"/>
        <v>1-6,13-16</v>
      </c>
      <c r="M212" s="16" t="str">
        <f t="shared" si="3"/>
        <v>1-6,13-16</v>
      </c>
      <c r="N212" s="16" t="str">
        <f t="shared" si="4"/>
        <v>1-6,13-16</v>
      </c>
      <c r="O212" s="16" t="str">
        <f t="shared" si="5"/>
        <v>1-6,13-16</v>
      </c>
      <c r="P212" s="16" t="str">
        <f t="shared" si="6"/>
        <v>1-6,13-16</v>
      </c>
      <c r="Q212" s="16" t="str">
        <f t="shared" si="7"/>
        <v>1-16</v>
      </c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">
        <v>182348.0</v>
      </c>
      <c r="B213" s="9" t="s">
        <v>528</v>
      </c>
      <c r="C213" s="10" t="s">
        <v>529</v>
      </c>
      <c r="D213" s="11" t="s">
        <v>227</v>
      </c>
      <c r="E213" s="12" t="s">
        <v>519</v>
      </c>
      <c r="F213" s="13" t="str">
        <f t="array" ref="F213">INDEX(Turmas!D2:D106,MATCH(E213,Turmas!A2:A106,0))</f>
        <v>Tarde</v>
      </c>
      <c r="G213" s="14">
        <v>0.0</v>
      </c>
      <c r="H213" s="15">
        <v>3.0</v>
      </c>
      <c r="I213" s="15">
        <v>0.0</v>
      </c>
      <c r="J213" s="15">
        <v>2.0</v>
      </c>
      <c r="K213" s="15">
        <f t="shared" si="1"/>
        <v>1</v>
      </c>
      <c r="L213" s="16" t="str">
        <f t="shared" si="2"/>
        <v>1-6,13-16</v>
      </c>
      <c r="M213" s="16" t="str">
        <f t="shared" si="3"/>
        <v>1-6,13-16</v>
      </c>
      <c r="N213" s="16" t="str">
        <f t="shared" si="4"/>
        <v>1-6,13-16</v>
      </c>
      <c r="O213" s="16" t="str">
        <f t="shared" si="5"/>
        <v>1-6,13-16</v>
      </c>
      <c r="P213" s="16" t="str">
        <f t="shared" si="6"/>
        <v>1-6,13-16</v>
      </c>
      <c r="Q213" s="16" t="str">
        <f t="shared" si="7"/>
        <v>1-16</v>
      </c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">
        <v>182349.0</v>
      </c>
      <c r="B214" s="9" t="s">
        <v>530</v>
      </c>
      <c r="C214" s="10" t="s">
        <v>531</v>
      </c>
      <c r="D214" s="11" t="s">
        <v>490</v>
      </c>
      <c r="E214" s="12" t="s">
        <v>519</v>
      </c>
      <c r="F214" s="13" t="str">
        <f t="array" ref="F214">INDEX(Turmas!D2:D106,MATCH(E214,Turmas!A2:A106,0))</f>
        <v>Tarde</v>
      </c>
      <c r="G214" s="14">
        <v>0.0</v>
      </c>
      <c r="H214" s="15">
        <v>4.0</v>
      </c>
      <c r="I214" s="15">
        <v>0.0</v>
      </c>
      <c r="J214" s="15">
        <v>4.0</v>
      </c>
      <c r="K214" s="15">
        <f t="shared" si="1"/>
        <v>1</v>
      </c>
      <c r="L214" s="16" t="str">
        <f t="shared" si="2"/>
        <v>1-6,13-16</v>
      </c>
      <c r="M214" s="16" t="str">
        <f t="shared" si="3"/>
        <v>1-6,13-16</v>
      </c>
      <c r="N214" s="16" t="str">
        <f t="shared" si="4"/>
        <v>1-6,13-16</v>
      </c>
      <c r="O214" s="16" t="str">
        <f t="shared" si="5"/>
        <v>1-6,13-16</v>
      </c>
      <c r="P214" s="16" t="str">
        <f t="shared" si="6"/>
        <v>1-6,13-16</v>
      </c>
      <c r="Q214" s="16" t="str">
        <f t="shared" si="7"/>
        <v>1-16</v>
      </c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">
        <v>182350.0</v>
      </c>
      <c r="B215" s="9" t="s">
        <v>532</v>
      </c>
      <c r="C215" s="10" t="s">
        <v>533</v>
      </c>
      <c r="D215" s="11" t="s">
        <v>534</v>
      </c>
      <c r="E215" s="12" t="s">
        <v>535</v>
      </c>
      <c r="F215" s="13" t="str">
        <f t="array" ref="F215">INDEX(Turmas!D2:D106,MATCH(E215,Turmas!A2:A106,0))</f>
        <v>Manhã</v>
      </c>
      <c r="G215" s="14">
        <v>23.0</v>
      </c>
      <c r="H215" s="15">
        <v>3.0</v>
      </c>
      <c r="I215" s="15">
        <v>0.0</v>
      </c>
      <c r="J215" s="15">
        <v>2.0</v>
      </c>
      <c r="K215" s="15">
        <f t="shared" si="1"/>
        <v>1</v>
      </c>
      <c r="L215" s="16" t="str">
        <f t="shared" si="2"/>
        <v>7-16</v>
      </c>
      <c r="M215" s="16" t="str">
        <f t="shared" si="3"/>
        <v>7-16</v>
      </c>
      <c r="N215" s="16" t="str">
        <f t="shared" si="4"/>
        <v>7-16</v>
      </c>
      <c r="O215" s="16" t="str">
        <f t="shared" si="5"/>
        <v>7-16</v>
      </c>
      <c r="P215" s="16" t="str">
        <f t="shared" si="6"/>
        <v>7-16</v>
      </c>
      <c r="Q215" s="16" t="str">
        <f t="shared" si="7"/>
        <v>1-16</v>
      </c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">
        <v>182351.0</v>
      </c>
      <c r="B216" s="9" t="s">
        <v>486</v>
      </c>
      <c r="C216" s="10" t="s">
        <v>487</v>
      </c>
      <c r="D216" s="11" t="s">
        <v>19</v>
      </c>
      <c r="E216" s="12" t="s">
        <v>535</v>
      </c>
      <c r="F216" s="13" t="str">
        <f t="array" ref="F216">INDEX(Turmas!D2:D106,MATCH(E216,Turmas!A2:A106,0))</f>
        <v>Manhã</v>
      </c>
      <c r="G216" s="14">
        <v>0.0</v>
      </c>
      <c r="H216" s="15">
        <v>3.0</v>
      </c>
      <c r="I216" s="15">
        <v>0.0</v>
      </c>
      <c r="J216" s="15">
        <v>2.0</v>
      </c>
      <c r="K216" s="15">
        <f t="shared" si="1"/>
        <v>1</v>
      </c>
      <c r="L216" s="16" t="str">
        <f t="shared" si="2"/>
        <v>7-16</v>
      </c>
      <c r="M216" s="16" t="str">
        <f t="shared" si="3"/>
        <v>7-16</v>
      </c>
      <c r="N216" s="16" t="str">
        <f t="shared" si="4"/>
        <v>7-16</v>
      </c>
      <c r="O216" s="16" t="str">
        <f t="shared" si="5"/>
        <v>7-16</v>
      </c>
      <c r="P216" s="16" t="str">
        <f t="shared" si="6"/>
        <v>7-16</v>
      </c>
      <c r="Q216" s="16" t="str">
        <f t="shared" si="7"/>
        <v>1-16</v>
      </c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">
        <v>182352.0</v>
      </c>
      <c r="B217" s="9" t="s">
        <v>536</v>
      </c>
      <c r="C217" s="10" t="s">
        <v>537</v>
      </c>
      <c r="D217" s="11" t="s">
        <v>469</v>
      </c>
      <c r="E217" s="12" t="s">
        <v>535</v>
      </c>
      <c r="F217" s="13" t="str">
        <f t="array" ref="F217">INDEX(Turmas!D2:D106,MATCH(E217,Turmas!A2:A106,0))</f>
        <v>Manhã</v>
      </c>
      <c r="G217" s="14">
        <v>0.0</v>
      </c>
      <c r="H217" s="15">
        <v>2.0</v>
      </c>
      <c r="I217" s="15">
        <v>0.0</v>
      </c>
      <c r="J217" s="15">
        <v>2.0</v>
      </c>
      <c r="K217" s="15">
        <f t="shared" si="1"/>
        <v>1</v>
      </c>
      <c r="L217" s="16" t="str">
        <f t="shared" si="2"/>
        <v>7-16</v>
      </c>
      <c r="M217" s="16" t="str">
        <f t="shared" si="3"/>
        <v>7-16</v>
      </c>
      <c r="N217" s="16" t="str">
        <f t="shared" si="4"/>
        <v>7-16</v>
      </c>
      <c r="O217" s="16" t="str">
        <f t="shared" si="5"/>
        <v>7-16</v>
      </c>
      <c r="P217" s="16" t="str">
        <f t="shared" si="6"/>
        <v>7-16</v>
      </c>
      <c r="Q217" s="16" t="str">
        <f t="shared" si="7"/>
        <v>1-16</v>
      </c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">
        <v>182353.0</v>
      </c>
      <c r="B218" s="9" t="s">
        <v>538</v>
      </c>
      <c r="C218" s="10" t="s">
        <v>539</v>
      </c>
      <c r="D218" s="11" t="s">
        <v>540</v>
      </c>
      <c r="E218" s="12" t="s">
        <v>535</v>
      </c>
      <c r="F218" s="13" t="str">
        <f t="array" ref="F218">INDEX(Turmas!D2:D106,MATCH(E218,Turmas!A2:A106,0))</f>
        <v>Manhã</v>
      </c>
      <c r="G218" s="14">
        <v>0.0</v>
      </c>
      <c r="H218" s="15">
        <v>4.0</v>
      </c>
      <c r="I218" s="15">
        <v>0.0</v>
      </c>
      <c r="J218" s="15">
        <v>4.0</v>
      </c>
      <c r="K218" s="15">
        <f t="shared" si="1"/>
        <v>1</v>
      </c>
      <c r="L218" s="16" t="str">
        <f t="shared" si="2"/>
        <v>7-16</v>
      </c>
      <c r="M218" s="16" t="str">
        <f t="shared" si="3"/>
        <v>7-16</v>
      </c>
      <c r="N218" s="16" t="str">
        <f t="shared" si="4"/>
        <v>7-16</v>
      </c>
      <c r="O218" s="16" t="str">
        <f t="shared" si="5"/>
        <v>7-16</v>
      </c>
      <c r="P218" s="16" t="str">
        <f t="shared" si="6"/>
        <v>7-16</v>
      </c>
      <c r="Q218" s="16" t="str">
        <f t="shared" si="7"/>
        <v>1-16</v>
      </c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">
        <v>182354.0</v>
      </c>
      <c r="B219" s="9" t="s">
        <v>541</v>
      </c>
      <c r="C219" s="10" t="s">
        <v>542</v>
      </c>
      <c r="D219" s="11" t="s">
        <v>543</v>
      </c>
      <c r="E219" s="12" t="s">
        <v>535</v>
      </c>
      <c r="F219" s="13" t="str">
        <f t="array" ref="F219">INDEX(Turmas!D2:D106,MATCH(E219,Turmas!A2:A106,0))</f>
        <v>Manhã</v>
      </c>
      <c r="G219" s="14">
        <v>0.0</v>
      </c>
      <c r="H219" s="15">
        <v>3.0</v>
      </c>
      <c r="I219" s="15">
        <v>0.0</v>
      </c>
      <c r="J219" s="15">
        <v>2.0</v>
      </c>
      <c r="K219" s="15">
        <f t="shared" si="1"/>
        <v>1</v>
      </c>
      <c r="L219" s="16" t="str">
        <f t="shared" si="2"/>
        <v>7-16</v>
      </c>
      <c r="M219" s="16" t="str">
        <f t="shared" si="3"/>
        <v>7-16</v>
      </c>
      <c r="N219" s="16" t="str">
        <f t="shared" si="4"/>
        <v>7-16</v>
      </c>
      <c r="O219" s="16" t="str">
        <f t="shared" si="5"/>
        <v>7-16</v>
      </c>
      <c r="P219" s="16" t="str">
        <f t="shared" si="6"/>
        <v>7-16</v>
      </c>
      <c r="Q219" s="16" t="str">
        <f t="shared" si="7"/>
        <v>1-16</v>
      </c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">
        <v>182355.0</v>
      </c>
      <c r="B220" s="9" t="s">
        <v>544</v>
      </c>
      <c r="C220" s="10" t="s">
        <v>545</v>
      </c>
      <c r="D220" s="11" t="s">
        <v>233</v>
      </c>
      <c r="E220" s="12" t="s">
        <v>546</v>
      </c>
      <c r="F220" s="13" t="str">
        <f t="array" ref="F220">INDEX(Turmas!D2:D106,MATCH(E220,Turmas!A2:A106,0))</f>
        <v>Tarde</v>
      </c>
      <c r="G220" s="14">
        <v>0.0</v>
      </c>
      <c r="H220" s="15">
        <v>4.0</v>
      </c>
      <c r="I220" s="15">
        <v>0.0</v>
      </c>
      <c r="J220" s="15">
        <v>2.0</v>
      </c>
      <c r="K220" s="15">
        <f t="shared" si="1"/>
        <v>2</v>
      </c>
      <c r="L220" s="16" t="str">
        <f t="shared" si="2"/>
        <v>1-6,13-16</v>
      </c>
      <c r="M220" s="16" t="str">
        <f t="shared" si="3"/>
        <v>1-6,13-16</v>
      </c>
      <c r="N220" s="16" t="str">
        <f t="shared" si="4"/>
        <v>1-6,13-16</v>
      </c>
      <c r="O220" s="16" t="str">
        <f t="shared" si="5"/>
        <v>1-6,13-16</v>
      </c>
      <c r="P220" s="16" t="str">
        <f t="shared" si="6"/>
        <v>1-6,13-16</v>
      </c>
      <c r="Q220" s="16" t="str">
        <f t="shared" si="7"/>
        <v>1-16</v>
      </c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">
        <v>183865.0</v>
      </c>
      <c r="B221" s="9" t="s">
        <v>547</v>
      </c>
      <c r="C221" s="10" t="s">
        <v>548</v>
      </c>
      <c r="D221" s="11" t="s">
        <v>549</v>
      </c>
      <c r="E221" s="12" t="s">
        <v>546</v>
      </c>
      <c r="F221" s="13" t="str">
        <f t="array" ref="F221">INDEX(Turmas!D2:D106,MATCH(E221,Turmas!A2:A106,0))</f>
        <v>Tarde</v>
      </c>
      <c r="G221" s="14">
        <v>0.0</v>
      </c>
      <c r="H221" s="15">
        <v>2.0</v>
      </c>
      <c r="I221" s="15">
        <v>0.0</v>
      </c>
      <c r="J221" s="15">
        <v>2.0</v>
      </c>
      <c r="K221" s="15">
        <f t="shared" si="1"/>
        <v>1</v>
      </c>
      <c r="L221" s="16" t="str">
        <f t="shared" si="2"/>
        <v>1-6,13-16</v>
      </c>
      <c r="M221" s="16" t="str">
        <f t="shared" si="3"/>
        <v>1-6,13-16</v>
      </c>
      <c r="N221" s="16" t="str">
        <f t="shared" si="4"/>
        <v>1-6,13-16</v>
      </c>
      <c r="O221" s="16" t="str">
        <f t="shared" si="5"/>
        <v>1-6,13-16</v>
      </c>
      <c r="P221" s="16" t="str">
        <f t="shared" si="6"/>
        <v>1-6,13-16</v>
      </c>
      <c r="Q221" s="16" t="str">
        <f t="shared" si="7"/>
        <v>1-16</v>
      </c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">
        <v>183863.0</v>
      </c>
      <c r="B222" s="9" t="s">
        <v>550</v>
      </c>
      <c r="C222" s="10" t="s">
        <v>551</v>
      </c>
      <c r="D222" s="11" t="s">
        <v>552</v>
      </c>
      <c r="E222" s="12" t="s">
        <v>546</v>
      </c>
      <c r="F222" s="13" t="str">
        <f t="array" ref="F222">INDEX(Turmas!D2:D106,MATCH(E222,Turmas!A2:A106,0))</f>
        <v>Tarde</v>
      </c>
      <c r="G222" s="14">
        <v>0.0</v>
      </c>
      <c r="H222" s="15">
        <v>2.0</v>
      </c>
      <c r="I222" s="15">
        <v>0.0</v>
      </c>
      <c r="J222" s="15">
        <v>2.0</v>
      </c>
      <c r="K222" s="15">
        <f t="shared" si="1"/>
        <v>1</v>
      </c>
      <c r="L222" s="16" t="str">
        <f t="shared" si="2"/>
        <v>1-6,13-16</v>
      </c>
      <c r="M222" s="16" t="str">
        <f t="shared" si="3"/>
        <v>1-6,13-16</v>
      </c>
      <c r="N222" s="16" t="str">
        <f t="shared" si="4"/>
        <v>1-6,13-16</v>
      </c>
      <c r="O222" s="16" t="str">
        <f t="shared" si="5"/>
        <v>1-6,13-16</v>
      </c>
      <c r="P222" s="16" t="str">
        <f t="shared" si="6"/>
        <v>1-6,13-16</v>
      </c>
      <c r="Q222" s="16" t="str">
        <f t="shared" si="7"/>
        <v>1-16</v>
      </c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">
        <v>183864.0</v>
      </c>
      <c r="B223" s="9" t="s">
        <v>553</v>
      </c>
      <c r="C223" s="10" t="s">
        <v>194</v>
      </c>
      <c r="D223" s="11" t="s">
        <v>493</v>
      </c>
      <c r="E223" s="12" t="s">
        <v>554</v>
      </c>
      <c r="F223" s="13" t="str">
        <f t="array" ref="F223">INDEX(Turmas!D2:D106,MATCH(E223,Turmas!A2:A106,0))</f>
        <v>Noite</v>
      </c>
      <c r="G223" s="14">
        <v>0.0</v>
      </c>
      <c r="H223" s="15">
        <v>2.0</v>
      </c>
      <c r="I223" s="15">
        <v>0.0</v>
      </c>
      <c r="J223" s="15">
        <v>2.0</v>
      </c>
      <c r="K223" s="15">
        <f t="shared" si="1"/>
        <v>1</v>
      </c>
      <c r="L223" s="16" t="str">
        <f t="shared" si="2"/>
        <v>1-12</v>
      </c>
      <c r="M223" s="16" t="str">
        <f t="shared" si="3"/>
        <v>1-12</v>
      </c>
      <c r="N223" s="16" t="str">
        <f t="shared" si="4"/>
        <v>1-12</v>
      </c>
      <c r="O223" s="16" t="str">
        <f t="shared" si="5"/>
        <v>1-12</v>
      </c>
      <c r="P223" s="16" t="str">
        <f t="shared" si="6"/>
        <v>1-12</v>
      </c>
      <c r="Q223" s="16" t="str">
        <f t="shared" si="7"/>
        <v>0</v>
      </c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">
        <v>183486.0</v>
      </c>
      <c r="B224" s="9" t="s">
        <v>555</v>
      </c>
      <c r="C224" s="10" t="s">
        <v>556</v>
      </c>
      <c r="D224" s="11" t="s">
        <v>195</v>
      </c>
      <c r="E224" s="12" t="s">
        <v>554</v>
      </c>
      <c r="F224" s="13" t="str">
        <f t="array" ref="F224">INDEX(Turmas!D2:D106,MATCH(E224,Turmas!A2:A106,0))</f>
        <v>Noite</v>
      </c>
      <c r="G224" s="14">
        <v>0.0</v>
      </c>
      <c r="H224" s="15">
        <v>4.0</v>
      </c>
      <c r="I224" s="15">
        <v>0.0</v>
      </c>
      <c r="J224" s="15">
        <v>2.0</v>
      </c>
      <c r="K224" s="15">
        <f t="shared" si="1"/>
        <v>2</v>
      </c>
      <c r="L224" s="16" t="str">
        <f t="shared" si="2"/>
        <v>1-12</v>
      </c>
      <c r="M224" s="16" t="str">
        <f t="shared" si="3"/>
        <v>1-12</v>
      </c>
      <c r="N224" s="16" t="str">
        <f t="shared" si="4"/>
        <v>1-12</v>
      </c>
      <c r="O224" s="16" t="str">
        <f t="shared" si="5"/>
        <v>1-12</v>
      </c>
      <c r="P224" s="16" t="str">
        <f t="shared" si="6"/>
        <v>1-12</v>
      </c>
      <c r="Q224" s="16" t="str">
        <f t="shared" si="7"/>
        <v>0</v>
      </c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">
        <v>183490.0</v>
      </c>
      <c r="B225" s="9" t="s">
        <v>557</v>
      </c>
      <c r="C225" s="10" t="s">
        <v>558</v>
      </c>
      <c r="D225" s="11" t="s">
        <v>315</v>
      </c>
      <c r="E225" s="12" t="s">
        <v>554</v>
      </c>
      <c r="F225" s="13" t="str">
        <f t="array" ref="F225">INDEX(Turmas!D2:D106,MATCH(E225,Turmas!A2:A106,0))</f>
        <v>Noite</v>
      </c>
      <c r="G225" s="14">
        <v>0.0</v>
      </c>
      <c r="H225" s="15">
        <v>2.0</v>
      </c>
      <c r="I225" s="15">
        <v>0.0</v>
      </c>
      <c r="J225" s="15">
        <v>2.0</v>
      </c>
      <c r="K225" s="15">
        <f t="shared" si="1"/>
        <v>1</v>
      </c>
      <c r="L225" s="16" t="str">
        <f t="shared" si="2"/>
        <v>1-12</v>
      </c>
      <c r="M225" s="16" t="str">
        <f t="shared" si="3"/>
        <v>1-12</v>
      </c>
      <c r="N225" s="16" t="str">
        <f t="shared" si="4"/>
        <v>1-12</v>
      </c>
      <c r="O225" s="16" t="str">
        <f t="shared" si="5"/>
        <v>1-12</v>
      </c>
      <c r="P225" s="16" t="str">
        <f t="shared" si="6"/>
        <v>1-12</v>
      </c>
      <c r="Q225" s="16" t="str">
        <f t="shared" si="7"/>
        <v>0</v>
      </c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">
        <v>183487.0</v>
      </c>
      <c r="B226" s="9" t="s">
        <v>559</v>
      </c>
      <c r="C226" s="10" t="s">
        <v>383</v>
      </c>
      <c r="D226" s="22" t="s">
        <v>213</v>
      </c>
      <c r="E226" s="12" t="s">
        <v>554</v>
      </c>
      <c r="F226" s="13" t="str">
        <f t="array" ref="F226">INDEX(Turmas!D2:D106,MATCH(E226,Turmas!A2:A106,0))</f>
        <v>Noite</v>
      </c>
      <c r="G226" s="14">
        <v>0.0</v>
      </c>
      <c r="H226" s="15">
        <v>2.0</v>
      </c>
      <c r="I226" s="15">
        <v>0.0</v>
      </c>
      <c r="J226" s="15">
        <v>2.0</v>
      </c>
      <c r="K226" s="15">
        <f t="shared" si="1"/>
        <v>1</v>
      </c>
      <c r="L226" s="16" t="str">
        <f t="shared" si="2"/>
        <v>1-12</v>
      </c>
      <c r="M226" s="16" t="str">
        <f t="shared" si="3"/>
        <v>1-12</v>
      </c>
      <c r="N226" s="16" t="str">
        <f t="shared" si="4"/>
        <v>1-12</v>
      </c>
      <c r="O226" s="16" t="str">
        <f t="shared" si="5"/>
        <v>1-12</v>
      </c>
      <c r="P226" s="16" t="str">
        <f t="shared" si="6"/>
        <v>1-12</v>
      </c>
      <c r="Q226" s="16" t="str">
        <f t="shared" si="7"/>
        <v>0</v>
      </c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">
        <v>183491.0</v>
      </c>
      <c r="B227" s="9" t="s">
        <v>560</v>
      </c>
      <c r="C227" s="10" t="s">
        <v>561</v>
      </c>
      <c r="D227" s="11" t="s">
        <v>374</v>
      </c>
      <c r="E227" s="12" t="s">
        <v>554</v>
      </c>
      <c r="F227" s="13" t="str">
        <f t="array" ref="F227">INDEX(Turmas!D2:D106,MATCH(E227,Turmas!A2:A106,0))</f>
        <v>Noite</v>
      </c>
      <c r="G227" s="14">
        <v>0.0</v>
      </c>
      <c r="H227" s="15">
        <v>4.0</v>
      </c>
      <c r="I227" s="15">
        <v>0.0</v>
      </c>
      <c r="J227" s="15">
        <v>2.0</v>
      </c>
      <c r="K227" s="15">
        <f t="shared" si="1"/>
        <v>2</v>
      </c>
      <c r="L227" s="16" t="str">
        <f t="shared" si="2"/>
        <v>1-12</v>
      </c>
      <c r="M227" s="16" t="str">
        <f t="shared" si="3"/>
        <v>1-12</v>
      </c>
      <c r="N227" s="16" t="str">
        <f t="shared" si="4"/>
        <v>1-12</v>
      </c>
      <c r="O227" s="16" t="str">
        <f t="shared" si="5"/>
        <v>1-12</v>
      </c>
      <c r="P227" s="16" t="str">
        <f t="shared" si="6"/>
        <v>1-12</v>
      </c>
      <c r="Q227" s="16" t="str">
        <f t="shared" si="7"/>
        <v>0</v>
      </c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">
        <v>183489.0</v>
      </c>
      <c r="B228" s="9" t="s">
        <v>562</v>
      </c>
      <c r="C228" s="10" t="s">
        <v>215</v>
      </c>
      <c r="D228" s="11" t="s">
        <v>71</v>
      </c>
      <c r="E228" s="12" t="s">
        <v>554</v>
      </c>
      <c r="F228" s="13" t="str">
        <f t="array" ref="F228">INDEX(Turmas!D2:D106,MATCH(E228,Turmas!A2:A106,0))</f>
        <v>Noite</v>
      </c>
      <c r="G228" s="14">
        <v>0.0</v>
      </c>
      <c r="H228" s="15">
        <v>4.0</v>
      </c>
      <c r="I228" s="15">
        <v>0.0</v>
      </c>
      <c r="J228" s="15">
        <v>2.0</v>
      </c>
      <c r="K228" s="15">
        <f t="shared" si="1"/>
        <v>2</v>
      </c>
      <c r="L228" s="16" t="str">
        <f t="shared" si="2"/>
        <v>1-12</v>
      </c>
      <c r="M228" s="16" t="str">
        <f t="shared" si="3"/>
        <v>1-12</v>
      </c>
      <c r="N228" s="16" t="str">
        <f t="shared" si="4"/>
        <v>1-12</v>
      </c>
      <c r="O228" s="16" t="str">
        <f t="shared" si="5"/>
        <v>1-12</v>
      </c>
      <c r="P228" s="16" t="str">
        <f t="shared" si="6"/>
        <v>1-12</v>
      </c>
      <c r="Q228" s="16" t="str">
        <f t="shared" si="7"/>
        <v>0</v>
      </c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">
        <v>183488.0</v>
      </c>
      <c r="B229" s="9" t="s">
        <v>563</v>
      </c>
      <c r="C229" s="10" t="s">
        <v>564</v>
      </c>
      <c r="D229" s="11" t="s">
        <v>525</v>
      </c>
      <c r="E229" s="12" t="s">
        <v>565</v>
      </c>
      <c r="F229" s="13" t="str">
        <f t="array" ref="F229">INDEX(Turmas!D2:D106,MATCH(E229,Turmas!A2:A106,0))</f>
        <v>Noite</v>
      </c>
      <c r="G229" s="14">
        <v>0.0</v>
      </c>
      <c r="H229" s="15">
        <v>2.0</v>
      </c>
      <c r="I229" s="15">
        <v>0.0</v>
      </c>
      <c r="J229" s="15">
        <v>2.0</v>
      </c>
      <c r="K229" s="15">
        <f t="shared" si="1"/>
        <v>1</v>
      </c>
      <c r="L229" s="16" t="str">
        <f t="shared" si="2"/>
        <v>1-12</v>
      </c>
      <c r="M229" s="16" t="str">
        <f t="shared" si="3"/>
        <v>1-12</v>
      </c>
      <c r="N229" s="16" t="str">
        <f t="shared" si="4"/>
        <v>1-12</v>
      </c>
      <c r="O229" s="16" t="str">
        <f t="shared" si="5"/>
        <v>1-12</v>
      </c>
      <c r="P229" s="16" t="str">
        <f t="shared" si="6"/>
        <v>1-12</v>
      </c>
      <c r="Q229" s="16" t="str">
        <f t="shared" si="7"/>
        <v>0</v>
      </c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">
        <v>183495.0</v>
      </c>
      <c r="B230" s="9" t="s">
        <v>566</v>
      </c>
      <c r="C230" s="10" t="s">
        <v>567</v>
      </c>
      <c r="D230" s="11" t="s">
        <v>513</v>
      </c>
      <c r="E230" s="12" t="s">
        <v>565</v>
      </c>
      <c r="F230" s="13" t="str">
        <f t="array" ref="F230">INDEX(Turmas!D2:D106,MATCH(E230,Turmas!A2:A106,0))</f>
        <v>Noite</v>
      </c>
      <c r="G230" s="14">
        <v>0.0</v>
      </c>
      <c r="H230" s="15">
        <v>4.0</v>
      </c>
      <c r="I230" s="15">
        <v>0.0</v>
      </c>
      <c r="J230" s="15">
        <v>2.0</v>
      </c>
      <c r="K230" s="15">
        <f t="shared" si="1"/>
        <v>2</v>
      </c>
      <c r="L230" s="16" t="str">
        <f t="shared" si="2"/>
        <v>1-12</v>
      </c>
      <c r="M230" s="16" t="str">
        <f t="shared" si="3"/>
        <v>1-12</v>
      </c>
      <c r="N230" s="16" t="str">
        <f t="shared" si="4"/>
        <v>1-12</v>
      </c>
      <c r="O230" s="16" t="str">
        <f t="shared" si="5"/>
        <v>1-12</v>
      </c>
      <c r="P230" s="16" t="str">
        <f t="shared" si="6"/>
        <v>1-12</v>
      </c>
      <c r="Q230" s="16" t="str">
        <f t="shared" si="7"/>
        <v>0</v>
      </c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">
        <v>183496.0</v>
      </c>
      <c r="B231" s="9" t="s">
        <v>568</v>
      </c>
      <c r="C231" s="10" t="s">
        <v>272</v>
      </c>
      <c r="D231" s="11" t="s">
        <v>569</v>
      </c>
      <c r="E231" s="12" t="s">
        <v>565</v>
      </c>
      <c r="F231" s="13" t="str">
        <f t="array" ref="F231">INDEX(Turmas!D2:D106,MATCH(E231,Turmas!A2:A106,0))</f>
        <v>Noite</v>
      </c>
      <c r="G231" s="14">
        <v>0.0</v>
      </c>
      <c r="H231" s="15">
        <v>4.0</v>
      </c>
      <c r="I231" s="15">
        <v>0.0</v>
      </c>
      <c r="J231" s="15">
        <v>2.0</v>
      </c>
      <c r="K231" s="15">
        <f t="shared" si="1"/>
        <v>2</v>
      </c>
      <c r="L231" s="16" t="str">
        <f t="shared" si="2"/>
        <v>1-12</v>
      </c>
      <c r="M231" s="16" t="str">
        <f t="shared" si="3"/>
        <v>1-12</v>
      </c>
      <c r="N231" s="16" t="str">
        <f t="shared" si="4"/>
        <v>1-12</v>
      </c>
      <c r="O231" s="16" t="str">
        <f t="shared" si="5"/>
        <v>1-12</v>
      </c>
      <c r="P231" s="16" t="str">
        <f t="shared" si="6"/>
        <v>1-12</v>
      </c>
      <c r="Q231" s="16" t="str">
        <f t="shared" si="7"/>
        <v>0</v>
      </c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">
        <v>183493.0</v>
      </c>
      <c r="B232" s="9" t="s">
        <v>570</v>
      </c>
      <c r="C232" s="10" t="s">
        <v>571</v>
      </c>
      <c r="D232" s="11" t="s">
        <v>572</v>
      </c>
      <c r="E232" s="12" t="s">
        <v>565</v>
      </c>
      <c r="F232" s="13" t="str">
        <f t="array" ref="F232">INDEX(Turmas!D2:D106,MATCH(E232,Turmas!A2:A106,0))</f>
        <v>Noite</v>
      </c>
      <c r="G232" s="14">
        <v>0.0</v>
      </c>
      <c r="H232" s="15">
        <v>4.0</v>
      </c>
      <c r="I232" s="15">
        <v>0.0</v>
      </c>
      <c r="J232" s="15">
        <v>2.0</v>
      </c>
      <c r="K232" s="15">
        <f t="shared" si="1"/>
        <v>2</v>
      </c>
      <c r="L232" s="16" t="str">
        <f t="shared" si="2"/>
        <v>1-12</v>
      </c>
      <c r="M232" s="16" t="str">
        <f t="shared" si="3"/>
        <v>1-12</v>
      </c>
      <c r="N232" s="16" t="str">
        <f t="shared" si="4"/>
        <v>1-12</v>
      </c>
      <c r="O232" s="16" t="str">
        <f t="shared" si="5"/>
        <v>1-12</v>
      </c>
      <c r="P232" s="16" t="str">
        <f t="shared" si="6"/>
        <v>1-12</v>
      </c>
      <c r="Q232" s="16" t="str">
        <f t="shared" si="7"/>
        <v>0</v>
      </c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">
        <v>183492.0</v>
      </c>
      <c r="B233" s="9" t="s">
        <v>573</v>
      </c>
      <c r="C233" s="10" t="s">
        <v>574</v>
      </c>
      <c r="D233" s="11" t="s">
        <v>572</v>
      </c>
      <c r="E233" s="12" t="s">
        <v>565</v>
      </c>
      <c r="F233" s="13" t="str">
        <f t="array" ref="F233">INDEX(Turmas!D2:D106,MATCH(E233,Turmas!A2:A106,0))</f>
        <v>Noite</v>
      </c>
      <c r="G233" s="14">
        <v>0.0</v>
      </c>
      <c r="H233" s="15">
        <v>2.0</v>
      </c>
      <c r="I233" s="15">
        <v>0.0</v>
      </c>
      <c r="J233" s="15">
        <v>2.0</v>
      </c>
      <c r="K233" s="15">
        <f t="shared" si="1"/>
        <v>1</v>
      </c>
      <c r="L233" s="16" t="str">
        <f t="shared" si="2"/>
        <v>1-12</v>
      </c>
      <c r="M233" s="16" t="str">
        <f t="shared" si="3"/>
        <v>1-12</v>
      </c>
      <c r="N233" s="16" t="str">
        <f t="shared" si="4"/>
        <v>1-12</v>
      </c>
      <c r="O233" s="16" t="str">
        <f t="shared" si="5"/>
        <v>1-12</v>
      </c>
      <c r="P233" s="16" t="str">
        <f t="shared" si="6"/>
        <v>1-12</v>
      </c>
      <c r="Q233" s="16" t="str">
        <f t="shared" si="7"/>
        <v>0</v>
      </c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">
        <v>183494.0</v>
      </c>
      <c r="B234" s="9" t="s">
        <v>575</v>
      </c>
      <c r="C234" s="10" t="s">
        <v>576</v>
      </c>
      <c r="D234" s="11" t="s">
        <v>577</v>
      </c>
      <c r="E234" s="12" t="s">
        <v>578</v>
      </c>
      <c r="F234" s="13" t="str">
        <f t="array" ref="F234">INDEX(Turmas!D2:D106,MATCH(E234,Turmas!A2:A106,0))</f>
        <v>Tarde</v>
      </c>
      <c r="G234" s="14">
        <v>0.0</v>
      </c>
      <c r="H234" s="15">
        <v>4.0</v>
      </c>
      <c r="I234" s="15">
        <v>0.0</v>
      </c>
      <c r="J234" s="15">
        <v>2.0</v>
      </c>
      <c r="K234" s="15">
        <f t="shared" si="1"/>
        <v>2</v>
      </c>
      <c r="L234" s="16" t="str">
        <f t="shared" si="2"/>
        <v>1-6,13-16</v>
      </c>
      <c r="M234" s="16" t="str">
        <f t="shared" si="3"/>
        <v>1-6,13-16</v>
      </c>
      <c r="N234" s="16" t="str">
        <f t="shared" si="4"/>
        <v>1-6,13-16</v>
      </c>
      <c r="O234" s="16" t="str">
        <f t="shared" si="5"/>
        <v>1-6,13-16</v>
      </c>
      <c r="P234" s="16" t="str">
        <f t="shared" si="6"/>
        <v>1-6,13-16</v>
      </c>
      <c r="Q234" s="16" t="str">
        <f t="shared" si="7"/>
        <v>1-16</v>
      </c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">
        <v>182310.0</v>
      </c>
      <c r="B235" s="9" t="s">
        <v>579</v>
      </c>
      <c r="C235" s="10" t="s">
        <v>580</v>
      </c>
      <c r="D235" s="11" t="s">
        <v>581</v>
      </c>
      <c r="E235" s="12" t="s">
        <v>578</v>
      </c>
      <c r="F235" s="13" t="str">
        <f t="array" ref="F235">INDEX(Turmas!D2:D106,MATCH(E235,Turmas!A2:A106,0))</f>
        <v>Tarde</v>
      </c>
      <c r="G235" s="14">
        <v>0.0</v>
      </c>
      <c r="H235" s="15">
        <v>3.0</v>
      </c>
      <c r="I235" s="15">
        <v>0.0</v>
      </c>
      <c r="J235" s="15">
        <v>2.0</v>
      </c>
      <c r="K235" s="15">
        <f t="shared" si="1"/>
        <v>1</v>
      </c>
      <c r="L235" s="16" t="str">
        <f t="shared" si="2"/>
        <v>1-6,13-16</v>
      </c>
      <c r="M235" s="16" t="str">
        <f t="shared" si="3"/>
        <v>1-6,13-16</v>
      </c>
      <c r="N235" s="16" t="str">
        <f t="shared" si="4"/>
        <v>1-6,13-16</v>
      </c>
      <c r="O235" s="16" t="str">
        <f t="shared" si="5"/>
        <v>1-6,13-16</v>
      </c>
      <c r="P235" s="16" t="str">
        <f t="shared" si="6"/>
        <v>1-6,13-16</v>
      </c>
      <c r="Q235" s="16" t="str">
        <f t="shared" si="7"/>
        <v>1-16</v>
      </c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">
        <v>182309.0</v>
      </c>
      <c r="B236" s="9" t="s">
        <v>582</v>
      </c>
      <c r="C236" s="10" t="s">
        <v>583</v>
      </c>
      <c r="D236" s="11" t="s">
        <v>584</v>
      </c>
      <c r="E236" s="12" t="s">
        <v>578</v>
      </c>
      <c r="F236" s="13" t="str">
        <f t="array" ref="F236">INDEX(Turmas!D2:D106,MATCH(E236,Turmas!A2:A106,0))</f>
        <v>Tarde</v>
      </c>
      <c r="G236" s="14">
        <v>0.0</v>
      </c>
      <c r="H236" s="15">
        <v>3.0</v>
      </c>
      <c r="I236" s="15">
        <v>0.0</v>
      </c>
      <c r="J236" s="15">
        <v>2.0</v>
      </c>
      <c r="K236" s="15">
        <f t="shared" si="1"/>
        <v>1</v>
      </c>
      <c r="L236" s="16" t="str">
        <f t="shared" si="2"/>
        <v>1-6,13-16</v>
      </c>
      <c r="M236" s="16" t="str">
        <f t="shared" si="3"/>
        <v>1-6,13-16</v>
      </c>
      <c r="N236" s="16" t="str">
        <f t="shared" si="4"/>
        <v>1-6,13-16</v>
      </c>
      <c r="O236" s="16" t="str">
        <f t="shared" si="5"/>
        <v>1-6,13-16</v>
      </c>
      <c r="P236" s="16" t="str">
        <f t="shared" si="6"/>
        <v>1-6,13-16</v>
      </c>
      <c r="Q236" s="16" t="str">
        <f t="shared" si="7"/>
        <v>1-16</v>
      </c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9">
        <v>182311.0</v>
      </c>
      <c r="B237" s="9" t="s">
        <v>585</v>
      </c>
      <c r="C237" s="10" t="s">
        <v>586</v>
      </c>
      <c r="D237" s="11" t="s">
        <v>587</v>
      </c>
      <c r="E237" s="12" t="s">
        <v>578</v>
      </c>
      <c r="F237" s="13" t="str">
        <f t="array" ref="F237">INDEX(Turmas!D2:D106,MATCH(E237,Turmas!A2:A106,0))</f>
        <v>Tarde</v>
      </c>
      <c r="G237" s="14">
        <v>0.0</v>
      </c>
      <c r="H237" s="15">
        <v>3.0</v>
      </c>
      <c r="I237" s="15">
        <v>0.0</v>
      </c>
      <c r="J237" s="15">
        <v>2.0</v>
      </c>
      <c r="K237" s="15">
        <f t="shared" si="1"/>
        <v>1</v>
      </c>
      <c r="L237" s="16" t="str">
        <f t="shared" si="2"/>
        <v>1-6,13-16</v>
      </c>
      <c r="M237" s="16" t="str">
        <f t="shared" si="3"/>
        <v>1-6,13-16</v>
      </c>
      <c r="N237" s="16" t="str">
        <f t="shared" si="4"/>
        <v>1-6,13-16</v>
      </c>
      <c r="O237" s="16" t="str">
        <f t="shared" si="5"/>
        <v>1-6,13-16</v>
      </c>
      <c r="P237" s="16" t="str">
        <f t="shared" si="6"/>
        <v>1-6,13-16</v>
      </c>
      <c r="Q237" s="16" t="str">
        <f t="shared" si="7"/>
        <v>1-16</v>
      </c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9">
        <v>182312.0</v>
      </c>
      <c r="B238" s="9" t="s">
        <v>588</v>
      </c>
      <c r="C238" s="10" t="s">
        <v>589</v>
      </c>
      <c r="D238" s="11" t="s">
        <v>577</v>
      </c>
      <c r="E238" s="12" t="s">
        <v>578</v>
      </c>
      <c r="F238" s="13" t="str">
        <f t="array" ref="F238">INDEX(Turmas!D2:D106,MATCH(E238,Turmas!A2:A106,0))</f>
        <v>Tarde</v>
      </c>
      <c r="G238" s="14">
        <v>0.0</v>
      </c>
      <c r="H238" s="15">
        <v>4.0</v>
      </c>
      <c r="I238" s="15">
        <v>0.0</v>
      </c>
      <c r="J238" s="15">
        <v>4.0</v>
      </c>
      <c r="K238" s="15">
        <f t="shared" si="1"/>
        <v>1</v>
      </c>
      <c r="L238" s="16" t="str">
        <f t="shared" si="2"/>
        <v>1-6,13-16</v>
      </c>
      <c r="M238" s="16" t="str">
        <f t="shared" si="3"/>
        <v>1-6,13-16</v>
      </c>
      <c r="N238" s="16" t="str">
        <f t="shared" si="4"/>
        <v>1-6,13-16</v>
      </c>
      <c r="O238" s="16" t="str">
        <f t="shared" si="5"/>
        <v>1-6,13-16</v>
      </c>
      <c r="P238" s="16" t="str">
        <f t="shared" si="6"/>
        <v>1-6,13-16</v>
      </c>
      <c r="Q238" s="16" t="str">
        <f t="shared" si="7"/>
        <v>1-16</v>
      </c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9">
        <v>182313.0</v>
      </c>
      <c r="B239" s="9" t="s">
        <v>590</v>
      </c>
      <c r="C239" s="10" t="s">
        <v>591</v>
      </c>
      <c r="D239" s="11" t="s">
        <v>592</v>
      </c>
      <c r="E239" s="12" t="s">
        <v>593</v>
      </c>
      <c r="F239" s="13" t="str">
        <f t="array" ref="F239">INDEX(Turmas!D2:D106,MATCH(E239,Turmas!A2:A106,0))</f>
        <v>Manhã</v>
      </c>
      <c r="G239" s="14">
        <v>0.0</v>
      </c>
      <c r="H239" s="15">
        <v>3.0</v>
      </c>
      <c r="I239" s="15">
        <v>0.0</v>
      </c>
      <c r="J239" s="15">
        <v>2.0</v>
      </c>
      <c r="K239" s="15">
        <f t="shared" si="1"/>
        <v>1</v>
      </c>
      <c r="L239" s="16" t="str">
        <f t="shared" si="2"/>
        <v>7-16</v>
      </c>
      <c r="M239" s="16" t="str">
        <f t="shared" si="3"/>
        <v>7-16</v>
      </c>
      <c r="N239" s="16" t="str">
        <f t="shared" si="4"/>
        <v>7-16</v>
      </c>
      <c r="O239" s="16" t="str">
        <f t="shared" si="5"/>
        <v>7-16</v>
      </c>
      <c r="P239" s="16" t="str">
        <f t="shared" si="6"/>
        <v>7-16</v>
      </c>
      <c r="Q239" s="16" t="str">
        <f t="shared" si="7"/>
        <v>1-16</v>
      </c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9">
        <v>182314.0</v>
      </c>
      <c r="B240" s="9" t="s">
        <v>594</v>
      </c>
      <c r="C240" s="10" t="s">
        <v>215</v>
      </c>
      <c r="D240" s="11" t="s">
        <v>71</v>
      </c>
      <c r="E240" s="12" t="s">
        <v>593</v>
      </c>
      <c r="F240" s="13" t="str">
        <f t="array" ref="F240">INDEX(Turmas!D2:D106,MATCH(E240,Turmas!A2:A106,0))</f>
        <v>Manhã</v>
      </c>
      <c r="G240" s="14">
        <v>0.0</v>
      </c>
      <c r="H240" s="15">
        <v>3.0</v>
      </c>
      <c r="I240" s="15">
        <v>0.0</v>
      </c>
      <c r="J240" s="15">
        <v>2.0</v>
      </c>
      <c r="K240" s="15">
        <f t="shared" si="1"/>
        <v>1</v>
      </c>
      <c r="L240" s="16" t="str">
        <f t="shared" si="2"/>
        <v>7-16</v>
      </c>
      <c r="M240" s="16" t="str">
        <f t="shared" si="3"/>
        <v>7-16</v>
      </c>
      <c r="N240" s="16" t="str">
        <f t="shared" si="4"/>
        <v>7-16</v>
      </c>
      <c r="O240" s="16" t="str">
        <f t="shared" si="5"/>
        <v>7-16</v>
      </c>
      <c r="P240" s="16" t="str">
        <f t="shared" si="6"/>
        <v>7-16</v>
      </c>
      <c r="Q240" s="16" t="str">
        <f t="shared" si="7"/>
        <v>1-16</v>
      </c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9">
        <v>182315.0</v>
      </c>
      <c r="B241" s="9" t="s">
        <v>595</v>
      </c>
      <c r="C241" s="10" t="s">
        <v>596</v>
      </c>
      <c r="D241" s="11" t="s">
        <v>597</v>
      </c>
      <c r="E241" s="12" t="s">
        <v>593</v>
      </c>
      <c r="F241" s="13" t="str">
        <f t="array" ref="F241">INDEX(Turmas!D2:D106,MATCH(E241,Turmas!A2:A106,0))</f>
        <v>Manhã</v>
      </c>
      <c r="G241" s="14">
        <v>0.0</v>
      </c>
      <c r="H241" s="15">
        <v>3.0</v>
      </c>
      <c r="I241" s="15">
        <v>0.0</v>
      </c>
      <c r="J241" s="15">
        <v>2.0</v>
      </c>
      <c r="K241" s="15">
        <f t="shared" si="1"/>
        <v>1</v>
      </c>
      <c r="L241" s="16" t="str">
        <f t="shared" si="2"/>
        <v>7-16</v>
      </c>
      <c r="M241" s="16" t="str">
        <f t="shared" si="3"/>
        <v>7-16</v>
      </c>
      <c r="N241" s="16" t="str">
        <f t="shared" si="4"/>
        <v>7-16</v>
      </c>
      <c r="O241" s="16" t="str">
        <f t="shared" si="5"/>
        <v>7-16</v>
      </c>
      <c r="P241" s="16" t="str">
        <f t="shared" si="6"/>
        <v>7-16</v>
      </c>
      <c r="Q241" s="16" t="str">
        <f t="shared" si="7"/>
        <v>1-16</v>
      </c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9">
        <v>182316.0</v>
      </c>
      <c r="B242" s="9" t="s">
        <v>598</v>
      </c>
      <c r="C242" s="10" t="s">
        <v>599</v>
      </c>
      <c r="D242" s="11" t="s">
        <v>600</v>
      </c>
      <c r="E242" s="12" t="s">
        <v>593</v>
      </c>
      <c r="F242" s="13" t="str">
        <f t="array" ref="F242">INDEX(Turmas!D2:D106,MATCH(E242,Turmas!A2:A106,0))</f>
        <v>Manhã</v>
      </c>
      <c r="G242" s="14">
        <v>0.0</v>
      </c>
      <c r="H242" s="15">
        <v>4.0</v>
      </c>
      <c r="I242" s="15">
        <v>0.0</v>
      </c>
      <c r="J242" s="15">
        <v>4.0</v>
      </c>
      <c r="K242" s="15">
        <f t="shared" si="1"/>
        <v>1</v>
      </c>
      <c r="L242" s="16" t="str">
        <f t="shared" si="2"/>
        <v>7-16</v>
      </c>
      <c r="M242" s="16" t="str">
        <f t="shared" si="3"/>
        <v>7-16</v>
      </c>
      <c r="N242" s="16" t="str">
        <f t="shared" si="4"/>
        <v>7-16</v>
      </c>
      <c r="O242" s="16" t="str">
        <f t="shared" si="5"/>
        <v>7-16</v>
      </c>
      <c r="P242" s="16" t="str">
        <f t="shared" si="6"/>
        <v>7-16</v>
      </c>
      <c r="Q242" s="16" t="str">
        <f t="shared" si="7"/>
        <v>1-16</v>
      </c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9">
        <v>182317.0</v>
      </c>
      <c r="B243" s="9" t="s">
        <v>601</v>
      </c>
      <c r="C243" s="10" t="s">
        <v>602</v>
      </c>
      <c r="D243" s="11" t="s">
        <v>603</v>
      </c>
      <c r="E243" s="12" t="s">
        <v>593</v>
      </c>
      <c r="F243" s="13" t="str">
        <f t="array" ref="F243">INDEX(Turmas!D2:D106,MATCH(E243,Turmas!A2:A106,0))</f>
        <v>Manhã</v>
      </c>
      <c r="G243" s="14">
        <v>0.0</v>
      </c>
      <c r="H243" s="15">
        <v>2.0</v>
      </c>
      <c r="I243" s="15">
        <v>0.0</v>
      </c>
      <c r="J243" s="15">
        <v>2.0</v>
      </c>
      <c r="K243" s="15">
        <f t="shared" si="1"/>
        <v>1</v>
      </c>
      <c r="L243" s="16" t="str">
        <f t="shared" si="2"/>
        <v>7-16</v>
      </c>
      <c r="M243" s="16" t="str">
        <f t="shared" si="3"/>
        <v>7-16</v>
      </c>
      <c r="N243" s="16" t="str">
        <f t="shared" si="4"/>
        <v>7-16</v>
      </c>
      <c r="O243" s="16" t="str">
        <f t="shared" si="5"/>
        <v>7-16</v>
      </c>
      <c r="P243" s="16" t="str">
        <f t="shared" si="6"/>
        <v>7-16</v>
      </c>
      <c r="Q243" s="16" t="str">
        <f t="shared" si="7"/>
        <v>1-16</v>
      </c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9">
        <v>182318.0</v>
      </c>
      <c r="B244" s="9" t="s">
        <v>604</v>
      </c>
      <c r="C244" s="10" t="s">
        <v>605</v>
      </c>
      <c r="D244" s="11" t="s">
        <v>606</v>
      </c>
      <c r="E244" s="12" t="s">
        <v>593</v>
      </c>
      <c r="F244" s="13" t="str">
        <f t="array" ref="F244">INDEX(Turmas!D2:D106,MATCH(E244,Turmas!A2:A106,0))</f>
        <v>Manhã</v>
      </c>
      <c r="G244" s="14">
        <v>0.0</v>
      </c>
      <c r="H244" s="15">
        <v>3.0</v>
      </c>
      <c r="I244" s="15">
        <v>0.0</v>
      </c>
      <c r="J244" s="15">
        <v>2.0</v>
      </c>
      <c r="K244" s="15">
        <f t="shared" si="1"/>
        <v>1</v>
      </c>
      <c r="L244" s="16" t="str">
        <f t="shared" si="2"/>
        <v>7-16</v>
      </c>
      <c r="M244" s="16" t="str">
        <f t="shared" si="3"/>
        <v>7-16</v>
      </c>
      <c r="N244" s="16" t="str">
        <f t="shared" si="4"/>
        <v>7-16</v>
      </c>
      <c r="O244" s="16" t="str">
        <f t="shared" si="5"/>
        <v>7-16</v>
      </c>
      <c r="P244" s="16" t="str">
        <f t="shared" si="6"/>
        <v>7-16</v>
      </c>
      <c r="Q244" s="16" t="str">
        <f t="shared" si="7"/>
        <v>1-16</v>
      </c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9">
        <v>182319.0</v>
      </c>
      <c r="B245" s="9" t="s">
        <v>607</v>
      </c>
      <c r="C245" s="10" t="s">
        <v>608</v>
      </c>
      <c r="D245" s="11" t="s">
        <v>587</v>
      </c>
      <c r="E245" s="12" t="s">
        <v>609</v>
      </c>
      <c r="F245" s="13" t="str">
        <f t="array" ref="F245">INDEX(Turmas!D2:D106,MATCH(E245,Turmas!A2:A106,0))</f>
        <v>Tarde</v>
      </c>
      <c r="G245" s="14">
        <v>0.0</v>
      </c>
      <c r="H245" s="15">
        <v>3.0</v>
      </c>
      <c r="I245" s="15">
        <v>0.0</v>
      </c>
      <c r="J245" s="15">
        <v>2.0</v>
      </c>
      <c r="K245" s="15">
        <f t="shared" si="1"/>
        <v>1</v>
      </c>
      <c r="L245" s="16" t="str">
        <f t="shared" si="2"/>
        <v>1-6,13-16</v>
      </c>
      <c r="M245" s="16" t="str">
        <f t="shared" si="3"/>
        <v>1-6,13-16</v>
      </c>
      <c r="N245" s="16" t="str">
        <f t="shared" si="4"/>
        <v>1-6,13-16</v>
      </c>
      <c r="O245" s="16" t="str">
        <f t="shared" si="5"/>
        <v>1-6,13-16</v>
      </c>
      <c r="P245" s="16" t="str">
        <f t="shared" si="6"/>
        <v>1-6,13-16</v>
      </c>
      <c r="Q245" s="16" t="str">
        <f t="shared" si="7"/>
        <v>1-16</v>
      </c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9">
        <v>182320.0</v>
      </c>
      <c r="B246" s="9" t="s">
        <v>610</v>
      </c>
      <c r="C246" s="10" t="s">
        <v>611</v>
      </c>
      <c r="D246" s="11" t="s">
        <v>606</v>
      </c>
      <c r="E246" s="12" t="s">
        <v>609</v>
      </c>
      <c r="F246" s="13" t="str">
        <f t="array" ref="F246">INDEX(Turmas!D2:D106,MATCH(E246,Turmas!A2:A106,0))</f>
        <v>Tarde</v>
      </c>
      <c r="G246" s="14">
        <v>0.0</v>
      </c>
      <c r="H246" s="15">
        <v>3.0</v>
      </c>
      <c r="I246" s="15">
        <v>0.0</v>
      </c>
      <c r="J246" s="15">
        <v>2.0</v>
      </c>
      <c r="K246" s="15">
        <f t="shared" si="1"/>
        <v>1</v>
      </c>
      <c r="L246" s="16" t="str">
        <f t="shared" si="2"/>
        <v>1-6,13-16</v>
      </c>
      <c r="M246" s="16" t="str">
        <f t="shared" si="3"/>
        <v>1-6,13-16</v>
      </c>
      <c r="N246" s="16" t="str">
        <f t="shared" si="4"/>
        <v>1-6,13-16</v>
      </c>
      <c r="O246" s="16" t="str">
        <f t="shared" si="5"/>
        <v>1-6,13-16</v>
      </c>
      <c r="P246" s="16" t="str">
        <f t="shared" si="6"/>
        <v>1-6,13-16</v>
      </c>
      <c r="Q246" s="16" t="str">
        <f t="shared" si="7"/>
        <v>1-16</v>
      </c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9">
        <v>183866.0</v>
      </c>
      <c r="B247" s="9" t="s">
        <v>612</v>
      </c>
      <c r="C247" s="10" t="s">
        <v>613</v>
      </c>
      <c r="D247" s="11" t="s">
        <v>597</v>
      </c>
      <c r="E247" s="23" t="s">
        <v>609</v>
      </c>
      <c r="F247" s="13" t="str">
        <f t="array" ref="F247">INDEX(Turmas!D2:D106,MATCH(E247,Turmas!A2:A106,0))</f>
        <v>Tarde</v>
      </c>
      <c r="G247" s="14">
        <v>0.0</v>
      </c>
      <c r="H247" s="15">
        <v>3.0</v>
      </c>
      <c r="I247" s="15">
        <v>0.0</v>
      </c>
      <c r="J247" s="15">
        <v>2.0</v>
      </c>
      <c r="K247" s="15">
        <f t="shared" si="1"/>
        <v>1</v>
      </c>
      <c r="L247" s="16" t="str">
        <f t="shared" si="2"/>
        <v>1-6,13-16</v>
      </c>
      <c r="M247" s="16" t="str">
        <f t="shared" si="3"/>
        <v>1-6,13-16</v>
      </c>
      <c r="N247" s="16" t="str">
        <f t="shared" si="4"/>
        <v>1-6,13-16</v>
      </c>
      <c r="O247" s="16" t="str">
        <f t="shared" si="5"/>
        <v>1-6,13-16</v>
      </c>
      <c r="P247" s="16" t="str">
        <f t="shared" si="6"/>
        <v>1-6,13-16</v>
      </c>
      <c r="Q247" s="16" t="str">
        <f t="shared" si="7"/>
        <v>1-16</v>
      </c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9">
        <v>182321.0</v>
      </c>
      <c r="B248" s="9" t="s">
        <v>614</v>
      </c>
      <c r="C248" s="10" t="s">
        <v>615</v>
      </c>
      <c r="D248" s="11" t="s">
        <v>616</v>
      </c>
      <c r="E248" s="23" t="s">
        <v>609</v>
      </c>
      <c r="F248" s="13" t="str">
        <f t="array" ref="F248">INDEX(Turmas!D2:D106,MATCH(E248,Turmas!A2:A106,0))</f>
        <v>Tarde</v>
      </c>
      <c r="G248" s="14">
        <v>0.0</v>
      </c>
      <c r="H248" s="15">
        <v>3.0</v>
      </c>
      <c r="I248" s="15">
        <v>0.0</v>
      </c>
      <c r="J248" s="15">
        <v>2.0</v>
      </c>
      <c r="K248" s="15">
        <f t="shared" si="1"/>
        <v>1</v>
      </c>
      <c r="L248" s="16" t="str">
        <f t="shared" si="2"/>
        <v>1-6,13-16</v>
      </c>
      <c r="M248" s="16" t="str">
        <f t="shared" si="3"/>
        <v>1-6,13-16</v>
      </c>
      <c r="N248" s="16" t="str">
        <f t="shared" si="4"/>
        <v>1-6,13-16</v>
      </c>
      <c r="O248" s="16" t="str">
        <f t="shared" si="5"/>
        <v>1-6,13-16</v>
      </c>
      <c r="P248" s="16" t="str">
        <f t="shared" si="6"/>
        <v>1-6,13-16</v>
      </c>
      <c r="Q248" s="16" t="str">
        <f t="shared" si="7"/>
        <v>1-16</v>
      </c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9">
        <v>182322.0</v>
      </c>
      <c r="B249" s="9" t="s">
        <v>617</v>
      </c>
      <c r="C249" s="10" t="s">
        <v>618</v>
      </c>
      <c r="D249" s="11" t="s">
        <v>592</v>
      </c>
      <c r="E249" s="23" t="s">
        <v>609</v>
      </c>
      <c r="F249" s="13" t="str">
        <f t="array" ref="F249">INDEX(Turmas!D2:D106,MATCH(E249,Turmas!A2:A106,0))</f>
        <v>Tarde</v>
      </c>
      <c r="G249" s="14">
        <v>0.0</v>
      </c>
      <c r="H249" s="15">
        <v>4.0</v>
      </c>
      <c r="I249" s="15">
        <v>0.0</v>
      </c>
      <c r="J249" s="15">
        <v>2.0</v>
      </c>
      <c r="K249" s="15">
        <f t="shared" si="1"/>
        <v>2</v>
      </c>
      <c r="L249" s="16" t="str">
        <f t="shared" si="2"/>
        <v>1-6,13-16</v>
      </c>
      <c r="M249" s="16" t="str">
        <f t="shared" si="3"/>
        <v>1-6,13-16</v>
      </c>
      <c r="N249" s="16" t="str">
        <f t="shared" si="4"/>
        <v>1-6,13-16</v>
      </c>
      <c r="O249" s="16" t="str">
        <f t="shared" si="5"/>
        <v>1-6,13-16</v>
      </c>
      <c r="P249" s="16" t="str">
        <f t="shared" si="6"/>
        <v>1-6,13-16</v>
      </c>
      <c r="Q249" s="16" t="str">
        <f t="shared" si="7"/>
        <v>1-16</v>
      </c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9">
        <v>182323.0</v>
      </c>
      <c r="B250" s="9" t="s">
        <v>619</v>
      </c>
      <c r="C250" s="10" t="s">
        <v>620</v>
      </c>
      <c r="D250" s="11" t="s">
        <v>581</v>
      </c>
      <c r="E250" s="23" t="s">
        <v>609</v>
      </c>
      <c r="F250" s="13" t="str">
        <f t="array" ref="F250">INDEX(Turmas!D2:D106,MATCH(E250,Turmas!A2:A106,0))</f>
        <v>Tarde</v>
      </c>
      <c r="G250" s="14">
        <v>0.0</v>
      </c>
      <c r="H250" s="15">
        <v>4.0</v>
      </c>
      <c r="I250" s="15">
        <v>0.0</v>
      </c>
      <c r="J250" s="15">
        <v>2.0</v>
      </c>
      <c r="K250" s="15">
        <f t="shared" si="1"/>
        <v>2</v>
      </c>
      <c r="L250" s="16" t="str">
        <f t="shared" si="2"/>
        <v>1-6,13-16</v>
      </c>
      <c r="M250" s="16" t="str">
        <f t="shared" si="3"/>
        <v>1-6,13-16</v>
      </c>
      <c r="N250" s="16" t="str">
        <f t="shared" si="4"/>
        <v>1-6,13-16</v>
      </c>
      <c r="O250" s="16" t="str">
        <f t="shared" si="5"/>
        <v>1-6,13-16</v>
      </c>
      <c r="P250" s="16" t="str">
        <f t="shared" si="6"/>
        <v>1-6,13-16</v>
      </c>
      <c r="Q250" s="16" t="str">
        <f t="shared" si="7"/>
        <v>1-16</v>
      </c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9">
        <v>182324.0</v>
      </c>
      <c r="B251" s="9" t="s">
        <v>621</v>
      </c>
      <c r="C251" s="10" t="s">
        <v>622</v>
      </c>
      <c r="D251" s="11" t="s">
        <v>603</v>
      </c>
      <c r="E251" s="23" t="s">
        <v>623</v>
      </c>
      <c r="F251" s="13" t="str">
        <f t="array" ref="F251">INDEX(Turmas!D2:D106,MATCH(E251,Turmas!A2:A106,0))</f>
        <v>Manhã</v>
      </c>
      <c r="G251" s="14">
        <v>0.0</v>
      </c>
      <c r="H251" s="15">
        <v>3.0</v>
      </c>
      <c r="I251" s="15">
        <v>0.0</v>
      </c>
      <c r="J251" s="15">
        <v>2.0</v>
      </c>
      <c r="K251" s="15">
        <f t="shared" si="1"/>
        <v>1</v>
      </c>
      <c r="L251" s="16" t="str">
        <f t="shared" si="2"/>
        <v>7-16</v>
      </c>
      <c r="M251" s="16" t="str">
        <f t="shared" si="3"/>
        <v>7-16</v>
      </c>
      <c r="N251" s="16" t="str">
        <f t="shared" si="4"/>
        <v>7-16</v>
      </c>
      <c r="O251" s="16" t="str">
        <f t="shared" si="5"/>
        <v>7-16</v>
      </c>
      <c r="P251" s="16" t="str">
        <f t="shared" si="6"/>
        <v>7-16</v>
      </c>
      <c r="Q251" s="16" t="str">
        <f t="shared" si="7"/>
        <v>1-16</v>
      </c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9">
        <v>182325.0</v>
      </c>
      <c r="B252" s="9" t="s">
        <v>624</v>
      </c>
      <c r="C252" s="10" t="s">
        <v>625</v>
      </c>
      <c r="D252" s="11" t="s">
        <v>626</v>
      </c>
      <c r="E252" s="23" t="s">
        <v>623</v>
      </c>
      <c r="F252" s="13" t="str">
        <f t="array" ref="F252">INDEX(Turmas!D2:D106,MATCH(E252,Turmas!A2:A106,0))</f>
        <v>Manhã</v>
      </c>
      <c r="G252" s="14">
        <v>0.0</v>
      </c>
      <c r="H252" s="15">
        <v>3.0</v>
      </c>
      <c r="I252" s="15">
        <v>0.0</v>
      </c>
      <c r="J252" s="15">
        <v>2.0</v>
      </c>
      <c r="K252" s="15">
        <f t="shared" si="1"/>
        <v>1</v>
      </c>
      <c r="L252" s="16" t="str">
        <f t="shared" si="2"/>
        <v>7-16</v>
      </c>
      <c r="M252" s="16" t="str">
        <f t="shared" si="3"/>
        <v>7-16</v>
      </c>
      <c r="N252" s="16" t="str">
        <f t="shared" si="4"/>
        <v>7-16</v>
      </c>
      <c r="O252" s="16" t="str">
        <f t="shared" si="5"/>
        <v>7-16</v>
      </c>
      <c r="P252" s="16" t="str">
        <f t="shared" si="6"/>
        <v>7-16</v>
      </c>
      <c r="Q252" s="16" t="str">
        <f t="shared" si="7"/>
        <v>1-16</v>
      </c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9">
        <v>183867.0</v>
      </c>
      <c r="B253" s="9" t="s">
        <v>627</v>
      </c>
      <c r="C253" s="10" t="s">
        <v>628</v>
      </c>
      <c r="D253" s="11" t="s">
        <v>581</v>
      </c>
      <c r="E253" s="25" t="s">
        <v>623</v>
      </c>
      <c r="F253" s="13" t="str">
        <f t="array" ref="F253">INDEX(Turmas!D2:D106,MATCH(E253,Turmas!A2:A106,0))</f>
        <v>Manhã</v>
      </c>
      <c r="G253" s="14">
        <v>0.0</v>
      </c>
      <c r="H253" s="15">
        <v>4.0</v>
      </c>
      <c r="I253" s="15">
        <v>0.0</v>
      </c>
      <c r="J253" s="15">
        <v>2.0</v>
      </c>
      <c r="K253" s="15">
        <f t="shared" si="1"/>
        <v>2</v>
      </c>
      <c r="L253" s="16" t="str">
        <f t="shared" si="2"/>
        <v>7-16</v>
      </c>
      <c r="M253" s="16" t="str">
        <f t="shared" si="3"/>
        <v>7-16</v>
      </c>
      <c r="N253" s="16" t="str">
        <f t="shared" si="4"/>
        <v>7-16</v>
      </c>
      <c r="O253" s="16" t="str">
        <f t="shared" si="5"/>
        <v>7-16</v>
      </c>
      <c r="P253" s="16" t="str">
        <f t="shared" si="6"/>
        <v>7-16</v>
      </c>
      <c r="Q253" s="16" t="str">
        <f t="shared" si="7"/>
        <v>1-16</v>
      </c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9">
        <v>182326.0</v>
      </c>
      <c r="B254" s="9" t="s">
        <v>629</v>
      </c>
      <c r="C254" s="10" t="s">
        <v>630</v>
      </c>
      <c r="D254" s="11" t="s">
        <v>587</v>
      </c>
      <c r="E254" s="25" t="s">
        <v>623</v>
      </c>
      <c r="F254" s="13" t="str">
        <f t="array" ref="F254">INDEX(Turmas!D2:D106,MATCH(E254,Turmas!A2:A106,0))</f>
        <v>Manhã</v>
      </c>
      <c r="G254" s="14">
        <v>0.0</v>
      </c>
      <c r="H254" s="15">
        <v>3.0</v>
      </c>
      <c r="I254" s="15">
        <v>0.0</v>
      </c>
      <c r="J254" s="15">
        <v>2.0</v>
      </c>
      <c r="K254" s="15">
        <f t="shared" si="1"/>
        <v>1</v>
      </c>
      <c r="L254" s="16" t="str">
        <f t="shared" si="2"/>
        <v>7-16</v>
      </c>
      <c r="M254" s="16" t="str">
        <f t="shared" si="3"/>
        <v>7-16</v>
      </c>
      <c r="N254" s="16" t="str">
        <f t="shared" si="4"/>
        <v>7-16</v>
      </c>
      <c r="O254" s="16" t="str">
        <f t="shared" si="5"/>
        <v>7-16</v>
      </c>
      <c r="P254" s="16" t="str">
        <f t="shared" si="6"/>
        <v>7-16</v>
      </c>
      <c r="Q254" s="16" t="str">
        <f t="shared" si="7"/>
        <v>1-16</v>
      </c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9">
        <v>182327.0</v>
      </c>
      <c r="B255" s="9" t="s">
        <v>631</v>
      </c>
      <c r="C255" s="10" t="s">
        <v>632</v>
      </c>
      <c r="D255" s="11" t="s">
        <v>616</v>
      </c>
      <c r="E255" s="25" t="s">
        <v>623</v>
      </c>
      <c r="F255" s="13" t="str">
        <f t="array" ref="F255">INDEX(Turmas!D2:D106,MATCH(E255,Turmas!A2:A106,0))</f>
        <v>Manhã</v>
      </c>
      <c r="G255" s="14">
        <v>0.0</v>
      </c>
      <c r="H255" s="15">
        <v>3.0</v>
      </c>
      <c r="I255" s="15">
        <v>0.0</v>
      </c>
      <c r="J255" s="15">
        <v>2.0</v>
      </c>
      <c r="K255" s="15">
        <f t="shared" si="1"/>
        <v>1</v>
      </c>
      <c r="L255" s="16" t="str">
        <f t="shared" si="2"/>
        <v>7-16</v>
      </c>
      <c r="M255" s="16" t="str">
        <f t="shared" si="3"/>
        <v>7-16</v>
      </c>
      <c r="N255" s="16" t="str">
        <f t="shared" si="4"/>
        <v>7-16</v>
      </c>
      <c r="O255" s="16" t="str">
        <f t="shared" si="5"/>
        <v>7-16</v>
      </c>
      <c r="P255" s="16" t="str">
        <f t="shared" si="6"/>
        <v>7-16</v>
      </c>
      <c r="Q255" s="16" t="str">
        <f t="shared" si="7"/>
        <v>1-16</v>
      </c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9">
        <v>182328.0</v>
      </c>
      <c r="B256" s="9" t="s">
        <v>633</v>
      </c>
      <c r="C256" s="10" t="s">
        <v>198</v>
      </c>
      <c r="D256" s="11" t="s">
        <v>146</v>
      </c>
      <c r="E256" s="25" t="s">
        <v>634</v>
      </c>
      <c r="F256" s="13" t="str">
        <f t="array" ref="F256">INDEX(Turmas!D2:D106,MATCH(E256,Turmas!A2:A106,0))</f>
        <v>Tarde</v>
      </c>
      <c r="G256" s="14">
        <v>0.0</v>
      </c>
      <c r="H256" s="15">
        <v>3.0</v>
      </c>
      <c r="I256" s="15">
        <v>0.0</v>
      </c>
      <c r="J256" s="15">
        <v>2.0</v>
      </c>
      <c r="K256" s="15">
        <f t="shared" si="1"/>
        <v>1</v>
      </c>
      <c r="L256" s="16" t="str">
        <f t="shared" si="2"/>
        <v>1-6,13-16</v>
      </c>
      <c r="M256" s="16" t="str">
        <f t="shared" si="3"/>
        <v>1-6,13-16</v>
      </c>
      <c r="N256" s="16" t="str">
        <f t="shared" si="4"/>
        <v>1-6,13-16</v>
      </c>
      <c r="O256" s="16" t="str">
        <f t="shared" si="5"/>
        <v>1-6,13-16</v>
      </c>
      <c r="P256" s="16" t="str">
        <f t="shared" si="6"/>
        <v>1-6,13-16</v>
      </c>
      <c r="Q256" s="16" t="str">
        <f t="shared" si="7"/>
        <v>1-16</v>
      </c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9">
        <v>182406.0</v>
      </c>
      <c r="B257" s="9" t="s">
        <v>635</v>
      </c>
      <c r="C257" s="10" t="s">
        <v>200</v>
      </c>
      <c r="D257" s="11" t="s">
        <v>636</v>
      </c>
      <c r="E257" s="25" t="s">
        <v>634</v>
      </c>
      <c r="F257" s="13" t="str">
        <f t="array" ref="F257">INDEX(Turmas!D2:D106,MATCH(E257,Turmas!A2:A106,0))</f>
        <v>Tarde</v>
      </c>
      <c r="G257" s="14">
        <v>0.0</v>
      </c>
      <c r="H257" s="15">
        <v>3.0</v>
      </c>
      <c r="I257" s="15">
        <v>0.0</v>
      </c>
      <c r="J257" s="15">
        <v>2.0</v>
      </c>
      <c r="K257" s="15">
        <f t="shared" si="1"/>
        <v>1</v>
      </c>
      <c r="L257" s="16" t="str">
        <f t="shared" si="2"/>
        <v>1-6,13-16</v>
      </c>
      <c r="M257" s="16" t="str">
        <f t="shared" si="3"/>
        <v>1-6,13-16</v>
      </c>
      <c r="N257" s="16" t="str">
        <f t="shared" si="4"/>
        <v>1-6,13-16</v>
      </c>
      <c r="O257" s="16" t="str">
        <f t="shared" si="5"/>
        <v>1-6,13-16</v>
      </c>
      <c r="P257" s="16" t="str">
        <f t="shared" si="6"/>
        <v>1-6,13-16</v>
      </c>
      <c r="Q257" s="16" t="str">
        <f t="shared" si="7"/>
        <v>1-16</v>
      </c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9">
        <v>182407.0</v>
      </c>
      <c r="B258" s="9" t="s">
        <v>635</v>
      </c>
      <c r="C258" s="10" t="s">
        <v>200</v>
      </c>
      <c r="D258" s="11" t="s">
        <v>636</v>
      </c>
      <c r="E258" s="23" t="s">
        <v>634</v>
      </c>
      <c r="F258" s="13" t="str">
        <f t="array" ref="F258">INDEX(Turmas!D2:D106,MATCH(E258,Turmas!A2:A106,0))</f>
        <v>Tarde</v>
      </c>
      <c r="G258" s="14">
        <v>0.0</v>
      </c>
      <c r="H258" s="15">
        <v>4.0</v>
      </c>
      <c r="I258" s="15">
        <v>0.0</v>
      </c>
      <c r="J258" s="15">
        <v>4.0</v>
      </c>
      <c r="K258" s="15">
        <f t="shared" si="1"/>
        <v>1</v>
      </c>
      <c r="L258" s="16" t="str">
        <f t="shared" si="2"/>
        <v>1-6,13-16</v>
      </c>
      <c r="M258" s="16" t="str">
        <f t="shared" si="3"/>
        <v>1-6,13-16</v>
      </c>
      <c r="N258" s="16" t="str">
        <f t="shared" si="4"/>
        <v>1-6,13-16</v>
      </c>
      <c r="O258" s="16" t="str">
        <f t="shared" si="5"/>
        <v>1-6,13-16</v>
      </c>
      <c r="P258" s="16" t="str">
        <f t="shared" si="6"/>
        <v>1-6,13-16</v>
      </c>
      <c r="Q258" s="16" t="str">
        <f t="shared" si="7"/>
        <v>1-16</v>
      </c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9">
        <v>183412.0</v>
      </c>
      <c r="B259" s="9" t="s">
        <v>637</v>
      </c>
      <c r="C259" s="10" t="s">
        <v>638</v>
      </c>
      <c r="D259" s="11" t="s">
        <v>447</v>
      </c>
      <c r="E259" s="23" t="s">
        <v>634</v>
      </c>
      <c r="F259" s="13" t="str">
        <f t="array" ref="F259">INDEX(Turmas!D2:D106,MATCH(E259,Turmas!A2:A106,0))</f>
        <v>Tarde</v>
      </c>
      <c r="G259" s="14">
        <v>0.0</v>
      </c>
      <c r="H259" s="15">
        <v>5.0</v>
      </c>
      <c r="I259" s="15">
        <v>0.0</v>
      </c>
      <c r="J259" s="15">
        <v>5.0</v>
      </c>
      <c r="K259" s="15">
        <f t="shared" si="1"/>
        <v>1</v>
      </c>
      <c r="L259" s="16" t="str">
        <f t="shared" si="2"/>
        <v>1-6,13-16</v>
      </c>
      <c r="M259" s="16" t="str">
        <f t="shared" si="3"/>
        <v>1-6,13-16</v>
      </c>
      <c r="N259" s="16" t="str">
        <f t="shared" si="4"/>
        <v>1-6,13-16</v>
      </c>
      <c r="O259" s="16" t="str">
        <f t="shared" si="5"/>
        <v>1-6,13-16</v>
      </c>
      <c r="P259" s="16" t="str">
        <f t="shared" si="6"/>
        <v>1-6,13-16</v>
      </c>
      <c r="Q259" s="16" t="str">
        <f t="shared" si="7"/>
        <v>1-16</v>
      </c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9">
        <v>182408.0</v>
      </c>
      <c r="B260" s="9" t="s">
        <v>639</v>
      </c>
      <c r="C260" s="10" t="s">
        <v>640</v>
      </c>
      <c r="D260" s="11" t="s">
        <v>447</v>
      </c>
      <c r="E260" s="23" t="s">
        <v>634</v>
      </c>
      <c r="F260" s="13" t="str">
        <f t="array" ref="F260">INDEX(Turmas!D2:D106,MATCH(E260,Turmas!A2:A106,0))</f>
        <v>Tarde</v>
      </c>
      <c r="G260" s="14">
        <v>0.0</v>
      </c>
      <c r="H260" s="15">
        <v>2.0</v>
      </c>
      <c r="I260" s="15">
        <v>0.0</v>
      </c>
      <c r="J260" s="15">
        <v>2.0</v>
      </c>
      <c r="K260" s="15">
        <f t="shared" si="1"/>
        <v>1</v>
      </c>
      <c r="L260" s="16" t="str">
        <f t="shared" si="2"/>
        <v>1-6,13-16</v>
      </c>
      <c r="M260" s="16" t="str">
        <f t="shared" si="3"/>
        <v>1-6,13-16</v>
      </c>
      <c r="N260" s="16" t="str">
        <f t="shared" si="4"/>
        <v>1-6,13-16</v>
      </c>
      <c r="O260" s="16" t="str">
        <f t="shared" si="5"/>
        <v>1-6,13-16</v>
      </c>
      <c r="P260" s="16" t="str">
        <f t="shared" si="6"/>
        <v>1-6,13-16</v>
      </c>
      <c r="Q260" s="16" t="str">
        <f t="shared" si="7"/>
        <v>1-16</v>
      </c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9">
        <v>182409.0</v>
      </c>
      <c r="B261" s="9" t="s">
        <v>641</v>
      </c>
      <c r="C261" s="10" t="s">
        <v>642</v>
      </c>
      <c r="D261" s="11" t="s">
        <v>643</v>
      </c>
      <c r="E261" s="23" t="s">
        <v>634</v>
      </c>
      <c r="F261" s="13" t="str">
        <f t="array" ref="F261">INDEX(Turmas!D2:D106,MATCH(E261,Turmas!A2:A106,0))</f>
        <v>Tarde</v>
      </c>
      <c r="G261" s="14">
        <v>0.0</v>
      </c>
      <c r="H261" s="15">
        <v>3.0</v>
      </c>
      <c r="I261" s="15">
        <v>0.0</v>
      </c>
      <c r="J261" s="15">
        <v>2.0</v>
      </c>
      <c r="K261" s="15">
        <f t="shared" si="1"/>
        <v>1</v>
      </c>
      <c r="L261" s="16" t="str">
        <f t="shared" si="2"/>
        <v>1-6,13-16</v>
      </c>
      <c r="M261" s="16" t="str">
        <f t="shared" si="3"/>
        <v>1-6,13-16</v>
      </c>
      <c r="N261" s="16" t="str">
        <f t="shared" si="4"/>
        <v>1-6,13-16</v>
      </c>
      <c r="O261" s="16" t="str">
        <f t="shared" si="5"/>
        <v>1-6,13-16</v>
      </c>
      <c r="P261" s="16" t="str">
        <f t="shared" si="6"/>
        <v>1-6,13-16</v>
      </c>
      <c r="Q261" s="16" t="str">
        <f t="shared" si="7"/>
        <v>1-16</v>
      </c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9">
        <v>182410.0</v>
      </c>
      <c r="B262" s="9" t="s">
        <v>644</v>
      </c>
      <c r="C262" s="10" t="s">
        <v>645</v>
      </c>
      <c r="D262" s="22" t="s">
        <v>213</v>
      </c>
      <c r="E262" s="23" t="s">
        <v>634</v>
      </c>
      <c r="F262" s="13" t="str">
        <f t="array" ref="F262">INDEX(Turmas!D2:D106,MATCH(E262,Turmas!A2:A106,0))</f>
        <v>Tarde</v>
      </c>
      <c r="G262" s="14">
        <v>0.0</v>
      </c>
      <c r="H262" s="15">
        <v>2.0</v>
      </c>
      <c r="I262" s="15">
        <v>0.0</v>
      </c>
      <c r="J262" s="15">
        <v>2.0</v>
      </c>
      <c r="K262" s="15">
        <f t="shared" si="1"/>
        <v>1</v>
      </c>
      <c r="L262" s="16" t="str">
        <f t="shared" si="2"/>
        <v>1-6,13-16</v>
      </c>
      <c r="M262" s="16" t="str">
        <f t="shared" si="3"/>
        <v>1-6,13-16</v>
      </c>
      <c r="N262" s="16" t="str">
        <f t="shared" si="4"/>
        <v>1-6,13-16</v>
      </c>
      <c r="O262" s="16" t="str">
        <f t="shared" si="5"/>
        <v>1-6,13-16</v>
      </c>
      <c r="P262" s="16" t="str">
        <f t="shared" si="6"/>
        <v>1-6,13-16</v>
      </c>
      <c r="Q262" s="16" t="str">
        <f t="shared" si="7"/>
        <v>1-16</v>
      </c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9">
        <v>182411.0</v>
      </c>
      <c r="B263" s="9" t="s">
        <v>646</v>
      </c>
      <c r="C263" s="10" t="s">
        <v>212</v>
      </c>
      <c r="D263" s="11" t="s">
        <v>647</v>
      </c>
      <c r="E263" s="23" t="s">
        <v>634</v>
      </c>
      <c r="F263" s="13" t="str">
        <f t="array" ref="F263">INDEX(Turmas!D2:D106,MATCH(E263,Turmas!A2:A106,0))</f>
        <v>Tarde</v>
      </c>
      <c r="G263" s="14">
        <v>0.0</v>
      </c>
      <c r="H263" s="15">
        <v>2.0</v>
      </c>
      <c r="I263" s="15">
        <v>0.0</v>
      </c>
      <c r="J263" s="15">
        <v>2.0</v>
      </c>
      <c r="K263" s="15">
        <f t="shared" si="1"/>
        <v>1</v>
      </c>
      <c r="L263" s="16" t="str">
        <f t="shared" si="2"/>
        <v>1-6,13-16</v>
      </c>
      <c r="M263" s="16" t="str">
        <f t="shared" si="3"/>
        <v>1-6,13-16</v>
      </c>
      <c r="N263" s="16" t="str">
        <f t="shared" si="4"/>
        <v>1-6,13-16</v>
      </c>
      <c r="O263" s="16" t="str">
        <f t="shared" si="5"/>
        <v>1-6,13-16</v>
      </c>
      <c r="P263" s="16" t="str">
        <f t="shared" si="6"/>
        <v>1-6,13-16</v>
      </c>
      <c r="Q263" s="16" t="str">
        <f t="shared" si="7"/>
        <v>1-16</v>
      </c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9">
        <v>182412.0</v>
      </c>
      <c r="B264" s="9" t="s">
        <v>648</v>
      </c>
      <c r="C264" s="10" t="s">
        <v>649</v>
      </c>
      <c r="D264" s="11" t="s">
        <v>636</v>
      </c>
      <c r="E264" s="23" t="s">
        <v>650</v>
      </c>
      <c r="F264" s="13" t="str">
        <f t="array" ref="F264">INDEX(Turmas!D2:D106,MATCH(E264,Turmas!A2:A106,0))</f>
        <v>Manhã</v>
      </c>
      <c r="G264" s="14">
        <v>0.0</v>
      </c>
      <c r="H264" s="15">
        <v>3.0</v>
      </c>
      <c r="I264" s="15">
        <v>0.0</v>
      </c>
      <c r="J264" s="15">
        <v>2.0</v>
      </c>
      <c r="K264" s="15">
        <f t="shared" si="1"/>
        <v>1</v>
      </c>
      <c r="L264" s="16" t="str">
        <f t="shared" si="2"/>
        <v>7-16</v>
      </c>
      <c r="M264" s="16" t="str">
        <f t="shared" si="3"/>
        <v>7-16</v>
      </c>
      <c r="N264" s="16" t="str">
        <f t="shared" si="4"/>
        <v>7-16</v>
      </c>
      <c r="O264" s="16" t="str">
        <f t="shared" si="5"/>
        <v>7-16</v>
      </c>
      <c r="P264" s="16" t="str">
        <f t="shared" si="6"/>
        <v>7-16</v>
      </c>
      <c r="Q264" s="16" t="str">
        <f t="shared" si="7"/>
        <v>1-16</v>
      </c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9">
        <v>182413.0</v>
      </c>
      <c r="B265" s="9" t="s">
        <v>651</v>
      </c>
      <c r="C265" s="10" t="s">
        <v>652</v>
      </c>
      <c r="D265" s="11" t="s">
        <v>653</v>
      </c>
      <c r="E265" s="23" t="s">
        <v>650</v>
      </c>
      <c r="F265" s="13" t="str">
        <f t="array" ref="F265">INDEX(Turmas!D2:D106,MATCH(E265,Turmas!A2:A106,0))</f>
        <v>Manhã</v>
      </c>
      <c r="G265" s="14">
        <v>0.0</v>
      </c>
      <c r="H265" s="15">
        <v>6.0</v>
      </c>
      <c r="I265" s="15">
        <v>0.0</v>
      </c>
      <c r="J265" s="15">
        <v>3.0</v>
      </c>
      <c r="K265" s="15">
        <f t="shared" si="1"/>
        <v>2</v>
      </c>
      <c r="L265" s="16" t="str">
        <f t="shared" si="2"/>
        <v>7-16</v>
      </c>
      <c r="M265" s="16" t="str">
        <f t="shared" si="3"/>
        <v>7-16</v>
      </c>
      <c r="N265" s="16" t="str">
        <f t="shared" si="4"/>
        <v>7-16</v>
      </c>
      <c r="O265" s="16" t="str">
        <f t="shared" si="5"/>
        <v>7-16</v>
      </c>
      <c r="P265" s="16" t="str">
        <f t="shared" si="6"/>
        <v>7-16</v>
      </c>
      <c r="Q265" s="16" t="str">
        <f t="shared" si="7"/>
        <v>1-16</v>
      </c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9">
        <v>182415.0</v>
      </c>
      <c r="B266" s="9" t="s">
        <v>654</v>
      </c>
      <c r="C266" s="10" t="s">
        <v>655</v>
      </c>
      <c r="D266" s="11" t="s">
        <v>653</v>
      </c>
      <c r="E266" s="23" t="s">
        <v>650</v>
      </c>
      <c r="F266" s="13" t="str">
        <f t="array" ref="F266">INDEX(Turmas!D2:D106,MATCH(E266,Turmas!A2:A106,0))</f>
        <v>Manhã</v>
      </c>
      <c r="G266" s="14">
        <v>0.0</v>
      </c>
      <c r="H266" s="15">
        <v>2.0</v>
      </c>
      <c r="I266" s="15">
        <v>0.0</v>
      </c>
      <c r="J266" s="15">
        <v>2.0</v>
      </c>
      <c r="K266" s="15">
        <f t="shared" si="1"/>
        <v>1</v>
      </c>
      <c r="L266" s="16" t="str">
        <f t="shared" si="2"/>
        <v>7-16</v>
      </c>
      <c r="M266" s="16" t="str">
        <f t="shared" si="3"/>
        <v>7-16</v>
      </c>
      <c r="N266" s="16" t="str">
        <f t="shared" si="4"/>
        <v>7-16</v>
      </c>
      <c r="O266" s="16" t="str">
        <f t="shared" si="5"/>
        <v>7-16</v>
      </c>
      <c r="P266" s="16" t="str">
        <f t="shared" si="6"/>
        <v>7-16</v>
      </c>
      <c r="Q266" s="16" t="str">
        <f t="shared" si="7"/>
        <v>1-16</v>
      </c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9">
        <v>182416.0</v>
      </c>
      <c r="B267" s="9" t="s">
        <v>656</v>
      </c>
      <c r="C267" s="10" t="s">
        <v>657</v>
      </c>
      <c r="D267" s="11" t="s">
        <v>658</v>
      </c>
      <c r="E267" s="23" t="s">
        <v>650</v>
      </c>
      <c r="F267" s="13" t="str">
        <f t="array" ref="F267">INDEX(Turmas!D2:D106,MATCH(E267,Turmas!A2:A106,0))</f>
        <v>Manhã</v>
      </c>
      <c r="G267" s="14">
        <v>0.0</v>
      </c>
      <c r="H267" s="15">
        <v>3.0</v>
      </c>
      <c r="I267" s="15">
        <v>0.0</v>
      </c>
      <c r="J267" s="15">
        <v>2.0</v>
      </c>
      <c r="K267" s="15">
        <f t="shared" si="1"/>
        <v>1</v>
      </c>
      <c r="L267" s="16" t="str">
        <f t="shared" si="2"/>
        <v>7-16</v>
      </c>
      <c r="M267" s="16" t="str">
        <f t="shared" si="3"/>
        <v>7-16</v>
      </c>
      <c r="N267" s="16" t="str">
        <f t="shared" si="4"/>
        <v>7-16</v>
      </c>
      <c r="O267" s="16" t="str">
        <f t="shared" si="5"/>
        <v>7-16</v>
      </c>
      <c r="P267" s="16" t="str">
        <f t="shared" si="6"/>
        <v>7-16</v>
      </c>
      <c r="Q267" s="16" t="str">
        <f t="shared" si="7"/>
        <v>1-16</v>
      </c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9">
        <v>182414.0</v>
      </c>
      <c r="B268" s="9" t="s">
        <v>659</v>
      </c>
      <c r="C268" s="10" t="s">
        <v>660</v>
      </c>
      <c r="D268" s="11" t="s">
        <v>577</v>
      </c>
      <c r="E268" s="23" t="s">
        <v>650</v>
      </c>
      <c r="F268" s="13" t="str">
        <f t="array" ref="F268">INDEX(Turmas!D2:D106,MATCH(E268,Turmas!A2:A106,0))</f>
        <v>Manhã</v>
      </c>
      <c r="G268" s="14">
        <v>0.0</v>
      </c>
      <c r="H268" s="15">
        <v>3.0</v>
      </c>
      <c r="I268" s="15">
        <v>0.0</v>
      </c>
      <c r="J268" s="15">
        <v>2.0</v>
      </c>
      <c r="K268" s="15">
        <f t="shared" si="1"/>
        <v>1</v>
      </c>
      <c r="L268" s="16" t="str">
        <f t="shared" si="2"/>
        <v>7-16</v>
      </c>
      <c r="M268" s="16" t="str">
        <f t="shared" si="3"/>
        <v>7-16</v>
      </c>
      <c r="N268" s="16" t="str">
        <f t="shared" si="4"/>
        <v>7-16</v>
      </c>
      <c r="O268" s="16" t="str">
        <f t="shared" si="5"/>
        <v>7-16</v>
      </c>
      <c r="P268" s="16" t="str">
        <f t="shared" si="6"/>
        <v>7-16</v>
      </c>
      <c r="Q268" s="16" t="str">
        <f t="shared" si="7"/>
        <v>1-16</v>
      </c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9">
        <v>182417.0</v>
      </c>
      <c r="B269" s="9" t="s">
        <v>661</v>
      </c>
      <c r="C269" s="10" t="s">
        <v>398</v>
      </c>
      <c r="D269" s="11" t="s">
        <v>399</v>
      </c>
      <c r="E269" s="23" t="s">
        <v>650</v>
      </c>
      <c r="F269" s="13" t="str">
        <f t="array" ref="F269">INDEX(Turmas!D2:D106,MATCH(E269,Turmas!A2:A106,0))</f>
        <v>Manhã</v>
      </c>
      <c r="G269" s="14">
        <v>0.0</v>
      </c>
      <c r="H269" s="15">
        <v>3.0</v>
      </c>
      <c r="I269" s="15">
        <v>0.0</v>
      </c>
      <c r="J269" s="15">
        <v>2.0</v>
      </c>
      <c r="K269" s="15">
        <f t="shared" si="1"/>
        <v>1</v>
      </c>
      <c r="L269" s="16" t="str">
        <f t="shared" si="2"/>
        <v>7-16</v>
      </c>
      <c r="M269" s="16" t="str">
        <f t="shared" si="3"/>
        <v>7-16</v>
      </c>
      <c r="N269" s="16" t="str">
        <f t="shared" si="4"/>
        <v>7-16</v>
      </c>
      <c r="O269" s="16" t="str">
        <f t="shared" si="5"/>
        <v>7-16</v>
      </c>
      <c r="P269" s="16" t="str">
        <f t="shared" si="6"/>
        <v>7-16</v>
      </c>
      <c r="Q269" s="16" t="str">
        <f t="shared" si="7"/>
        <v>1-16</v>
      </c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9">
        <v>182418.0</v>
      </c>
      <c r="B270" s="9" t="s">
        <v>662</v>
      </c>
      <c r="C270" s="10" t="s">
        <v>265</v>
      </c>
      <c r="D270" s="11" t="s">
        <v>663</v>
      </c>
      <c r="E270" s="26" t="s">
        <v>650</v>
      </c>
      <c r="F270" s="13" t="str">
        <f t="array" ref="F270">INDEX(Turmas!D2:D106,MATCH(E270,Turmas!A2:A106,0))</f>
        <v>Manhã</v>
      </c>
      <c r="G270" s="14">
        <v>0.0</v>
      </c>
      <c r="H270" s="15">
        <v>3.0</v>
      </c>
      <c r="I270" s="15">
        <v>0.0</v>
      </c>
      <c r="J270" s="15">
        <v>2.0</v>
      </c>
      <c r="K270" s="15">
        <f t="shared" si="1"/>
        <v>1</v>
      </c>
      <c r="L270" s="16" t="str">
        <f t="shared" si="2"/>
        <v>7-16</v>
      </c>
      <c r="M270" s="16" t="str">
        <f t="shared" si="3"/>
        <v>7-16</v>
      </c>
      <c r="N270" s="16" t="str">
        <f t="shared" si="4"/>
        <v>7-16</v>
      </c>
      <c r="O270" s="16" t="str">
        <f t="shared" si="5"/>
        <v>7-16</v>
      </c>
      <c r="P270" s="16" t="str">
        <f t="shared" si="6"/>
        <v>7-16</v>
      </c>
      <c r="Q270" s="16" t="str">
        <f t="shared" si="7"/>
        <v>1-16</v>
      </c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9">
        <v>182419.0</v>
      </c>
      <c r="B271" s="9" t="s">
        <v>664</v>
      </c>
      <c r="C271" s="10" t="s">
        <v>665</v>
      </c>
      <c r="D271" s="11" t="s">
        <v>658</v>
      </c>
      <c r="E271" s="26" t="s">
        <v>666</v>
      </c>
      <c r="F271" s="13" t="str">
        <f t="array" ref="F271">INDEX(Turmas!D2:D106,MATCH(E271,Turmas!A2:A106,0))</f>
        <v>Tarde</v>
      </c>
      <c r="G271" s="14">
        <v>0.0</v>
      </c>
      <c r="H271" s="15">
        <v>3.0</v>
      </c>
      <c r="I271" s="15">
        <v>0.0</v>
      </c>
      <c r="J271" s="15">
        <v>2.0</v>
      </c>
      <c r="K271" s="15">
        <f t="shared" si="1"/>
        <v>1</v>
      </c>
      <c r="L271" s="16" t="str">
        <f t="shared" si="2"/>
        <v>1-6,13-16</v>
      </c>
      <c r="M271" s="16" t="str">
        <f t="shared" si="3"/>
        <v>1-6,13-16</v>
      </c>
      <c r="N271" s="16" t="str">
        <f t="shared" si="4"/>
        <v>1-6,13-16</v>
      </c>
      <c r="O271" s="16" t="str">
        <f t="shared" si="5"/>
        <v>1-6,13-16</v>
      </c>
      <c r="P271" s="16" t="str">
        <f t="shared" si="6"/>
        <v>1-6,13-16</v>
      </c>
      <c r="Q271" s="16" t="str">
        <f t="shared" si="7"/>
        <v>1-16</v>
      </c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9">
        <v>182420.0</v>
      </c>
      <c r="B272" s="9" t="s">
        <v>667</v>
      </c>
      <c r="C272" s="10" t="s">
        <v>668</v>
      </c>
      <c r="D272" s="11" t="s">
        <v>669</v>
      </c>
      <c r="E272" s="26" t="s">
        <v>666</v>
      </c>
      <c r="F272" s="13" t="str">
        <f t="array" ref="F272">INDEX(Turmas!D2:D106,MATCH(E272,Turmas!A2:A106,0))</f>
        <v>Tarde</v>
      </c>
      <c r="G272" s="14">
        <v>0.0</v>
      </c>
      <c r="H272" s="15">
        <v>4.0</v>
      </c>
      <c r="I272" s="15">
        <v>0.0</v>
      </c>
      <c r="J272" s="15">
        <v>4.0</v>
      </c>
      <c r="K272" s="15">
        <f t="shared" si="1"/>
        <v>1</v>
      </c>
      <c r="L272" s="16" t="str">
        <f t="shared" si="2"/>
        <v>1-6,13-16</v>
      </c>
      <c r="M272" s="16" t="str">
        <f t="shared" si="3"/>
        <v>1-6,13-16</v>
      </c>
      <c r="N272" s="16" t="str">
        <f t="shared" si="4"/>
        <v>1-6,13-16</v>
      </c>
      <c r="O272" s="16" t="str">
        <f t="shared" si="5"/>
        <v>1-6,13-16</v>
      </c>
      <c r="P272" s="16" t="str">
        <f t="shared" si="6"/>
        <v>1-6,13-16</v>
      </c>
      <c r="Q272" s="16" t="str">
        <f t="shared" si="7"/>
        <v>1-16</v>
      </c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9">
        <v>182421.0</v>
      </c>
      <c r="B273" s="9" t="s">
        <v>670</v>
      </c>
      <c r="C273" s="10" t="s">
        <v>671</v>
      </c>
      <c r="D273" s="11" t="s">
        <v>672</v>
      </c>
      <c r="E273" s="26" t="s">
        <v>666</v>
      </c>
      <c r="F273" s="13" t="str">
        <f t="array" ref="F273">INDEX(Turmas!D2:D106,MATCH(E273,Turmas!A2:A106,0))</f>
        <v>Tarde</v>
      </c>
      <c r="G273" s="14">
        <v>0.0</v>
      </c>
      <c r="H273" s="15">
        <v>2.0</v>
      </c>
      <c r="I273" s="15">
        <v>0.0</v>
      </c>
      <c r="J273" s="15">
        <v>2.0</v>
      </c>
      <c r="K273" s="15">
        <f t="shared" si="1"/>
        <v>1</v>
      </c>
      <c r="L273" s="16" t="str">
        <f t="shared" si="2"/>
        <v>1-6,13-16</v>
      </c>
      <c r="M273" s="16" t="str">
        <f t="shared" si="3"/>
        <v>1-6,13-16</v>
      </c>
      <c r="N273" s="16" t="str">
        <f t="shared" si="4"/>
        <v>1-6,13-16</v>
      </c>
      <c r="O273" s="16" t="str">
        <f t="shared" si="5"/>
        <v>1-6,13-16</v>
      </c>
      <c r="P273" s="16" t="str">
        <f t="shared" si="6"/>
        <v>1-6,13-16</v>
      </c>
      <c r="Q273" s="16" t="str">
        <f t="shared" si="7"/>
        <v>1-16</v>
      </c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9">
        <v>182422.0</v>
      </c>
      <c r="B274" s="9" t="s">
        <v>673</v>
      </c>
      <c r="C274" s="10" t="s">
        <v>674</v>
      </c>
      <c r="D274" s="11" t="s">
        <v>675</v>
      </c>
      <c r="E274" s="26" t="s">
        <v>666</v>
      </c>
      <c r="F274" s="13" t="str">
        <f t="array" ref="F274">INDEX(Turmas!D2:D106,MATCH(E274,Turmas!A2:A106,0))</f>
        <v>Tarde</v>
      </c>
      <c r="G274" s="14">
        <v>0.0</v>
      </c>
      <c r="H274" s="15">
        <v>4.0</v>
      </c>
      <c r="I274" s="15">
        <v>0.0</v>
      </c>
      <c r="J274" s="15">
        <v>2.0</v>
      </c>
      <c r="K274" s="15">
        <f t="shared" si="1"/>
        <v>2</v>
      </c>
      <c r="L274" s="16" t="str">
        <f t="shared" si="2"/>
        <v>1-6,13-16</v>
      </c>
      <c r="M274" s="16" t="str">
        <f t="shared" si="3"/>
        <v>1-6,13-16</v>
      </c>
      <c r="N274" s="16" t="str">
        <f t="shared" si="4"/>
        <v>1-6,13-16</v>
      </c>
      <c r="O274" s="16" t="str">
        <f t="shared" si="5"/>
        <v>1-6,13-16</v>
      </c>
      <c r="P274" s="16" t="str">
        <f t="shared" si="6"/>
        <v>1-6,13-16</v>
      </c>
      <c r="Q274" s="16" t="str">
        <f t="shared" si="7"/>
        <v>1-16</v>
      </c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9">
        <v>182423.0</v>
      </c>
      <c r="B275" s="9" t="s">
        <v>676</v>
      </c>
      <c r="C275" s="10" t="s">
        <v>677</v>
      </c>
      <c r="D275" s="11" t="s">
        <v>678</v>
      </c>
      <c r="E275" s="26" t="s">
        <v>666</v>
      </c>
      <c r="F275" s="13" t="str">
        <f t="array" ref="F275">INDEX(Turmas!D2:D106,MATCH(E275,Turmas!A2:A106,0))</f>
        <v>Tarde</v>
      </c>
      <c r="G275" s="14">
        <v>0.0</v>
      </c>
      <c r="H275" s="15">
        <v>3.0</v>
      </c>
      <c r="I275" s="15">
        <v>0.0</v>
      </c>
      <c r="J275" s="15">
        <v>2.0</v>
      </c>
      <c r="K275" s="15">
        <f t="shared" si="1"/>
        <v>1</v>
      </c>
      <c r="L275" s="16" t="str">
        <f t="shared" si="2"/>
        <v>1-6,13-16</v>
      </c>
      <c r="M275" s="16" t="str">
        <f t="shared" si="3"/>
        <v>1-6,13-16</v>
      </c>
      <c r="N275" s="16" t="str">
        <f t="shared" si="4"/>
        <v>1-6,13-16</v>
      </c>
      <c r="O275" s="16" t="str">
        <f t="shared" si="5"/>
        <v>1-6,13-16</v>
      </c>
      <c r="P275" s="16" t="str">
        <f t="shared" si="6"/>
        <v>1-6,13-16</v>
      </c>
      <c r="Q275" s="16" t="str">
        <f t="shared" si="7"/>
        <v>1-16</v>
      </c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9">
        <v>182424.0</v>
      </c>
      <c r="B276" s="9" t="s">
        <v>679</v>
      </c>
      <c r="C276" s="10" t="s">
        <v>680</v>
      </c>
      <c r="D276" s="11" t="s">
        <v>681</v>
      </c>
      <c r="E276" s="26" t="s">
        <v>666</v>
      </c>
      <c r="F276" s="13" t="str">
        <f t="array" ref="F276">INDEX(Turmas!D2:D106,MATCH(E276,Turmas!A2:A106,0))</f>
        <v>Tarde</v>
      </c>
      <c r="G276" s="14">
        <v>0.0</v>
      </c>
      <c r="H276" s="15">
        <v>4.0</v>
      </c>
      <c r="I276" s="15">
        <v>0.0</v>
      </c>
      <c r="J276" s="15">
        <v>2.0</v>
      </c>
      <c r="K276" s="15">
        <f t="shared" si="1"/>
        <v>2</v>
      </c>
      <c r="L276" s="16" t="str">
        <f t="shared" si="2"/>
        <v>1-6,13-16</v>
      </c>
      <c r="M276" s="16" t="str">
        <f t="shared" si="3"/>
        <v>1-6,13-16</v>
      </c>
      <c r="N276" s="16" t="str">
        <f t="shared" si="4"/>
        <v>1-6,13-16</v>
      </c>
      <c r="O276" s="16" t="str">
        <f t="shared" si="5"/>
        <v>1-6,13-16</v>
      </c>
      <c r="P276" s="16" t="str">
        <f t="shared" si="6"/>
        <v>1-6,13-16</v>
      </c>
      <c r="Q276" s="16" t="str">
        <f t="shared" si="7"/>
        <v>1-16</v>
      </c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9">
        <v>182425.0</v>
      </c>
      <c r="B277" s="9" t="s">
        <v>682</v>
      </c>
      <c r="C277" s="10" t="s">
        <v>683</v>
      </c>
      <c r="D277" s="11" t="s">
        <v>684</v>
      </c>
      <c r="E277" s="26" t="s">
        <v>685</v>
      </c>
      <c r="F277" s="13" t="str">
        <f t="array" ref="F277">INDEX(Turmas!D2:D106,MATCH(E277,Turmas!A2:A106,0))</f>
        <v>Manhã</v>
      </c>
      <c r="G277" s="14">
        <v>0.0</v>
      </c>
      <c r="H277" s="15">
        <v>3.0</v>
      </c>
      <c r="I277" s="15">
        <v>0.0</v>
      </c>
      <c r="J277" s="15">
        <v>2.0</v>
      </c>
      <c r="K277" s="15">
        <f t="shared" si="1"/>
        <v>1</v>
      </c>
      <c r="L277" s="16" t="str">
        <f t="shared" si="2"/>
        <v>7-16</v>
      </c>
      <c r="M277" s="16" t="str">
        <f t="shared" si="3"/>
        <v>7-16</v>
      </c>
      <c r="N277" s="16" t="str">
        <f t="shared" si="4"/>
        <v>7-16</v>
      </c>
      <c r="O277" s="16" t="str">
        <f t="shared" si="5"/>
        <v>7-16</v>
      </c>
      <c r="P277" s="16" t="str">
        <f t="shared" si="6"/>
        <v>7-16</v>
      </c>
      <c r="Q277" s="16" t="str">
        <f t="shared" si="7"/>
        <v>1-16</v>
      </c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9">
        <v>182426.0</v>
      </c>
      <c r="B278" s="9" t="s">
        <v>686</v>
      </c>
      <c r="C278" s="10" t="s">
        <v>687</v>
      </c>
      <c r="D278" s="11" t="s">
        <v>678</v>
      </c>
      <c r="E278" s="26" t="s">
        <v>685</v>
      </c>
      <c r="F278" s="13" t="str">
        <f t="array" ref="F278">INDEX(Turmas!D2:D106,MATCH(E278,Turmas!A2:A106,0))</f>
        <v>Manhã</v>
      </c>
      <c r="G278" s="14">
        <v>0.0</v>
      </c>
      <c r="H278" s="15">
        <v>3.0</v>
      </c>
      <c r="I278" s="15">
        <v>0.0</v>
      </c>
      <c r="J278" s="15">
        <v>2.0</v>
      </c>
      <c r="K278" s="15">
        <f t="shared" si="1"/>
        <v>1</v>
      </c>
      <c r="L278" s="16" t="str">
        <f t="shared" si="2"/>
        <v>7-16</v>
      </c>
      <c r="M278" s="16" t="str">
        <f t="shared" si="3"/>
        <v>7-16</v>
      </c>
      <c r="N278" s="16" t="str">
        <f t="shared" si="4"/>
        <v>7-16</v>
      </c>
      <c r="O278" s="16" t="str">
        <f t="shared" si="5"/>
        <v>7-16</v>
      </c>
      <c r="P278" s="16" t="str">
        <f t="shared" si="6"/>
        <v>7-16</v>
      </c>
      <c r="Q278" s="16" t="str">
        <f t="shared" si="7"/>
        <v>1-16</v>
      </c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9">
        <v>182427.0</v>
      </c>
      <c r="B279" s="9" t="s">
        <v>688</v>
      </c>
      <c r="C279" s="10" t="s">
        <v>689</v>
      </c>
      <c r="D279" s="11" t="s">
        <v>681</v>
      </c>
      <c r="E279" s="26" t="s">
        <v>685</v>
      </c>
      <c r="F279" s="13" t="str">
        <f t="array" ref="F279">INDEX(Turmas!D2:D106,MATCH(E279,Turmas!A2:A106,0))</f>
        <v>Manhã</v>
      </c>
      <c r="G279" s="14">
        <v>0.0</v>
      </c>
      <c r="H279" s="15">
        <v>3.0</v>
      </c>
      <c r="I279" s="15">
        <v>0.0</v>
      </c>
      <c r="J279" s="15">
        <v>2.0</v>
      </c>
      <c r="K279" s="15">
        <f t="shared" si="1"/>
        <v>1</v>
      </c>
      <c r="L279" s="16" t="str">
        <f t="shared" si="2"/>
        <v>7-16</v>
      </c>
      <c r="M279" s="16" t="str">
        <f t="shared" si="3"/>
        <v>7-16</v>
      </c>
      <c r="N279" s="16" t="str">
        <f t="shared" si="4"/>
        <v>7-16</v>
      </c>
      <c r="O279" s="16" t="str">
        <f t="shared" si="5"/>
        <v>7-16</v>
      </c>
      <c r="P279" s="16" t="str">
        <f t="shared" si="6"/>
        <v>7-16</v>
      </c>
      <c r="Q279" s="16" t="str">
        <f t="shared" si="7"/>
        <v>1-16</v>
      </c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9">
        <v>182428.0</v>
      </c>
      <c r="B280" s="9" t="s">
        <v>690</v>
      </c>
      <c r="C280" s="10" t="s">
        <v>691</v>
      </c>
      <c r="D280" s="11" t="s">
        <v>692</v>
      </c>
      <c r="E280" s="26" t="s">
        <v>685</v>
      </c>
      <c r="F280" s="13" t="str">
        <f t="array" ref="F280">INDEX(Turmas!D2:D106,MATCH(E280,Turmas!A2:A106,0))</f>
        <v>Manhã</v>
      </c>
      <c r="G280" s="14">
        <v>0.0</v>
      </c>
      <c r="H280" s="15">
        <v>3.0</v>
      </c>
      <c r="I280" s="15">
        <v>0.0</v>
      </c>
      <c r="J280" s="15">
        <v>2.0</v>
      </c>
      <c r="K280" s="15">
        <f t="shared" si="1"/>
        <v>1</v>
      </c>
      <c r="L280" s="16" t="str">
        <f t="shared" si="2"/>
        <v>7-16</v>
      </c>
      <c r="M280" s="16" t="str">
        <f t="shared" si="3"/>
        <v>7-16</v>
      </c>
      <c r="N280" s="16" t="str">
        <f t="shared" si="4"/>
        <v>7-16</v>
      </c>
      <c r="O280" s="16" t="str">
        <f t="shared" si="5"/>
        <v>7-16</v>
      </c>
      <c r="P280" s="16" t="str">
        <f t="shared" si="6"/>
        <v>7-16</v>
      </c>
      <c r="Q280" s="16" t="str">
        <f t="shared" si="7"/>
        <v>1-16</v>
      </c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9">
        <v>182430.0</v>
      </c>
      <c r="B281" s="9" t="s">
        <v>693</v>
      </c>
      <c r="C281" s="10" t="s">
        <v>694</v>
      </c>
      <c r="D281" s="11" t="s">
        <v>643</v>
      </c>
      <c r="E281" s="26" t="s">
        <v>685</v>
      </c>
      <c r="F281" s="13" t="str">
        <f t="array" ref="F281">INDEX(Turmas!D2:D106,MATCH(E281,Turmas!A2:A106,0))</f>
        <v>Manhã</v>
      </c>
      <c r="G281" s="14">
        <v>0.0</v>
      </c>
      <c r="H281" s="15">
        <v>3.0</v>
      </c>
      <c r="I281" s="15">
        <v>0.0</v>
      </c>
      <c r="J281" s="15">
        <v>2.0</v>
      </c>
      <c r="K281" s="15">
        <f t="shared" si="1"/>
        <v>1</v>
      </c>
      <c r="L281" s="16" t="str">
        <f t="shared" si="2"/>
        <v>7-16</v>
      </c>
      <c r="M281" s="16" t="str">
        <f t="shared" si="3"/>
        <v>7-16</v>
      </c>
      <c r="N281" s="16" t="str">
        <f t="shared" si="4"/>
        <v>7-16</v>
      </c>
      <c r="O281" s="16" t="str">
        <f t="shared" si="5"/>
        <v>7-16</v>
      </c>
      <c r="P281" s="16" t="str">
        <f t="shared" si="6"/>
        <v>7-16</v>
      </c>
      <c r="Q281" s="16" t="str">
        <f t="shared" si="7"/>
        <v>1-16</v>
      </c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9">
        <v>182429.0</v>
      </c>
      <c r="B282" s="9" t="s">
        <v>695</v>
      </c>
      <c r="C282" s="10" t="s">
        <v>696</v>
      </c>
      <c r="D282" s="11" t="s">
        <v>697</v>
      </c>
      <c r="E282" s="26" t="s">
        <v>685</v>
      </c>
      <c r="F282" s="13" t="str">
        <f t="array" ref="F282">INDEX(Turmas!D2:D106,MATCH(E282,Turmas!A2:A106,0))</f>
        <v>Manhã</v>
      </c>
      <c r="G282" s="14">
        <v>0.0</v>
      </c>
      <c r="H282" s="15">
        <v>5.0</v>
      </c>
      <c r="I282" s="15">
        <v>0.0</v>
      </c>
      <c r="J282" s="15">
        <v>2.0</v>
      </c>
      <c r="K282" s="15">
        <f t="shared" si="1"/>
        <v>2</v>
      </c>
      <c r="L282" s="16" t="str">
        <f t="shared" si="2"/>
        <v>7-16</v>
      </c>
      <c r="M282" s="16" t="str">
        <f t="shared" si="3"/>
        <v>7-16</v>
      </c>
      <c r="N282" s="16" t="str">
        <f t="shared" si="4"/>
        <v>7-16</v>
      </c>
      <c r="O282" s="16" t="str">
        <f t="shared" si="5"/>
        <v>7-16</v>
      </c>
      <c r="P282" s="16" t="str">
        <f t="shared" si="6"/>
        <v>7-16</v>
      </c>
      <c r="Q282" s="16" t="str">
        <f t="shared" si="7"/>
        <v>1-16</v>
      </c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9">
        <v>182431.0</v>
      </c>
      <c r="B283" s="9" t="s">
        <v>698</v>
      </c>
      <c r="C283" s="10" t="s">
        <v>699</v>
      </c>
      <c r="D283" s="11" t="s">
        <v>116</v>
      </c>
      <c r="E283" s="26" t="s">
        <v>700</v>
      </c>
      <c r="F283" s="13" t="str">
        <f t="array" ref="F283">INDEX(Turmas!D2:D106,MATCH(E283,Turmas!A2:A106,0))</f>
        <v>Tarde</v>
      </c>
      <c r="G283" s="14">
        <v>0.0</v>
      </c>
      <c r="H283" s="15">
        <v>3.0</v>
      </c>
      <c r="I283" s="15">
        <v>0.0</v>
      </c>
      <c r="J283" s="15">
        <v>2.0</v>
      </c>
      <c r="K283" s="15">
        <f t="shared" si="1"/>
        <v>1</v>
      </c>
      <c r="L283" s="16" t="str">
        <f t="shared" si="2"/>
        <v>1-6,13-16</v>
      </c>
      <c r="M283" s="16" t="str">
        <f t="shared" si="3"/>
        <v>1-6,13-16</v>
      </c>
      <c r="N283" s="16" t="str">
        <f t="shared" si="4"/>
        <v>1-6,13-16</v>
      </c>
      <c r="O283" s="16" t="str">
        <f t="shared" si="5"/>
        <v>1-6,13-16</v>
      </c>
      <c r="P283" s="16" t="str">
        <f t="shared" si="6"/>
        <v>1-6,13-16</v>
      </c>
      <c r="Q283" s="16" t="str">
        <f t="shared" si="7"/>
        <v>1-16</v>
      </c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9">
        <v>182432.0</v>
      </c>
      <c r="B284" s="9" t="s">
        <v>701</v>
      </c>
      <c r="C284" s="10" t="s">
        <v>702</v>
      </c>
      <c r="D284" s="11" t="s">
        <v>26</v>
      </c>
      <c r="E284" s="26" t="s">
        <v>700</v>
      </c>
      <c r="F284" s="13" t="str">
        <f t="array" ref="F284">INDEX(Turmas!D2:D106,MATCH(E284,Turmas!A2:A106,0))</f>
        <v>Tarde</v>
      </c>
      <c r="G284" s="14">
        <v>0.0</v>
      </c>
      <c r="H284" s="15">
        <v>2.0</v>
      </c>
      <c r="I284" s="15">
        <v>0.0</v>
      </c>
      <c r="J284" s="15">
        <v>2.0</v>
      </c>
      <c r="K284" s="15">
        <f t="shared" si="1"/>
        <v>1</v>
      </c>
      <c r="L284" s="16" t="str">
        <f t="shared" si="2"/>
        <v>1-6,13-16</v>
      </c>
      <c r="M284" s="16" t="str">
        <f t="shared" si="3"/>
        <v>1-6,13-16</v>
      </c>
      <c r="N284" s="16" t="str">
        <f t="shared" si="4"/>
        <v>1-6,13-16</v>
      </c>
      <c r="O284" s="16" t="str">
        <f t="shared" si="5"/>
        <v>1-6,13-16</v>
      </c>
      <c r="P284" s="16" t="str">
        <f t="shared" si="6"/>
        <v>1-6,13-16</v>
      </c>
      <c r="Q284" s="16" t="str">
        <f t="shared" si="7"/>
        <v>1-16</v>
      </c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9">
        <v>182434.0</v>
      </c>
      <c r="B285" s="9" t="s">
        <v>429</v>
      </c>
      <c r="C285" s="10" t="s">
        <v>309</v>
      </c>
      <c r="D285" s="11" t="s">
        <v>692</v>
      </c>
      <c r="E285" s="26" t="s">
        <v>700</v>
      </c>
      <c r="F285" s="13" t="str">
        <f t="array" ref="F285">INDEX(Turmas!D2:D106,MATCH(E285,Turmas!A2:A106,0))</f>
        <v>Tarde</v>
      </c>
      <c r="G285" s="14">
        <v>0.0</v>
      </c>
      <c r="H285" s="15">
        <v>2.0</v>
      </c>
      <c r="I285" s="15">
        <v>0.0</v>
      </c>
      <c r="J285" s="15">
        <v>2.0</v>
      </c>
      <c r="K285" s="15">
        <f t="shared" si="1"/>
        <v>1</v>
      </c>
      <c r="L285" s="16" t="str">
        <f t="shared" si="2"/>
        <v>1-6,13-16</v>
      </c>
      <c r="M285" s="16" t="str">
        <f t="shared" si="3"/>
        <v>1-6,13-16</v>
      </c>
      <c r="N285" s="16" t="str">
        <f t="shared" si="4"/>
        <v>1-6,13-16</v>
      </c>
      <c r="O285" s="16" t="str">
        <f t="shared" si="5"/>
        <v>1-6,13-16</v>
      </c>
      <c r="P285" s="16" t="str">
        <f t="shared" si="6"/>
        <v>1-6,13-16</v>
      </c>
      <c r="Q285" s="16" t="str">
        <f t="shared" si="7"/>
        <v>1-16</v>
      </c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9">
        <v>182437.0</v>
      </c>
      <c r="B286" s="9" t="s">
        <v>703</v>
      </c>
      <c r="C286" s="10" t="s">
        <v>704</v>
      </c>
      <c r="D286" s="11" t="s">
        <v>705</v>
      </c>
      <c r="E286" s="26" t="s">
        <v>700</v>
      </c>
      <c r="F286" s="13" t="str">
        <f t="array" ref="F286">INDEX(Turmas!D2:D106,MATCH(E286,Turmas!A2:A106,0))</f>
        <v>Tarde</v>
      </c>
      <c r="G286" s="14">
        <v>0.0</v>
      </c>
      <c r="H286" s="15">
        <v>2.0</v>
      </c>
      <c r="I286" s="15">
        <v>0.0</v>
      </c>
      <c r="J286" s="15">
        <v>2.0</v>
      </c>
      <c r="K286" s="15">
        <f t="shared" si="1"/>
        <v>1</v>
      </c>
      <c r="L286" s="16" t="str">
        <f t="shared" si="2"/>
        <v>1-6,13-16</v>
      </c>
      <c r="M286" s="16" t="str">
        <f t="shared" si="3"/>
        <v>1-6,13-16</v>
      </c>
      <c r="N286" s="16" t="str">
        <f t="shared" si="4"/>
        <v>1-6,13-16</v>
      </c>
      <c r="O286" s="16" t="str">
        <f t="shared" si="5"/>
        <v>1-6,13-16</v>
      </c>
      <c r="P286" s="16" t="str">
        <f t="shared" si="6"/>
        <v>1-6,13-16</v>
      </c>
      <c r="Q286" s="16" t="str">
        <f t="shared" si="7"/>
        <v>1-16</v>
      </c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9">
        <v>182441.0</v>
      </c>
      <c r="B287" s="9" t="s">
        <v>706</v>
      </c>
      <c r="C287" s="10" t="s">
        <v>707</v>
      </c>
      <c r="D287" s="11" t="s">
        <v>437</v>
      </c>
      <c r="E287" s="26" t="s">
        <v>700</v>
      </c>
      <c r="F287" s="13" t="str">
        <f t="array" ref="F287">INDEX(Turmas!D2:D106,MATCH(E287,Turmas!A2:A106,0))</f>
        <v>Tarde</v>
      </c>
      <c r="G287" s="14">
        <v>0.0</v>
      </c>
      <c r="H287" s="15">
        <v>2.0</v>
      </c>
      <c r="I287" s="15">
        <v>0.0</v>
      </c>
      <c r="J287" s="15">
        <v>2.0</v>
      </c>
      <c r="K287" s="15">
        <f t="shared" si="1"/>
        <v>1</v>
      </c>
      <c r="L287" s="16" t="str">
        <f t="shared" si="2"/>
        <v>1-6,13-16</v>
      </c>
      <c r="M287" s="16" t="str">
        <f t="shared" si="3"/>
        <v>1-6,13-16</v>
      </c>
      <c r="N287" s="16" t="str">
        <f t="shared" si="4"/>
        <v>1-6,13-16</v>
      </c>
      <c r="O287" s="16" t="str">
        <f t="shared" si="5"/>
        <v>1-6,13-16</v>
      </c>
      <c r="P287" s="16" t="str">
        <f t="shared" si="6"/>
        <v>1-6,13-16</v>
      </c>
      <c r="Q287" s="16" t="str">
        <f t="shared" si="7"/>
        <v>1-16</v>
      </c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9">
        <v>182443.0</v>
      </c>
      <c r="B288" s="9" t="s">
        <v>708</v>
      </c>
      <c r="C288" s="10" t="s">
        <v>495</v>
      </c>
      <c r="D288" s="11" t="s">
        <v>496</v>
      </c>
      <c r="E288" s="26" t="s">
        <v>700</v>
      </c>
      <c r="F288" s="13" t="str">
        <f t="array" ref="F288">INDEX(Turmas!D2:D106,MATCH(E288,Turmas!A2:A106,0))</f>
        <v>Tarde</v>
      </c>
      <c r="G288" s="14">
        <v>0.0</v>
      </c>
      <c r="H288" s="15">
        <v>3.0</v>
      </c>
      <c r="I288" s="15">
        <v>0.0</v>
      </c>
      <c r="J288" s="15">
        <v>2.0</v>
      </c>
      <c r="K288" s="15">
        <f t="shared" si="1"/>
        <v>1</v>
      </c>
      <c r="L288" s="16" t="str">
        <f t="shared" si="2"/>
        <v>1-6,13-16</v>
      </c>
      <c r="M288" s="16" t="str">
        <f t="shared" si="3"/>
        <v>1-6,13-16</v>
      </c>
      <c r="N288" s="16" t="str">
        <f t="shared" si="4"/>
        <v>1-6,13-16</v>
      </c>
      <c r="O288" s="16" t="str">
        <f t="shared" si="5"/>
        <v>1-6,13-16</v>
      </c>
      <c r="P288" s="16" t="str">
        <f t="shared" si="6"/>
        <v>1-6,13-16</v>
      </c>
      <c r="Q288" s="16" t="str">
        <f t="shared" si="7"/>
        <v>1-16</v>
      </c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9">
        <v>182444.0</v>
      </c>
      <c r="B289" s="9" t="s">
        <v>709</v>
      </c>
      <c r="C289" s="10" t="s">
        <v>710</v>
      </c>
      <c r="D289" s="11" t="s">
        <v>711</v>
      </c>
      <c r="E289" s="23" t="s">
        <v>700</v>
      </c>
      <c r="F289" s="13" t="str">
        <f t="array" ref="F289">INDEX(Turmas!D2:D106,MATCH(E289,Turmas!A2:A106,0))</f>
        <v>Tarde</v>
      </c>
      <c r="G289" s="14">
        <v>0.0</v>
      </c>
      <c r="H289" s="15">
        <v>2.0</v>
      </c>
      <c r="I289" s="15">
        <v>0.0</v>
      </c>
      <c r="J289" s="15">
        <v>2.0</v>
      </c>
      <c r="K289" s="15">
        <f t="shared" si="1"/>
        <v>1</v>
      </c>
      <c r="L289" s="16" t="str">
        <f t="shared" si="2"/>
        <v>1-6,13-16</v>
      </c>
      <c r="M289" s="16" t="str">
        <f t="shared" si="3"/>
        <v>1-6,13-16</v>
      </c>
      <c r="N289" s="16" t="str">
        <f t="shared" si="4"/>
        <v>1-6,13-16</v>
      </c>
      <c r="O289" s="16" t="str">
        <f t="shared" si="5"/>
        <v>1-6,13-16</v>
      </c>
      <c r="P289" s="16" t="str">
        <f t="shared" si="6"/>
        <v>1-6,13-16</v>
      </c>
      <c r="Q289" s="16" t="str">
        <f t="shared" si="7"/>
        <v>1-16</v>
      </c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9">
        <v>182445.0</v>
      </c>
      <c r="B290" s="9" t="s">
        <v>712</v>
      </c>
      <c r="C290" s="10" t="s">
        <v>713</v>
      </c>
      <c r="D290" s="11" t="s">
        <v>675</v>
      </c>
      <c r="E290" s="23" t="s">
        <v>700</v>
      </c>
      <c r="F290" s="13" t="str">
        <f t="array" ref="F290">INDEX(Turmas!D2:D106,MATCH(E290,Turmas!A2:A106,0))</f>
        <v>Tarde</v>
      </c>
      <c r="G290" s="14">
        <v>0.0</v>
      </c>
      <c r="H290" s="15">
        <v>2.0</v>
      </c>
      <c r="I290" s="15">
        <v>0.0</v>
      </c>
      <c r="J290" s="15">
        <v>2.0</v>
      </c>
      <c r="K290" s="15">
        <f t="shared" si="1"/>
        <v>1</v>
      </c>
      <c r="L290" s="16" t="str">
        <f t="shared" si="2"/>
        <v>1-6,13-16</v>
      </c>
      <c r="M290" s="16" t="str">
        <f t="shared" si="3"/>
        <v>1-6,13-16</v>
      </c>
      <c r="N290" s="16" t="str">
        <f t="shared" si="4"/>
        <v>1-6,13-16</v>
      </c>
      <c r="O290" s="16" t="str">
        <f t="shared" si="5"/>
        <v>1-6,13-16</v>
      </c>
      <c r="P290" s="16" t="str">
        <f t="shared" si="6"/>
        <v>1-6,13-16</v>
      </c>
      <c r="Q290" s="16" t="str">
        <f t="shared" si="7"/>
        <v>1-16</v>
      </c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9">
        <v>182446.0</v>
      </c>
      <c r="B291" s="9" t="s">
        <v>714</v>
      </c>
      <c r="C291" s="10" t="s">
        <v>140</v>
      </c>
      <c r="D291" s="11" t="s">
        <v>675</v>
      </c>
      <c r="E291" s="23" t="s">
        <v>700</v>
      </c>
      <c r="F291" s="13" t="str">
        <f t="array" ref="F291">INDEX(Turmas!D2:D106,MATCH(E291,Turmas!A2:A106,0))</f>
        <v>Tarde</v>
      </c>
      <c r="G291" s="14">
        <v>0.0</v>
      </c>
      <c r="H291" s="15">
        <v>3.0</v>
      </c>
      <c r="I291" s="15">
        <v>0.0</v>
      </c>
      <c r="J291" s="15">
        <v>2.0</v>
      </c>
      <c r="K291" s="15">
        <f t="shared" si="1"/>
        <v>1</v>
      </c>
      <c r="L291" s="16" t="str">
        <f t="shared" si="2"/>
        <v>1-6,13-16</v>
      </c>
      <c r="M291" s="16" t="str">
        <f t="shared" si="3"/>
        <v>1-6,13-16</v>
      </c>
      <c r="N291" s="16" t="str">
        <f t="shared" si="4"/>
        <v>1-6,13-16</v>
      </c>
      <c r="O291" s="16" t="str">
        <f t="shared" si="5"/>
        <v>1-6,13-16</v>
      </c>
      <c r="P291" s="16" t="str">
        <f t="shared" si="6"/>
        <v>1-6,13-16</v>
      </c>
      <c r="Q291" s="16" t="str">
        <f t="shared" si="7"/>
        <v>1-16</v>
      </c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9">
        <v>182447.0</v>
      </c>
      <c r="B292" s="9" t="s">
        <v>715</v>
      </c>
      <c r="C292" s="10" t="s">
        <v>18</v>
      </c>
      <c r="D292" s="11" t="s">
        <v>19</v>
      </c>
      <c r="E292" s="23" t="s">
        <v>716</v>
      </c>
      <c r="F292" s="13" t="str">
        <f t="array" ref="F292">INDEX(Turmas!D2:D106,MATCH(E292,Turmas!A2:A106,0))</f>
        <v>Noite</v>
      </c>
      <c r="G292" s="14">
        <v>0.0</v>
      </c>
      <c r="H292" s="15">
        <v>4.0</v>
      </c>
      <c r="I292" s="15">
        <v>0.0</v>
      </c>
      <c r="J292" s="15">
        <v>2.0</v>
      </c>
      <c r="K292" s="15">
        <f t="shared" si="1"/>
        <v>2</v>
      </c>
      <c r="L292" s="16" t="str">
        <f t="shared" si="2"/>
        <v>1-12</v>
      </c>
      <c r="M292" s="16" t="str">
        <f t="shared" si="3"/>
        <v>1-12</v>
      </c>
      <c r="N292" s="16" t="str">
        <f t="shared" si="4"/>
        <v>1-12</v>
      </c>
      <c r="O292" s="16" t="str">
        <f t="shared" si="5"/>
        <v>1-12</v>
      </c>
      <c r="P292" s="16" t="str">
        <f t="shared" si="6"/>
        <v>1-12</v>
      </c>
      <c r="Q292" s="16" t="str">
        <f t="shared" si="7"/>
        <v>0</v>
      </c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9">
        <v>183502.0</v>
      </c>
      <c r="B293" s="9" t="s">
        <v>717</v>
      </c>
      <c r="C293" s="10" t="s">
        <v>718</v>
      </c>
      <c r="D293" s="11" t="s">
        <v>719</v>
      </c>
      <c r="E293" s="23" t="s">
        <v>716</v>
      </c>
      <c r="F293" s="13" t="str">
        <f t="array" ref="F293">INDEX(Turmas!D2:D106,MATCH(E293,Turmas!A2:A106,0))</f>
        <v>Noite</v>
      </c>
      <c r="G293" s="14">
        <v>0.0</v>
      </c>
      <c r="H293" s="15">
        <v>2.0</v>
      </c>
      <c r="I293" s="15">
        <v>0.0</v>
      </c>
      <c r="J293" s="15">
        <v>2.0</v>
      </c>
      <c r="K293" s="15">
        <f t="shared" si="1"/>
        <v>1</v>
      </c>
      <c r="L293" s="16" t="str">
        <f t="shared" si="2"/>
        <v>1-12</v>
      </c>
      <c r="M293" s="16" t="str">
        <f t="shared" si="3"/>
        <v>1-12</v>
      </c>
      <c r="N293" s="16" t="str">
        <f t="shared" si="4"/>
        <v>1-12</v>
      </c>
      <c r="O293" s="16" t="str">
        <f t="shared" si="5"/>
        <v>1-12</v>
      </c>
      <c r="P293" s="16" t="str">
        <f t="shared" si="6"/>
        <v>1-12</v>
      </c>
      <c r="Q293" s="16" t="str">
        <f t="shared" si="7"/>
        <v>0</v>
      </c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9">
        <v>183497.0</v>
      </c>
      <c r="B294" s="9" t="s">
        <v>720</v>
      </c>
      <c r="C294" s="10" t="s">
        <v>309</v>
      </c>
      <c r="D294" s="11" t="s">
        <v>40</v>
      </c>
      <c r="E294" s="23" t="s">
        <v>716</v>
      </c>
      <c r="F294" s="13" t="str">
        <f t="array" ref="F294">INDEX(Turmas!D2:D106,MATCH(E294,Turmas!A2:A106,0))</f>
        <v>Noite</v>
      </c>
      <c r="G294" s="14">
        <v>0.0</v>
      </c>
      <c r="H294" s="15">
        <v>4.0</v>
      </c>
      <c r="I294" s="15">
        <v>0.0</v>
      </c>
      <c r="J294" s="15">
        <v>2.0</v>
      </c>
      <c r="K294" s="15">
        <f t="shared" si="1"/>
        <v>2</v>
      </c>
      <c r="L294" s="16" t="str">
        <f t="shared" si="2"/>
        <v>1-12</v>
      </c>
      <c r="M294" s="16" t="str">
        <f t="shared" si="3"/>
        <v>1-12</v>
      </c>
      <c r="N294" s="16" t="str">
        <f t="shared" si="4"/>
        <v>1-12</v>
      </c>
      <c r="O294" s="16" t="str">
        <f t="shared" si="5"/>
        <v>1-12</v>
      </c>
      <c r="P294" s="16" t="str">
        <f t="shared" si="6"/>
        <v>1-12</v>
      </c>
      <c r="Q294" s="16" t="str">
        <f t="shared" si="7"/>
        <v>0</v>
      </c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9">
        <v>183499.0</v>
      </c>
      <c r="B295" s="9" t="s">
        <v>721</v>
      </c>
      <c r="C295" s="10" t="s">
        <v>722</v>
      </c>
      <c r="D295" s="11" t="s">
        <v>723</v>
      </c>
      <c r="E295" s="23" t="s">
        <v>716</v>
      </c>
      <c r="F295" s="13" t="str">
        <f t="array" ref="F295">INDEX(Turmas!D2:D106,MATCH(E295,Turmas!A2:A106,0))</f>
        <v>Noite</v>
      </c>
      <c r="G295" s="14">
        <v>0.0</v>
      </c>
      <c r="H295" s="15">
        <v>2.0</v>
      </c>
      <c r="I295" s="15">
        <v>0.0</v>
      </c>
      <c r="J295" s="15">
        <v>2.0</v>
      </c>
      <c r="K295" s="15">
        <f t="shared" si="1"/>
        <v>1</v>
      </c>
      <c r="L295" s="16" t="str">
        <f t="shared" si="2"/>
        <v>1-12</v>
      </c>
      <c r="M295" s="16" t="str">
        <f t="shared" si="3"/>
        <v>1-12</v>
      </c>
      <c r="N295" s="16" t="str">
        <f t="shared" si="4"/>
        <v>1-12</v>
      </c>
      <c r="O295" s="16" t="str">
        <f t="shared" si="5"/>
        <v>1-12</v>
      </c>
      <c r="P295" s="16" t="str">
        <f t="shared" si="6"/>
        <v>1-12</v>
      </c>
      <c r="Q295" s="16" t="str">
        <f t="shared" si="7"/>
        <v>0</v>
      </c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9">
        <v>183501.0</v>
      </c>
      <c r="B296" s="9" t="s">
        <v>33</v>
      </c>
      <c r="C296" s="10" t="s">
        <v>34</v>
      </c>
      <c r="D296" s="11" t="s">
        <v>35</v>
      </c>
      <c r="E296" s="23" t="s">
        <v>716</v>
      </c>
      <c r="F296" s="13" t="str">
        <f t="array" ref="F296">INDEX(Turmas!D2:D106,MATCH(E296,Turmas!A2:A106,0))</f>
        <v>Noite</v>
      </c>
      <c r="G296" s="14">
        <v>0.0</v>
      </c>
      <c r="H296" s="15">
        <v>2.0</v>
      </c>
      <c r="I296" s="15">
        <v>0.0</v>
      </c>
      <c r="J296" s="15">
        <v>2.0</v>
      </c>
      <c r="K296" s="15">
        <f t="shared" si="1"/>
        <v>1</v>
      </c>
      <c r="L296" s="16" t="str">
        <f t="shared" si="2"/>
        <v>1-12</v>
      </c>
      <c r="M296" s="16" t="str">
        <f t="shared" si="3"/>
        <v>1-12</v>
      </c>
      <c r="N296" s="16" t="str">
        <f t="shared" si="4"/>
        <v>1-12</v>
      </c>
      <c r="O296" s="16" t="str">
        <f t="shared" si="5"/>
        <v>1-12</v>
      </c>
      <c r="P296" s="16" t="str">
        <f t="shared" si="6"/>
        <v>1-12</v>
      </c>
      <c r="Q296" s="16" t="str">
        <f t="shared" si="7"/>
        <v>0</v>
      </c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9">
        <v>183500.0</v>
      </c>
      <c r="B297" s="9" t="s">
        <v>36</v>
      </c>
      <c r="C297" s="10" t="s">
        <v>37</v>
      </c>
      <c r="D297" s="11" t="s">
        <v>723</v>
      </c>
      <c r="E297" s="23" t="s">
        <v>716</v>
      </c>
      <c r="F297" s="13" t="str">
        <f t="array" ref="F297">INDEX(Turmas!D2:D106,MATCH(E297,Turmas!A2:A106,0))</f>
        <v>Noite</v>
      </c>
      <c r="G297" s="14">
        <v>0.0</v>
      </c>
      <c r="H297" s="15">
        <v>4.0</v>
      </c>
      <c r="I297" s="15">
        <v>0.0</v>
      </c>
      <c r="J297" s="15">
        <v>4.0</v>
      </c>
      <c r="K297" s="15">
        <f t="shared" si="1"/>
        <v>1</v>
      </c>
      <c r="L297" s="16" t="str">
        <f t="shared" si="2"/>
        <v>1-12</v>
      </c>
      <c r="M297" s="16" t="str">
        <f t="shared" si="3"/>
        <v>1-12</v>
      </c>
      <c r="N297" s="16" t="str">
        <f t="shared" si="4"/>
        <v>1-12</v>
      </c>
      <c r="O297" s="16" t="str">
        <f t="shared" si="5"/>
        <v>1-12</v>
      </c>
      <c r="P297" s="16" t="str">
        <f t="shared" si="6"/>
        <v>1-12</v>
      </c>
      <c r="Q297" s="16" t="str">
        <f t="shared" si="7"/>
        <v>0</v>
      </c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9">
        <v>183498.0</v>
      </c>
      <c r="B298" s="9" t="s">
        <v>724</v>
      </c>
      <c r="C298" s="10" t="s">
        <v>725</v>
      </c>
      <c r="D298" s="11" t="s">
        <v>719</v>
      </c>
      <c r="E298" s="23" t="s">
        <v>726</v>
      </c>
      <c r="F298" s="13" t="str">
        <f t="array" ref="F298">INDEX(Turmas!D2:D106,MATCH(E298,Turmas!A2:A106,0))</f>
        <v>Noite</v>
      </c>
      <c r="G298" s="14">
        <v>0.0</v>
      </c>
      <c r="H298" s="15">
        <v>2.0</v>
      </c>
      <c r="I298" s="15">
        <v>0.0</v>
      </c>
      <c r="J298" s="15">
        <v>2.0</v>
      </c>
      <c r="K298" s="15">
        <f t="shared" si="1"/>
        <v>1</v>
      </c>
      <c r="L298" s="16" t="str">
        <f t="shared" si="2"/>
        <v>1-12</v>
      </c>
      <c r="M298" s="16" t="str">
        <f t="shared" si="3"/>
        <v>1-12</v>
      </c>
      <c r="N298" s="16" t="str">
        <f t="shared" si="4"/>
        <v>1-12</v>
      </c>
      <c r="O298" s="16" t="str">
        <f t="shared" si="5"/>
        <v>1-12</v>
      </c>
      <c r="P298" s="16" t="str">
        <f t="shared" si="6"/>
        <v>1-12</v>
      </c>
      <c r="Q298" s="16" t="str">
        <f t="shared" si="7"/>
        <v>0</v>
      </c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9">
        <v>183504.0</v>
      </c>
      <c r="B299" s="9" t="s">
        <v>727</v>
      </c>
      <c r="C299" s="10" t="s">
        <v>728</v>
      </c>
      <c r="D299" s="11" t="s">
        <v>723</v>
      </c>
      <c r="E299" s="23" t="s">
        <v>726</v>
      </c>
      <c r="F299" s="13" t="str">
        <f t="array" ref="F299">INDEX(Turmas!D2:D106,MATCH(E299,Turmas!A2:A106,0))</f>
        <v>Noite</v>
      </c>
      <c r="G299" s="14">
        <v>0.0</v>
      </c>
      <c r="H299" s="15">
        <v>2.0</v>
      </c>
      <c r="I299" s="15">
        <v>0.0</v>
      </c>
      <c r="J299" s="15">
        <v>2.0</v>
      </c>
      <c r="K299" s="15">
        <f t="shared" si="1"/>
        <v>1</v>
      </c>
      <c r="L299" s="16" t="str">
        <f t="shared" si="2"/>
        <v>1-12</v>
      </c>
      <c r="M299" s="16" t="str">
        <f t="shared" si="3"/>
        <v>1-12</v>
      </c>
      <c r="N299" s="16" t="str">
        <f t="shared" si="4"/>
        <v>1-12</v>
      </c>
      <c r="O299" s="16" t="str">
        <f t="shared" si="5"/>
        <v>1-12</v>
      </c>
      <c r="P299" s="16" t="str">
        <f t="shared" si="6"/>
        <v>1-12</v>
      </c>
      <c r="Q299" s="16" t="str">
        <f t="shared" si="7"/>
        <v>0</v>
      </c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9">
        <v>183507.0</v>
      </c>
      <c r="B300" s="9" t="s">
        <v>729</v>
      </c>
      <c r="C300" s="10" t="s">
        <v>730</v>
      </c>
      <c r="D300" s="11" t="s">
        <v>56</v>
      </c>
      <c r="E300" s="23" t="s">
        <v>726</v>
      </c>
      <c r="F300" s="13" t="str">
        <f t="array" ref="F300">INDEX(Turmas!D2:D106,MATCH(E300,Turmas!A2:A106,0))</f>
        <v>Noite</v>
      </c>
      <c r="G300" s="14">
        <v>0.0</v>
      </c>
      <c r="H300" s="15">
        <v>4.0</v>
      </c>
      <c r="I300" s="15">
        <v>0.0</v>
      </c>
      <c r="J300" s="15">
        <v>4.0</v>
      </c>
      <c r="K300" s="15">
        <f t="shared" si="1"/>
        <v>1</v>
      </c>
      <c r="L300" s="16" t="str">
        <f t="shared" si="2"/>
        <v>1-12</v>
      </c>
      <c r="M300" s="16" t="str">
        <f t="shared" si="3"/>
        <v>1-12</v>
      </c>
      <c r="N300" s="16" t="str">
        <f t="shared" si="4"/>
        <v>1-12</v>
      </c>
      <c r="O300" s="16" t="str">
        <f t="shared" si="5"/>
        <v>1-12</v>
      </c>
      <c r="P300" s="16" t="str">
        <f t="shared" si="6"/>
        <v>1-12</v>
      </c>
      <c r="Q300" s="16" t="str">
        <f t="shared" si="7"/>
        <v>0</v>
      </c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9">
        <v>183506.0</v>
      </c>
      <c r="B301" s="9" t="s">
        <v>731</v>
      </c>
      <c r="C301" s="10" t="s">
        <v>732</v>
      </c>
      <c r="D301" s="11" t="s">
        <v>128</v>
      </c>
      <c r="E301" s="23" t="s">
        <v>726</v>
      </c>
      <c r="F301" s="13" t="str">
        <f t="array" ref="F301">INDEX(Turmas!D2:D106,MATCH(E301,Turmas!A2:A106,0))</f>
        <v>Noite</v>
      </c>
      <c r="G301" s="14">
        <v>0.0</v>
      </c>
      <c r="H301" s="15">
        <v>2.0</v>
      </c>
      <c r="I301" s="15">
        <v>0.0</v>
      </c>
      <c r="J301" s="15">
        <v>2.0</v>
      </c>
      <c r="K301" s="15">
        <f t="shared" si="1"/>
        <v>1</v>
      </c>
      <c r="L301" s="16" t="str">
        <f t="shared" si="2"/>
        <v>1-12</v>
      </c>
      <c r="M301" s="16" t="str">
        <f t="shared" si="3"/>
        <v>1-12</v>
      </c>
      <c r="N301" s="16" t="str">
        <f t="shared" si="4"/>
        <v>1-12</v>
      </c>
      <c r="O301" s="16" t="str">
        <f t="shared" si="5"/>
        <v>1-12</v>
      </c>
      <c r="P301" s="16" t="str">
        <f t="shared" si="6"/>
        <v>1-12</v>
      </c>
      <c r="Q301" s="16" t="str">
        <f t="shared" si="7"/>
        <v>0</v>
      </c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9">
        <v>183503.0</v>
      </c>
      <c r="B302" s="9" t="s">
        <v>733</v>
      </c>
      <c r="C302" s="10" t="s">
        <v>734</v>
      </c>
      <c r="D302" s="11" t="s">
        <v>40</v>
      </c>
      <c r="E302" s="23" t="s">
        <v>726</v>
      </c>
      <c r="F302" s="13" t="str">
        <f t="array" ref="F302">INDEX(Turmas!D2:D106,MATCH(E302,Turmas!A2:A106,0))</f>
        <v>Noite</v>
      </c>
      <c r="G302" s="14">
        <v>0.0</v>
      </c>
      <c r="H302" s="15">
        <v>4.0</v>
      </c>
      <c r="I302" s="15">
        <v>0.0</v>
      </c>
      <c r="J302" s="15">
        <v>4.0</v>
      </c>
      <c r="K302" s="15">
        <f t="shared" si="1"/>
        <v>1</v>
      </c>
      <c r="L302" s="16" t="str">
        <f t="shared" si="2"/>
        <v>1-12</v>
      </c>
      <c r="M302" s="16" t="str">
        <f t="shared" si="3"/>
        <v>1-12</v>
      </c>
      <c r="N302" s="16" t="str">
        <f t="shared" si="4"/>
        <v>1-12</v>
      </c>
      <c r="O302" s="16" t="str">
        <f t="shared" si="5"/>
        <v>1-12</v>
      </c>
      <c r="P302" s="16" t="str">
        <f t="shared" si="6"/>
        <v>1-12</v>
      </c>
      <c r="Q302" s="16" t="str">
        <f t="shared" si="7"/>
        <v>0</v>
      </c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9">
        <v>183505.0</v>
      </c>
      <c r="B303" s="9" t="s">
        <v>633</v>
      </c>
      <c r="C303" s="10" t="s">
        <v>198</v>
      </c>
      <c r="D303" s="11" t="s">
        <v>399</v>
      </c>
      <c r="E303" s="23" t="s">
        <v>735</v>
      </c>
      <c r="F303" s="13" t="str">
        <f t="array" ref="F303">INDEX(Turmas!D2:D106,MATCH(E303,Turmas!A2:A106,0))</f>
        <v>Tarde</v>
      </c>
      <c r="G303" s="14">
        <v>0.0</v>
      </c>
      <c r="H303" s="15">
        <v>4.0</v>
      </c>
      <c r="I303" s="15">
        <v>0.0</v>
      </c>
      <c r="J303" s="15">
        <v>2.0</v>
      </c>
      <c r="K303" s="15">
        <f t="shared" si="1"/>
        <v>2</v>
      </c>
      <c r="L303" s="16" t="str">
        <f t="shared" si="2"/>
        <v>1-6,13-16</v>
      </c>
      <c r="M303" s="16" t="str">
        <f t="shared" si="3"/>
        <v>1-6,13-16</v>
      </c>
      <c r="N303" s="16" t="str">
        <f t="shared" si="4"/>
        <v>1-6,13-16</v>
      </c>
      <c r="O303" s="16" t="str">
        <f t="shared" si="5"/>
        <v>1-6,13-16</v>
      </c>
      <c r="P303" s="16" t="str">
        <f t="shared" si="6"/>
        <v>1-6,13-16</v>
      </c>
      <c r="Q303" s="16" t="str">
        <f t="shared" si="7"/>
        <v>1-16</v>
      </c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9">
        <v>182356.0</v>
      </c>
      <c r="B304" s="9" t="s">
        <v>594</v>
      </c>
      <c r="C304" s="10" t="s">
        <v>215</v>
      </c>
      <c r="D304" s="11" t="s">
        <v>97</v>
      </c>
      <c r="E304" s="23" t="s">
        <v>735</v>
      </c>
      <c r="F304" s="13" t="str">
        <f t="array" ref="F304">INDEX(Turmas!D2:D106,MATCH(E304,Turmas!A2:A106,0))</f>
        <v>Tarde</v>
      </c>
      <c r="G304" s="14">
        <v>0.0</v>
      </c>
      <c r="H304" s="15">
        <v>3.0</v>
      </c>
      <c r="I304" s="15">
        <v>0.0</v>
      </c>
      <c r="J304" s="15">
        <v>2.0</v>
      </c>
      <c r="K304" s="15">
        <f t="shared" si="1"/>
        <v>1</v>
      </c>
      <c r="L304" s="16" t="str">
        <f t="shared" si="2"/>
        <v>1-6,13-16</v>
      </c>
      <c r="M304" s="16" t="str">
        <f t="shared" si="3"/>
        <v>1-6,13-16</v>
      </c>
      <c r="N304" s="16" t="str">
        <f t="shared" si="4"/>
        <v>1-6,13-16</v>
      </c>
      <c r="O304" s="16" t="str">
        <f t="shared" si="5"/>
        <v>1-6,13-16</v>
      </c>
      <c r="P304" s="16" t="str">
        <f t="shared" si="6"/>
        <v>1-6,13-16</v>
      </c>
      <c r="Q304" s="16" t="str">
        <f t="shared" si="7"/>
        <v>1-16</v>
      </c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9">
        <v>182357.0</v>
      </c>
      <c r="B305" s="9" t="s">
        <v>736</v>
      </c>
      <c r="C305" s="10" t="s">
        <v>737</v>
      </c>
      <c r="D305" s="11" t="s">
        <v>219</v>
      </c>
      <c r="E305" s="23" t="s">
        <v>735</v>
      </c>
      <c r="F305" s="13" t="str">
        <f t="array" ref="F305">INDEX(Turmas!D2:D106,MATCH(E305,Turmas!A2:A106,0))</f>
        <v>Tarde</v>
      </c>
      <c r="G305" s="14">
        <v>0.0</v>
      </c>
      <c r="H305" s="15">
        <v>3.0</v>
      </c>
      <c r="I305" s="15">
        <v>0.0</v>
      </c>
      <c r="J305" s="15">
        <v>2.0</v>
      </c>
      <c r="K305" s="15">
        <f t="shared" si="1"/>
        <v>1</v>
      </c>
      <c r="L305" s="16" t="str">
        <f t="shared" si="2"/>
        <v>1-6,13-16</v>
      </c>
      <c r="M305" s="16" t="str">
        <f t="shared" si="3"/>
        <v>1-6,13-16</v>
      </c>
      <c r="N305" s="16" t="str">
        <f t="shared" si="4"/>
        <v>1-6,13-16</v>
      </c>
      <c r="O305" s="16" t="str">
        <f t="shared" si="5"/>
        <v>1-6,13-16</v>
      </c>
      <c r="P305" s="16" t="str">
        <f t="shared" si="6"/>
        <v>1-6,13-16</v>
      </c>
      <c r="Q305" s="16" t="str">
        <f t="shared" si="7"/>
        <v>1-16</v>
      </c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9">
        <v>182358.0</v>
      </c>
      <c r="B306" s="9" t="s">
        <v>738</v>
      </c>
      <c r="C306" s="10" t="s">
        <v>660</v>
      </c>
      <c r="D306" s="11" t="s">
        <v>444</v>
      </c>
      <c r="E306" s="23" t="s">
        <v>735</v>
      </c>
      <c r="F306" s="13" t="str">
        <f t="array" ref="F306">INDEX(Turmas!D2:D106,MATCH(E306,Turmas!A2:A106,0))</f>
        <v>Tarde</v>
      </c>
      <c r="G306" s="14">
        <v>0.0</v>
      </c>
      <c r="H306" s="15">
        <v>2.0</v>
      </c>
      <c r="I306" s="15">
        <v>0.0</v>
      </c>
      <c r="J306" s="15">
        <v>2.0</v>
      </c>
      <c r="K306" s="15">
        <f t="shared" si="1"/>
        <v>1</v>
      </c>
      <c r="L306" s="16" t="str">
        <f t="shared" si="2"/>
        <v>1-6,13-16</v>
      </c>
      <c r="M306" s="16" t="str">
        <f t="shared" si="3"/>
        <v>1-6,13-16</v>
      </c>
      <c r="N306" s="16" t="str">
        <f t="shared" si="4"/>
        <v>1-6,13-16</v>
      </c>
      <c r="O306" s="16" t="str">
        <f t="shared" si="5"/>
        <v>1-6,13-16</v>
      </c>
      <c r="P306" s="16" t="str">
        <f t="shared" si="6"/>
        <v>1-6,13-16</v>
      </c>
      <c r="Q306" s="16" t="str">
        <f t="shared" si="7"/>
        <v>1-16</v>
      </c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9">
        <v>182359.0</v>
      </c>
      <c r="B307" s="9" t="s">
        <v>739</v>
      </c>
      <c r="C307" s="10" t="s">
        <v>740</v>
      </c>
      <c r="D307" s="11" t="s">
        <v>741</v>
      </c>
      <c r="E307" s="23" t="s">
        <v>735</v>
      </c>
      <c r="F307" s="13" t="str">
        <f t="array" ref="F307">INDEX(Turmas!D2:D106,MATCH(E307,Turmas!A2:A106,0))</f>
        <v>Tarde</v>
      </c>
      <c r="G307" s="14">
        <v>0.0</v>
      </c>
      <c r="H307" s="15">
        <v>3.0</v>
      </c>
      <c r="I307" s="15">
        <v>0.0</v>
      </c>
      <c r="J307" s="15">
        <v>2.0</v>
      </c>
      <c r="K307" s="15">
        <f t="shared" si="1"/>
        <v>1</v>
      </c>
      <c r="L307" s="16" t="str">
        <f t="shared" si="2"/>
        <v>1-6,13-16</v>
      </c>
      <c r="M307" s="16" t="str">
        <f t="shared" si="3"/>
        <v>1-6,13-16</v>
      </c>
      <c r="N307" s="16" t="str">
        <f t="shared" si="4"/>
        <v>1-6,13-16</v>
      </c>
      <c r="O307" s="16" t="str">
        <f t="shared" si="5"/>
        <v>1-6,13-16</v>
      </c>
      <c r="P307" s="16" t="str">
        <f t="shared" si="6"/>
        <v>1-6,13-16</v>
      </c>
      <c r="Q307" s="16" t="str">
        <f t="shared" si="7"/>
        <v>1-16</v>
      </c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9">
        <v>182360.0</v>
      </c>
      <c r="B308" s="9" t="s">
        <v>742</v>
      </c>
      <c r="C308" s="10" t="s">
        <v>209</v>
      </c>
      <c r="D308" s="11" t="s">
        <v>210</v>
      </c>
      <c r="E308" s="23" t="s">
        <v>735</v>
      </c>
      <c r="F308" s="13" t="str">
        <f t="array" ref="F308">INDEX(Turmas!D2:D106,MATCH(E308,Turmas!A2:A106,0))</f>
        <v>Tarde</v>
      </c>
      <c r="G308" s="14">
        <v>0.0</v>
      </c>
      <c r="H308" s="15">
        <v>2.0</v>
      </c>
      <c r="I308" s="15">
        <v>0.0</v>
      </c>
      <c r="J308" s="15">
        <v>2.0</v>
      </c>
      <c r="K308" s="15">
        <f t="shared" si="1"/>
        <v>1</v>
      </c>
      <c r="L308" s="16" t="str">
        <f t="shared" si="2"/>
        <v>1-6,13-16</v>
      </c>
      <c r="M308" s="16" t="str">
        <f t="shared" si="3"/>
        <v>1-6,13-16</v>
      </c>
      <c r="N308" s="16" t="str">
        <f t="shared" si="4"/>
        <v>1-6,13-16</v>
      </c>
      <c r="O308" s="16" t="str">
        <f t="shared" si="5"/>
        <v>1-6,13-16</v>
      </c>
      <c r="P308" s="16" t="str">
        <f t="shared" si="6"/>
        <v>1-6,13-16</v>
      </c>
      <c r="Q308" s="16" t="str">
        <f t="shared" si="7"/>
        <v>1-16</v>
      </c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9">
        <v>182361.0</v>
      </c>
      <c r="B309" s="9" t="s">
        <v>646</v>
      </c>
      <c r="C309" s="10" t="s">
        <v>212</v>
      </c>
      <c r="D309" s="11" t="s">
        <v>647</v>
      </c>
      <c r="E309" s="23" t="s">
        <v>735</v>
      </c>
      <c r="F309" s="13" t="str">
        <f t="array" ref="F309">INDEX(Turmas!D2:D106,MATCH(E309,Turmas!A2:A106,0))</f>
        <v>Tarde</v>
      </c>
      <c r="G309" s="14">
        <v>0.0</v>
      </c>
      <c r="H309" s="15">
        <v>2.0</v>
      </c>
      <c r="I309" s="15">
        <v>0.0</v>
      </c>
      <c r="J309" s="15">
        <v>2.0</v>
      </c>
      <c r="K309" s="15">
        <f t="shared" si="1"/>
        <v>1</v>
      </c>
      <c r="L309" s="16" t="str">
        <f t="shared" si="2"/>
        <v>1-6,13-16</v>
      </c>
      <c r="M309" s="16" t="str">
        <f t="shared" si="3"/>
        <v>1-6,13-16</v>
      </c>
      <c r="N309" s="16" t="str">
        <f t="shared" si="4"/>
        <v>1-6,13-16</v>
      </c>
      <c r="O309" s="16" t="str">
        <f t="shared" si="5"/>
        <v>1-6,13-16</v>
      </c>
      <c r="P309" s="16" t="str">
        <f t="shared" si="6"/>
        <v>1-6,13-16</v>
      </c>
      <c r="Q309" s="16" t="str">
        <f t="shared" si="7"/>
        <v>1-16</v>
      </c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9">
        <v>182362.0</v>
      </c>
      <c r="B310" s="9" t="s">
        <v>743</v>
      </c>
      <c r="C310" s="10" t="s">
        <v>458</v>
      </c>
      <c r="D310" s="11" t="s">
        <v>744</v>
      </c>
      <c r="E310" s="23" t="s">
        <v>745</v>
      </c>
      <c r="F310" s="13" t="str">
        <f t="array" ref="F310">INDEX(Turmas!D2:D106,MATCH(E310,Turmas!A2:A106,0))</f>
        <v>Manhã</v>
      </c>
      <c r="G310" s="14">
        <v>0.0</v>
      </c>
      <c r="H310" s="15">
        <v>3.0</v>
      </c>
      <c r="I310" s="15">
        <v>0.0</v>
      </c>
      <c r="J310" s="15">
        <v>2.0</v>
      </c>
      <c r="K310" s="15">
        <f t="shared" si="1"/>
        <v>1</v>
      </c>
      <c r="L310" s="16" t="str">
        <f t="shared" si="2"/>
        <v>7-16</v>
      </c>
      <c r="M310" s="16" t="str">
        <f t="shared" si="3"/>
        <v>7-16</v>
      </c>
      <c r="N310" s="16" t="str">
        <f t="shared" si="4"/>
        <v>7-16</v>
      </c>
      <c r="O310" s="16" t="str">
        <f t="shared" si="5"/>
        <v>7-16</v>
      </c>
      <c r="P310" s="16" t="str">
        <f t="shared" si="6"/>
        <v>7-16</v>
      </c>
      <c r="Q310" s="16" t="str">
        <f t="shared" si="7"/>
        <v>1-16</v>
      </c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9">
        <v>182363.0</v>
      </c>
      <c r="B311" s="9" t="s">
        <v>746</v>
      </c>
      <c r="C311" s="10" t="s">
        <v>747</v>
      </c>
      <c r="D311" s="11" t="s">
        <v>748</v>
      </c>
      <c r="E311" s="23" t="s">
        <v>745</v>
      </c>
      <c r="F311" s="13" t="str">
        <f t="array" ref="F311">INDEX(Turmas!D2:D106,MATCH(E311,Turmas!A2:A106,0))</f>
        <v>Manhã</v>
      </c>
      <c r="G311" s="14">
        <v>0.0</v>
      </c>
      <c r="H311" s="15">
        <v>3.0</v>
      </c>
      <c r="I311" s="15">
        <v>0.0</v>
      </c>
      <c r="J311" s="15">
        <v>2.0</v>
      </c>
      <c r="K311" s="15">
        <f t="shared" si="1"/>
        <v>1</v>
      </c>
      <c r="L311" s="16" t="str">
        <f t="shared" si="2"/>
        <v>7-16</v>
      </c>
      <c r="M311" s="16" t="str">
        <f t="shared" si="3"/>
        <v>7-16</v>
      </c>
      <c r="N311" s="16" t="str">
        <f t="shared" si="4"/>
        <v>7-16</v>
      </c>
      <c r="O311" s="16" t="str">
        <f t="shared" si="5"/>
        <v>7-16</v>
      </c>
      <c r="P311" s="16" t="str">
        <f t="shared" si="6"/>
        <v>7-16</v>
      </c>
      <c r="Q311" s="16" t="str">
        <f t="shared" si="7"/>
        <v>1-16</v>
      </c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9">
        <v>182365.0</v>
      </c>
      <c r="B312" s="9" t="s">
        <v>749</v>
      </c>
      <c r="C312" s="10" t="s">
        <v>750</v>
      </c>
      <c r="D312" s="11" t="s">
        <v>399</v>
      </c>
      <c r="E312" s="23" t="s">
        <v>745</v>
      </c>
      <c r="F312" s="13" t="str">
        <f t="array" ref="F312">INDEX(Turmas!D2:D106,MATCH(E312,Turmas!A2:A106,0))</f>
        <v>Manhã</v>
      </c>
      <c r="G312" s="14">
        <v>0.0</v>
      </c>
      <c r="H312" s="15">
        <v>3.0</v>
      </c>
      <c r="I312" s="15">
        <v>0.0</v>
      </c>
      <c r="J312" s="15">
        <v>2.0</v>
      </c>
      <c r="K312" s="15">
        <f t="shared" si="1"/>
        <v>1</v>
      </c>
      <c r="L312" s="16" t="str">
        <f t="shared" si="2"/>
        <v>7-16</v>
      </c>
      <c r="M312" s="16" t="str">
        <f t="shared" si="3"/>
        <v>7-16</v>
      </c>
      <c r="N312" s="16" t="str">
        <f t="shared" si="4"/>
        <v>7-16</v>
      </c>
      <c r="O312" s="16" t="str">
        <f t="shared" si="5"/>
        <v>7-16</v>
      </c>
      <c r="P312" s="16" t="str">
        <f t="shared" si="6"/>
        <v>7-16</v>
      </c>
      <c r="Q312" s="16" t="str">
        <f t="shared" si="7"/>
        <v>1-16</v>
      </c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9">
        <v>182364.0</v>
      </c>
      <c r="B313" s="9" t="s">
        <v>751</v>
      </c>
      <c r="C313" s="10" t="s">
        <v>752</v>
      </c>
      <c r="D313" s="11" t="s">
        <v>204</v>
      </c>
      <c r="E313" s="23" t="s">
        <v>745</v>
      </c>
      <c r="F313" s="13" t="str">
        <f t="array" ref="F313">INDEX(Turmas!D2:D106,MATCH(E313,Turmas!A2:A106,0))</f>
        <v>Manhã</v>
      </c>
      <c r="G313" s="14">
        <v>0.0</v>
      </c>
      <c r="H313" s="15">
        <v>3.0</v>
      </c>
      <c r="I313" s="15">
        <v>0.0</v>
      </c>
      <c r="J313" s="15">
        <v>2.0</v>
      </c>
      <c r="K313" s="15">
        <f t="shared" si="1"/>
        <v>1</v>
      </c>
      <c r="L313" s="16" t="str">
        <f t="shared" si="2"/>
        <v>7-16</v>
      </c>
      <c r="M313" s="16" t="str">
        <f t="shared" si="3"/>
        <v>7-16</v>
      </c>
      <c r="N313" s="16" t="str">
        <f t="shared" si="4"/>
        <v>7-16</v>
      </c>
      <c r="O313" s="16" t="str">
        <f t="shared" si="5"/>
        <v>7-16</v>
      </c>
      <c r="P313" s="16" t="str">
        <f t="shared" si="6"/>
        <v>7-16</v>
      </c>
      <c r="Q313" s="16" t="str">
        <f t="shared" si="7"/>
        <v>1-16</v>
      </c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9">
        <v>182366.0</v>
      </c>
      <c r="B314" s="9" t="s">
        <v>753</v>
      </c>
      <c r="C314" s="10" t="s">
        <v>754</v>
      </c>
      <c r="D314" s="11" t="s">
        <v>174</v>
      </c>
      <c r="E314" s="23" t="s">
        <v>745</v>
      </c>
      <c r="F314" s="13" t="str">
        <f t="array" ref="F314">INDEX(Turmas!D2:D106,MATCH(E314,Turmas!A2:A106,0))</f>
        <v>Manhã</v>
      </c>
      <c r="G314" s="14">
        <v>0.0</v>
      </c>
      <c r="H314" s="15">
        <v>2.0</v>
      </c>
      <c r="I314" s="15">
        <v>0.0</v>
      </c>
      <c r="J314" s="15">
        <v>2.0</v>
      </c>
      <c r="K314" s="15">
        <f t="shared" si="1"/>
        <v>1</v>
      </c>
      <c r="L314" s="16" t="str">
        <f t="shared" si="2"/>
        <v>7-16</v>
      </c>
      <c r="M314" s="16" t="str">
        <f t="shared" si="3"/>
        <v>7-16</v>
      </c>
      <c r="N314" s="16" t="str">
        <f t="shared" si="4"/>
        <v>7-16</v>
      </c>
      <c r="O314" s="16" t="str">
        <f t="shared" si="5"/>
        <v>7-16</v>
      </c>
      <c r="P314" s="16" t="str">
        <f t="shared" si="6"/>
        <v>7-16</v>
      </c>
      <c r="Q314" s="16" t="str">
        <f t="shared" si="7"/>
        <v>1-16</v>
      </c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9">
        <v>182367.0</v>
      </c>
      <c r="B315" s="9" t="s">
        <v>755</v>
      </c>
      <c r="C315" s="10" t="s">
        <v>756</v>
      </c>
      <c r="D315" s="11" t="s">
        <v>276</v>
      </c>
      <c r="E315" s="23" t="s">
        <v>745</v>
      </c>
      <c r="F315" s="13" t="str">
        <f t="array" ref="F315">INDEX(Turmas!D2:D106,MATCH(E315,Turmas!A2:A106,0))</f>
        <v>Manhã</v>
      </c>
      <c r="G315" s="14">
        <v>0.0</v>
      </c>
      <c r="H315" s="15">
        <v>2.0</v>
      </c>
      <c r="I315" s="15">
        <v>0.0</v>
      </c>
      <c r="J315" s="15">
        <v>2.0</v>
      </c>
      <c r="K315" s="15">
        <f t="shared" si="1"/>
        <v>1</v>
      </c>
      <c r="L315" s="16" t="str">
        <f t="shared" si="2"/>
        <v>7-16</v>
      </c>
      <c r="M315" s="16" t="str">
        <f t="shared" si="3"/>
        <v>7-16</v>
      </c>
      <c r="N315" s="16" t="str">
        <f t="shared" si="4"/>
        <v>7-16</v>
      </c>
      <c r="O315" s="16" t="str">
        <f t="shared" si="5"/>
        <v>7-16</v>
      </c>
      <c r="P315" s="16" t="str">
        <f t="shared" si="6"/>
        <v>7-16</v>
      </c>
      <c r="Q315" s="16" t="str">
        <f t="shared" si="7"/>
        <v>1-16</v>
      </c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9">
        <v>182368.0</v>
      </c>
      <c r="B316" s="9" t="s">
        <v>757</v>
      </c>
      <c r="C316" s="10" t="s">
        <v>758</v>
      </c>
      <c r="D316" s="11" t="s">
        <v>410</v>
      </c>
      <c r="E316" s="23" t="s">
        <v>745</v>
      </c>
      <c r="F316" s="13" t="str">
        <f t="array" ref="F316">INDEX(Turmas!D2:D106,MATCH(E316,Turmas!A2:A106,0))</f>
        <v>Manhã</v>
      </c>
      <c r="G316" s="14">
        <v>0.0</v>
      </c>
      <c r="H316" s="15">
        <v>2.0</v>
      </c>
      <c r="I316" s="15">
        <v>0.0</v>
      </c>
      <c r="J316" s="15">
        <v>2.0</v>
      </c>
      <c r="K316" s="15">
        <f t="shared" si="1"/>
        <v>1</v>
      </c>
      <c r="L316" s="16" t="str">
        <f t="shared" si="2"/>
        <v>7-16</v>
      </c>
      <c r="M316" s="16" t="str">
        <f t="shared" si="3"/>
        <v>7-16</v>
      </c>
      <c r="N316" s="16" t="str">
        <f t="shared" si="4"/>
        <v>7-16</v>
      </c>
      <c r="O316" s="16" t="str">
        <f t="shared" si="5"/>
        <v>7-16</v>
      </c>
      <c r="P316" s="16" t="str">
        <f t="shared" si="6"/>
        <v>7-16</v>
      </c>
      <c r="Q316" s="16" t="str">
        <f t="shared" si="7"/>
        <v>1-16</v>
      </c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9">
        <v>182369.0</v>
      </c>
      <c r="B317" s="9" t="s">
        <v>759</v>
      </c>
      <c r="C317" s="10" t="s">
        <v>760</v>
      </c>
      <c r="D317" s="11" t="s">
        <v>658</v>
      </c>
      <c r="E317" s="23" t="s">
        <v>761</v>
      </c>
      <c r="F317" s="13" t="str">
        <f t="array" ref="F317">INDEX(Turmas!D2:D106,MATCH(E317,Turmas!A2:A106,0))</f>
        <v>Tarde</v>
      </c>
      <c r="G317" s="14">
        <v>0.0</v>
      </c>
      <c r="H317" s="15">
        <v>3.0</v>
      </c>
      <c r="I317" s="15">
        <v>0.0</v>
      </c>
      <c r="J317" s="15">
        <v>2.0</v>
      </c>
      <c r="K317" s="15">
        <f t="shared" si="1"/>
        <v>1</v>
      </c>
      <c r="L317" s="16" t="str">
        <f t="shared" si="2"/>
        <v>1-6,13-16</v>
      </c>
      <c r="M317" s="16" t="str">
        <f t="shared" si="3"/>
        <v>1-6,13-16</v>
      </c>
      <c r="N317" s="16" t="str">
        <f t="shared" si="4"/>
        <v>1-6,13-16</v>
      </c>
      <c r="O317" s="16" t="str">
        <f t="shared" si="5"/>
        <v>1-6,13-16</v>
      </c>
      <c r="P317" s="16" t="str">
        <f t="shared" si="6"/>
        <v>1-6,13-16</v>
      </c>
      <c r="Q317" s="16" t="str">
        <f t="shared" si="7"/>
        <v>1-16</v>
      </c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9">
        <v>182370.0</v>
      </c>
      <c r="B318" s="9" t="s">
        <v>762</v>
      </c>
      <c r="C318" s="10" t="s">
        <v>763</v>
      </c>
      <c r="D318" s="11" t="s">
        <v>741</v>
      </c>
      <c r="E318" s="23" t="s">
        <v>761</v>
      </c>
      <c r="F318" s="13" t="str">
        <f t="array" ref="F318">INDEX(Turmas!D2:D106,MATCH(E318,Turmas!A2:A106,0))</f>
        <v>Tarde</v>
      </c>
      <c r="G318" s="14">
        <v>0.0</v>
      </c>
      <c r="H318" s="15">
        <v>3.0</v>
      </c>
      <c r="I318" s="15">
        <v>0.0</v>
      </c>
      <c r="J318" s="15">
        <v>2.0</v>
      </c>
      <c r="K318" s="15">
        <f t="shared" si="1"/>
        <v>1</v>
      </c>
      <c r="L318" s="16" t="str">
        <f t="shared" si="2"/>
        <v>1-6,13-16</v>
      </c>
      <c r="M318" s="16" t="str">
        <f t="shared" si="3"/>
        <v>1-6,13-16</v>
      </c>
      <c r="N318" s="16" t="str">
        <f t="shared" si="4"/>
        <v>1-6,13-16</v>
      </c>
      <c r="O318" s="16" t="str">
        <f t="shared" si="5"/>
        <v>1-6,13-16</v>
      </c>
      <c r="P318" s="16" t="str">
        <f t="shared" si="6"/>
        <v>1-6,13-16</v>
      </c>
      <c r="Q318" s="16" t="str">
        <f t="shared" si="7"/>
        <v>1-16</v>
      </c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9">
        <v>182371.0</v>
      </c>
      <c r="B319" s="9" t="s">
        <v>764</v>
      </c>
      <c r="C319" s="10" t="s">
        <v>765</v>
      </c>
      <c r="D319" s="11" t="s">
        <v>168</v>
      </c>
      <c r="E319" s="23" t="s">
        <v>761</v>
      </c>
      <c r="F319" s="13" t="str">
        <f t="array" ref="F319">INDEX(Turmas!D2:D106,MATCH(E319,Turmas!A2:A106,0))</f>
        <v>Tarde</v>
      </c>
      <c r="G319" s="14">
        <v>0.0</v>
      </c>
      <c r="H319" s="15">
        <v>2.0</v>
      </c>
      <c r="I319" s="15">
        <v>0.0</v>
      </c>
      <c r="J319" s="15">
        <v>2.0</v>
      </c>
      <c r="K319" s="15">
        <f t="shared" si="1"/>
        <v>1</v>
      </c>
      <c r="L319" s="16" t="str">
        <f t="shared" si="2"/>
        <v>1-6,13-16</v>
      </c>
      <c r="M319" s="16" t="str">
        <f t="shared" si="3"/>
        <v>1-6,13-16</v>
      </c>
      <c r="N319" s="16" t="str">
        <f t="shared" si="4"/>
        <v>1-6,13-16</v>
      </c>
      <c r="O319" s="16" t="str">
        <f t="shared" si="5"/>
        <v>1-6,13-16</v>
      </c>
      <c r="P319" s="16" t="str">
        <f t="shared" si="6"/>
        <v>1-6,13-16</v>
      </c>
      <c r="Q319" s="16" t="str">
        <f t="shared" si="7"/>
        <v>1-16</v>
      </c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9">
        <v>182372.0</v>
      </c>
      <c r="B320" s="9" t="s">
        <v>766</v>
      </c>
      <c r="C320" s="10" t="s">
        <v>767</v>
      </c>
      <c r="D320" s="11" t="s">
        <v>600</v>
      </c>
      <c r="E320" s="23" t="s">
        <v>761</v>
      </c>
      <c r="F320" s="13" t="str">
        <f t="array" ref="F320">INDEX(Turmas!D2:D106,MATCH(E320,Turmas!A2:A106,0))</f>
        <v>Tarde</v>
      </c>
      <c r="G320" s="14">
        <v>0.0</v>
      </c>
      <c r="H320" s="15">
        <v>2.0</v>
      </c>
      <c r="I320" s="15">
        <v>0.0</v>
      </c>
      <c r="J320" s="15">
        <v>2.0</v>
      </c>
      <c r="K320" s="15">
        <f t="shared" si="1"/>
        <v>1</v>
      </c>
      <c r="L320" s="16" t="str">
        <f t="shared" si="2"/>
        <v>1-6,13-16</v>
      </c>
      <c r="M320" s="16" t="str">
        <f t="shared" si="3"/>
        <v>1-6,13-16</v>
      </c>
      <c r="N320" s="16" t="str">
        <f t="shared" si="4"/>
        <v>1-6,13-16</v>
      </c>
      <c r="O320" s="16" t="str">
        <f t="shared" si="5"/>
        <v>1-6,13-16</v>
      </c>
      <c r="P320" s="16" t="str">
        <f t="shared" si="6"/>
        <v>1-6,13-16</v>
      </c>
      <c r="Q320" s="16" t="str">
        <f t="shared" si="7"/>
        <v>1-16</v>
      </c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9">
        <v>182373.0</v>
      </c>
      <c r="B321" s="9" t="s">
        <v>768</v>
      </c>
      <c r="C321" s="10" t="s">
        <v>769</v>
      </c>
      <c r="D321" s="11" t="s">
        <v>204</v>
      </c>
      <c r="E321" s="23" t="s">
        <v>761</v>
      </c>
      <c r="F321" s="13" t="str">
        <f t="array" ref="F321">INDEX(Turmas!D2:D106,MATCH(E321,Turmas!A2:A106,0))</f>
        <v>Tarde</v>
      </c>
      <c r="G321" s="14">
        <v>0.0</v>
      </c>
      <c r="H321" s="15">
        <v>4.0</v>
      </c>
      <c r="I321" s="15">
        <v>0.0</v>
      </c>
      <c r="J321" s="15">
        <v>2.0</v>
      </c>
      <c r="K321" s="15">
        <f t="shared" si="1"/>
        <v>2</v>
      </c>
      <c r="L321" s="16" t="str">
        <f t="shared" si="2"/>
        <v>1-6,13-16</v>
      </c>
      <c r="M321" s="16" t="str">
        <f t="shared" si="3"/>
        <v>1-6,13-16</v>
      </c>
      <c r="N321" s="16" t="str">
        <f t="shared" si="4"/>
        <v>1-6,13-16</v>
      </c>
      <c r="O321" s="16" t="str">
        <f t="shared" si="5"/>
        <v>1-6,13-16</v>
      </c>
      <c r="P321" s="16" t="str">
        <f t="shared" si="6"/>
        <v>1-6,13-16</v>
      </c>
      <c r="Q321" s="16" t="str">
        <f t="shared" si="7"/>
        <v>1-16</v>
      </c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9">
        <v>182375.0</v>
      </c>
      <c r="B322" s="9" t="s">
        <v>770</v>
      </c>
      <c r="C322" s="10" t="s">
        <v>771</v>
      </c>
      <c r="D322" s="11" t="s">
        <v>513</v>
      </c>
      <c r="E322" s="23" t="s">
        <v>761</v>
      </c>
      <c r="F322" s="13" t="str">
        <f t="array" ref="F322">INDEX(Turmas!D2:D106,MATCH(E322,Turmas!A2:A106,0))</f>
        <v>Tarde</v>
      </c>
      <c r="G322" s="14">
        <v>0.0</v>
      </c>
      <c r="H322" s="15">
        <v>3.0</v>
      </c>
      <c r="I322" s="15">
        <v>0.0</v>
      </c>
      <c r="J322" s="15">
        <v>2.0</v>
      </c>
      <c r="K322" s="15">
        <f t="shared" si="1"/>
        <v>1</v>
      </c>
      <c r="L322" s="16" t="str">
        <f t="shared" si="2"/>
        <v>1-6,13-16</v>
      </c>
      <c r="M322" s="16" t="str">
        <f t="shared" si="3"/>
        <v>1-6,13-16</v>
      </c>
      <c r="N322" s="16" t="str">
        <f t="shared" si="4"/>
        <v>1-6,13-16</v>
      </c>
      <c r="O322" s="16" t="str">
        <f t="shared" si="5"/>
        <v>1-6,13-16</v>
      </c>
      <c r="P322" s="16" t="str">
        <f t="shared" si="6"/>
        <v>1-6,13-16</v>
      </c>
      <c r="Q322" s="16" t="str">
        <f t="shared" si="7"/>
        <v>1-16</v>
      </c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9">
        <v>182374.0</v>
      </c>
      <c r="B323" s="9" t="s">
        <v>264</v>
      </c>
      <c r="C323" s="10" t="s">
        <v>265</v>
      </c>
      <c r="D323" s="11" t="s">
        <v>663</v>
      </c>
      <c r="E323" s="23" t="s">
        <v>761</v>
      </c>
      <c r="F323" s="13" t="str">
        <f t="array" ref="F323">INDEX(Turmas!D2:D106,MATCH(E323,Turmas!A2:A106,0))</f>
        <v>Tarde</v>
      </c>
      <c r="G323" s="14">
        <v>0.0</v>
      </c>
      <c r="H323" s="15">
        <v>2.0</v>
      </c>
      <c r="I323" s="15">
        <v>0.0</v>
      </c>
      <c r="J323" s="15">
        <v>2.0</v>
      </c>
      <c r="K323" s="15">
        <f t="shared" si="1"/>
        <v>1</v>
      </c>
      <c r="L323" s="16" t="str">
        <f t="shared" si="2"/>
        <v>1-6,13-16</v>
      </c>
      <c r="M323" s="16" t="str">
        <f t="shared" si="3"/>
        <v>1-6,13-16</v>
      </c>
      <c r="N323" s="16" t="str">
        <f t="shared" si="4"/>
        <v>1-6,13-16</v>
      </c>
      <c r="O323" s="16" t="str">
        <f t="shared" si="5"/>
        <v>1-6,13-16</v>
      </c>
      <c r="P323" s="16" t="str">
        <f t="shared" si="6"/>
        <v>1-6,13-16</v>
      </c>
      <c r="Q323" s="16" t="str">
        <f t="shared" si="7"/>
        <v>1-16</v>
      </c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9">
        <v>182376.0</v>
      </c>
      <c r="B324" s="9" t="s">
        <v>772</v>
      </c>
      <c r="C324" s="10" t="s">
        <v>773</v>
      </c>
      <c r="D324" s="11" t="s">
        <v>697</v>
      </c>
      <c r="E324" s="23" t="s">
        <v>774</v>
      </c>
      <c r="F324" s="13" t="str">
        <f t="array" ref="F324">INDEX(Turmas!D2:D106,MATCH(E324,Turmas!A2:A106,0))</f>
        <v>Manhã</v>
      </c>
      <c r="G324" s="14">
        <v>0.0</v>
      </c>
      <c r="H324" s="15">
        <v>3.0</v>
      </c>
      <c r="I324" s="15">
        <v>0.0</v>
      </c>
      <c r="J324" s="15">
        <v>2.0</v>
      </c>
      <c r="K324" s="15">
        <f t="shared" si="1"/>
        <v>1</v>
      </c>
      <c r="L324" s="16" t="str">
        <f t="shared" si="2"/>
        <v>7-16</v>
      </c>
      <c r="M324" s="16" t="str">
        <f t="shared" si="3"/>
        <v>7-16</v>
      </c>
      <c r="N324" s="16" t="str">
        <f t="shared" si="4"/>
        <v>7-16</v>
      </c>
      <c r="O324" s="16" t="str">
        <f t="shared" si="5"/>
        <v>7-16</v>
      </c>
      <c r="P324" s="16" t="str">
        <f t="shared" si="6"/>
        <v>7-16</v>
      </c>
      <c r="Q324" s="16" t="str">
        <f t="shared" si="7"/>
        <v>1-16</v>
      </c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9">
        <v>182377.0</v>
      </c>
      <c r="B325" s="9" t="s">
        <v>775</v>
      </c>
      <c r="C325" s="10" t="s">
        <v>776</v>
      </c>
      <c r="D325" s="11" t="s">
        <v>711</v>
      </c>
      <c r="E325" s="23" t="s">
        <v>774</v>
      </c>
      <c r="F325" s="13" t="str">
        <f t="array" ref="F325">INDEX(Turmas!D2:D106,MATCH(E325,Turmas!A2:A106,0))</f>
        <v>Manhã</v>
      </c>
      <c r="G325" s="14">
        <v>0.0</v>
      </c>
      <c r="H325" s="15">
        <v>3.0</v>
      </c>
      <c r="I325" s="15">
        <v>0.0</v>
      </c>
      <c r="J325" s="15">
        <v>2.0</v>
      </c>
      <c r="K325" s="15">
        <f t="shared" si="1"/>
        <v>1</v>
      </c>
      <c r="L325" s="16" t="str">
        <f t="shared" si="2"/>
        <v>7-16</v>
      </c>
      <c r="M325" s="16" t="str">
        <f t="shared" si="3"/>
        <v>7-16</v>
      </c>
      <c r="N325" s="16" t="str">
        <f t="shared" si="4"/>
        <v>7-16</v>
      </c>
      <c r="O325" s="16" t="str">
        <f t="shared" si="5"/>
        <v>7-16</v>
      </c>
      <c r="P325" s="16" t="str">
        <f t="shared" si="6"/>
        <v>7-16</v>
      </c>
      <c r="Q325" s="16" t="str">
        <f t="shared" si="7"/>
        <v>1-16</v>
      </c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9">
        <v>182378.0</v>
      </c>
      <c r="B326" s="9" t="s">
        <v>777</v>
      </c>
      <c r="C326" s="10" t="s">
        <v>778</v>
      </c>
      <c r="D326" s="11" t="s">
        <v>741</v>
      </c>
      <c r="E326" s="23" t="s">
        <v>774</v>
      </c>
      <c r="F326" s="13" t="str">
        <f t="array" ref="F326">INDEX(Turmas!D2:D106,MATCH(E326,Turmas!A2:A106,0))</f>
        <v>Manhã</v>
      </c>
      <c r="G326" s="14">
        <v>0.0</v>
      </c>
      <c r="H326" s="15">
        <v>4.0</v>
      </c>
      <c r="I326" s="15">
        <v>0.0</v>
      </c>
      <c r="J326" s="15">
        <v>2.0</v>
      </c>
      <c r="K326" s="15">
        <f t="shared" si="1"/>
        <v>2</v>
      </c>
      <c r="L326" s="16" t="str">
        <f t="shared" si="2"/>
        <v>7-16</v>
      </c>
      <c r="M326" s="16" t="str">
        <f t="shared" si="3"/>
        <v>7-16</v>
      </c>
      <c r="N326" s="16" t="str">
        <f t="shared" si="4"/>
        <v>7-16</v>
      </c>
      <c r="O326" s="16" t="str">
        <f t="shared" si="5"/>
        <v>7-16</v>
      </c>
      <c r="P326" s="16" t="str">
        <f t="shared" si="6"/>
        <v>7-16</v>
      </c>
      <c r="Q326" s="16" t="str">
        <f t="shared" si="7"/>
        <v>1-16</v>
      </c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9">
        <v>182379.0</v>
      </c>
      <c r="B327" s="9" t="s">
        <v>779</v>
      </c>
      <c r="C327" s="10" t="s">
        <v>780</v>
      </c>
      <c r="D327" s="11" t="s">
        <v>697</v>
      </c>
      <c r="E327" s="23" t="s">
        <v>774</v>
      </c>
      <c r="F327" s="13" t="str">
        <f t="array" ref="F327">INDEX(Turmas!D2:D106,MATCH(E327,Turmas!A2:A106,0))</f>
        <v>Manhã</v>
      </c>
      <c r="G327" s="14">
        <v>0.0</v>
      </c>
      <c r="H327" s="15">
        <v>2.0</v>
      </c>
      <c r="I327" s="15">
        <v>0.0</v>
      </c>
      <c r="J327" s="15">
        <v>2.0</v>
      </c>
      <c r="K327" s="15">
        <f t="shared" si="1"/>
        <v>1</v>
      </c>
      <c r="L327" s="16" t="str">
        <f t="shared" si="2"/>
        <v>7-16</v>
      </c>
      <c r="M327" s="16" t="str">
        <f t="shared" si="3"/>
        <v>7-16</v>
      </c>
      <c r="N327" s="16" t="str">
        <f t="shared" si="4"/>
        <v>7-16</v>
      </c>
      <c r="O327" s="16" t="str">
        <f t="shared" si="5"/>
        <v>7-16</v>
      </c>
      <c r="P327" s="16" t="str">
        <f t="shared" si="6"/>
        <v>7-16</v>
      </c>
      <c r="Q327" s="16" t="str">
        <f t="shared" si="7"/>
        <v>1-16</v>
      </c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9">
        <v>182381.0</v>
      </c>
      <c r="B328" s="9" t="s">
        <v>781</v>
      </c>
      <c r="C328" s="19" t="s">
        <v>782</v>
      </c>
      <c r="D328" s="11" t="s">
        <v>669</v>
      </c>
      <c r="E328" s="23" t="s">
        <v>774</v>
      </c>
      <c r="F328" s="13" t="str">
        <f t="array" ref="F328">INDEX(Turmas!D2:D106,MATCH(E328,Turmas!A2:A106,0))</f>
        <v>Manhã</v>
      </c>
      <c r="G328" s="14">
        <v>0.0</v>
      </c>
      <c r="H328" s="15">
        <v>2.0</v>
      </c>
      <c r="I328" s="15">
        <v>0.0</v>
      </c>
      <c r="J328" s="15">
        <v>2.0</v>
      </c>
      <c r="K328" s="15">
        <f t="shared" si="1"/>
        <v>1</v>
      </c>
      <c r="L328" s="16" t="str">
        <f t="shared" si="2"/>
        <v>7-16</v>
      </c>
      <c r="M328" s="16" t="str">
        <f t="shared" si="3"/>
        <v>7-16</v>
      </c>
      <c r="N328" s="16" t="str">
        <f t="shared" si="4"/>
        <v>7-16</v>
      </c>
      <c r="O328" s="16" t="str">
        <f t="shared" si="5"/>
        <v>7-16</v>
      </c>
      <c r="P328" s="16" t="str">
        <f t="shared" si="6"/>
        <v>7-16</v>
      </c>
      <c r="Q328" s="16" t="str">
        <f t="shared" si="7"/>
        <v>1-16</v>
      </c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9">
        <v>182382.0</v>
      </c>
      <c r="B329" s="9" t="s">
        <v>783</v>
      </c>
      <c r="C329" s="19" t="s">
        <v>784</v>
      </c>
      <c r="D329" s="11" t="s">
        <v>663</v>
      </c>
      <c r="E329" s="23" t="s">
        <v>774</v>
      </c>
      <c r="F329" s="13" t="str">
        <f t="array" ref="F329">INDEX(Turmas!D2:D106,MATCH(E329,Turmas!A2:A106,0))</f>
        <v>Manhã</v>
      </c>
      <c r="G329" s="14">
        <v>0.0</v>
      </c>
      <c r="H329" s="15">
        <v>2.0</v>
      </c>
      <c r="I329" s="15">
        <v>0.0</v>
      </c>
      <c r="J329" s="15">
        <v>2.0</v>
      </c>
      <c r="K329" s="15">
        <f t="shared" si="1"/>
        <v>1</v>
      </c>
      <c r="L329" s="16" t="str">
        <f t="shared" si="2"/>
        <v>7-16</v>
      </c>
      <c r="M329" s="16" t="str">
        <f t="shared" si="3"/>
        <v>7-16</v>
      </c>
      <c r="N329" s="16" t="str">
        <f t="shared" si="4"/>
        <v>7-16</v>
      </c>
      <c r="O329" s="16" t="str">
        <f t="shared" si="5"/>
        <v>7-16</v>
      </c>
      <c r="P329" s="16" t="str">
        <f t="shared" si="6"/>
        <v>7-16</v>
      </c>
      <c r="Q329" s="16" t="str">
        <f t="shared" si="7"/>
        <v>1-16</v>
      </c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9">
        <v>182383.0</v>
      </c>
      <c r="B330" s="9" t="s">
        <v>785</v>
      </c>
      <c r="C330" s="19" t="s">
        <v>699</v>
      </c>
      <c r="D330" s="11" t="s">
        <v>116</v>
      </c>
      <c r="E330" s="23" t="s">
        <v>786</v>
      </c>
      <c r="F330" s="13" t="str">
        <f t="array" ref="F330">INDEX(Turmas!D2:D106,MATCH(E330,Turmas!A2:A106,0))</f>
        <v>Tarde</v>
      </c>
      <c r="G330" s="14">
        <v>0.0</v>
      </c>
      <c r="H330" s="15">
        <v>3.0</v>
      </c>
      <c r="I330" s="15">
        <v>0.0</v>
      </c>
      <c r="J330" s="15">
        <v>2.0</v>
      </c>
      <c r="K330" s="15">
        <f t="shared" si="1"/>
        <v>1</v>
      </c>
      <c r="L330" s="16" t="str">
        <f t="shared" si="2"/>
        <v>1-6,13-16</v>
      </c>
      <c r="M330" s="16" t="str">
        <f t="shared" si="3"/>
        <v>1-6,13-16</v>
      </c>
      <c r="N330" s="16" t="str">
        <f t="shared" si="4"/>
        <v>1-6,13-16</v>
      </c>
      <c r="O330" s="16" t="str">
        <f t="shared" si="5"/>
        <v>1-6,13-16</v>
      </c>
      <c r="P330" s="16" t="str">
        <f t="shared" si="6"/>
        <v>1-6,13-16</v>
      </c>
      <c r="Q330" s="16" t="str">
        <f t="shared" si="7"/>
        <v>1-16</v>
      </c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9">
        <v>182384.0</v>
      </c>
      <c r="B331" s="9" t="s">
        <v>787</v>
      </c>
      <c r="C331" s="19" t="s">
        <v>309</v>
      </c>
      <c r="D331" s="11" t="s">
        <v>204</v>
      </c>
      <c r="E331" s="23" t="s">
        <v>786</v>
      </c>
      <c r="F331" s="13" t="str">
        <f t="array" ref="F331">INDEX(Turmas!D2:D106,MATCH(E331,Turmas!A2:A106,0))</f>
        <v>Tarde</v>
      </c>
      <c r="G331" s="14">
        <v>0.0</v>
      </c>
      <c r="H331" s="15">
        <v>2.0</v>
      </c>
      <c r="I331" s="15">
        <v>0.0</v>
      </c>
      <c r="J331" s="15">
        <v>2.0</v>
      </c>
      <c r="K331" s="15">
        <f t="shared" si="1"/>
        <v>1</v>
      </c>
      <c r="L331" s="16" t="str">
        <f t="shared" si="2"/>
        <v>1-6,13-16</v>
      </c>
      <c r="M331" s="16" t="str">
        <f t="shared" si="3"/>
        <v>1-6,13-16</v>
      </c>
      <c r="N331" s="16" t="str">
        <f t="shared" si="4"/>
        <v>1-6,13-16</v>
      </c>
      <c r="O331" s="16" t="str">
        <f t="shared" si="5"/>
        <v>1-6,13-16</v>
      </c>
      <c r="P331" s="16" t="str">
        <f t="shared" si="6"/>
        <v>1-6,13-16</v>
      </c>
      <c r="Q331" s="16" t="str">
        <f t="shared" si="7"/>
        <v>1-16</v>
      </c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9">
        <v>182392.0</v>
      </c>
      <c r="B332" s="9" t="s">
        <v>788</v>
      </c>
      <c r="C332" s="19" t="s">
        <v>789</v>
      </c>
      <c r="D332" s="11" t="s">
        <v>669</v>
      </c>
      <c r="E332" s="23" t="s">
        <v>786</v>
      </c>
      <c r="F332" s="13" t="str">
        <f t="array" ref="F332">INDEX(Turmas!D2:D106,MATCH(E332,Turmas!A2:A106,0))</f>
        <v>Tarde</v>
      </c>
      <c r="G332" s="20">
        <v>0.0</v>
      </c>
      <c r="H332" s="15">
        <v>2.0</v>
      </c>
      <c r="I332" s="15">
        <v>0.0</v>
      </c>
      <c r="J332" s="15">
        <v>2.0</v>
      </c>
      <c r="K332" s="15">
        <f t="shared" si="1"/>
        <v>1</v>
      </c>
      <c r="L332" s="16" t="str">
        <f t="shared" si="2"/>
        <v>1-6,13-16</v>
      </c>
      <c r="M332" s="16" t="str">
        <f t="shared" si="3"/>
        <v>1-6,13-16</v>
      </c>
      <c r="N332" s="16" t="str">
        <f t="shared" si="4"/>
        <v>1-6,13-16</v>
      </c>
      <c r="O332" s="16" t="str">
        <f t="shared" si="5"/>
        <v>1-6,13-16</v>
      </c>
      <c r="P332" s="16" t="str">
        <f t="shared" si="6"/>
        <v>1-6,13-16</v>
      </c>
      <c r="Q332" s="16" t="str">
        <f t="shared" si="7"/>
        <v>1-16</v>
      </c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9">
        <v>182397.0</v>
      </c>
      <c r="B333" s="9" t="s">
        <v>790</v>
      </c>
      <c r="C333" s="19" t="s">
        <v>791</v>
      </c>
      <c r="D333" s="11" t="s">
        <v>204</v>
      </c>
      <c r="E333" s="24" t="s">
        <v>792</v>
      </c>
      <c r="F333" s="13" t="str">
        <f t="array" ref="F333">INDEX(Turmas!D2:D106,MATCH(E333,Turmas!A2:A106,0))</f>
        <v>Manhã</v>
      </c>
      <c r="G333" s="14">
        <v>0.0</v>
      </c>
      <c r="H333" s="15">
        <v>3.0</v>
      </c>
      <c r="I333" s="15">
        <v>0.0</v>
      </c>
      <c r="J333" s="15">
        <v>2.0</v>
      </c>
      <c r="K333" s="15">
        <f t="shared" si="1"/>
        <v>1</v>
      </c>
      <c r="L333" s="16" t="str">
        <f t="shared" si="2"/>
        <v>7-16</v>
      </c>
      <c r="M333" s="16" t="str">
        <f t="shared" si="3"/>
        <v>7-16</v>
      </c>
      <c r="N333" s="16" t="str">
        <f t="shared" si="4"/>
        <v>7-16</v>
      </c>
      <c r="O333" s="16" t="str">
        <f t="shared" si="5"/>
        <v>7-16</v>
      </c>
      <c r="P333" s="16" t="str">
        <f t="shared" si="6"/>
        <v>7-16</v>
      </c>
      <c r="Q333" s="16" t="str">
        <f t="shared" si="7"/>
        <v>1-16</v>
      </c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9">
        <v>183879.0</v>
      </c>
      <c r="B334" s="9" t="s">
        <v>793</v>
      </c>
      <c r="C334" s="19" t="s">
        <v>140</v>
      </c>
      <c r="D334" s="11" t="s">
        <v>672</v>
      </c>
      <c r="E334" s="24" t="s">
        <v>792</v>
      </c>
      <c r="F334" s="13" t="str">
        <f t="array" ref="F334">INDEX(Turmas!D2:D106,MATCH(E334,Turmas!A2:A106,0))</f>
        <v>Manhã</v>
      </c>
      <c r="G334" s="14">
        <v>0.0</v>
      </c>
      <c r="H334" s="15">
        <v>3.0</v>
      </c>
      <c r="I334" s="15">
        <v>0.0</v>
      </c>
      <c r="J334" s="15">
        <v>2.0</v>
      </c>
      <c r="K334" s="15">
        <f t="shared" si="1"/>
        <v>1</v>
      </c>
      <c r="L334" s="16" t="str">
        <f t="shared" si="2"/>
        <v>7-16</v>
      </c>
      <c r="M334" s="16" t="str">
        <f t="shared" si="3"/>
        <v>7-16</v>
      </c>
      <c r="N334" s="16" t="str">
        <f t="shared" si="4"/>
        <v>7-16</v>
      </c>
      <c r="O334" s="16" t="str">
        <f t="shared" si="5"/>
        <v>7-16</v>
      </c>
      <c r="P334" s="16" t="str">
        <f t="shared" si="6"/>
        <v>7-16</v>
      </c>
      <c r="Q334" s="16" t="str">
        <f t="shared" si="7"/>
        <v>1-16</v>
      </c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9">
        <v>183882.0</v>
      </c>
      <c r="B335" s="9" t="s">
        <v>794</v>
      </c>
      <c r="C335" s="19" t="s">
        <v>200</v>
      </c>
      <c r="D335" s="11" t="s">
        <v>201</v>
      </c>
      <c r="E335" s="12" t="s">
        <v>795</v>
      </c>
      <c r="F335" s="13" t="str">
        <f t="array" ref="F335">INDEX(Turmas!D2:D106,MATCH(E335,Turmas!A2:A106,0))</f>
        <v>Noite</v>
      </c>
      <c r="G335" s="14">
        <v>0.0</v>
      </c>
      <c r="H335" s="15">
        <v>4.0</v>
      </c>
      <c r="I335" s="15">
        <v>0.0</v>
      </c>
      <c r="J335" s="15">
        <v>2.0</v>
      </c>
      <c r="K335" s="15">
        <f t="shared" si="1"/>
        <v>2</v>
      </c>
      <c r="L335" s="16" t="str">
        <f t="shared" si="2"/>
        <v>1-12</v>
      </c>
      <c r="M335" s="16" t="str">
        <f t="shared" si="3"/>
        <v>1-12</v>
      </c>
      <c r="N335" s="16" t="str">
        <f t="shared" si="4"/>
        <v>1-12</v>
      </c>
      <c r="O335" s="16" t="str">
        <f t="shared" si="5"/>
        <v>1-12</v>
      </c>
      <c r="P335" s="16" t="str">
        <f t="shared" si="6"/>
        <v>1-12</v>
      </c>
      <c r="Q335" s="16" t="str">
        <f t="shared" si="7"/>
        <v>0</v>
      </c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9">
        <v>183508.0</v>
      </c>
      <c r="B336" s="9" t="s">
        <v>796</v>
      </c>
      <c r="C336" s="19" t="s">
        <v>797</v>
      </c>
      <c r="D336" s="11" t="s">
        <v>451</v>
      </c>
      <c r="E336" s="12" t="s">
        <v>795</v>
      </c>
      <c r="F336" s="13" t="str">
        <f t="array" ref="F336">INDEX(Turmas!D2:D106,MATCH(E336,Turmas!A2:A106,0))</f>
        <v>Noite</v>
      </c>
      <c r="G336" s="14">
        <v>0.0</v>
      </c>
      <c r="H336" s="15">
        <v>4.0</v>
      </c>
      <c r="I336" s="15">
        <v>0.0</v>
      </c>
      <c r="J336" s="15">
        <v>2.0</v>
      </c>
      <c r="K336" s="15">
        <f t="shared" si="1"/>
        <v>2</v>
      </c>
      <c r="L336" s="16" t="str">
        <f t="shared" si="2"/>
        <v>1-12</v>
      </c>
      <c r="M336" s="16" t="str">
        <f t="shared" si="3"/>
        <v>1-12</v>
      </c>
      <c r="N336" s="16" t="str">
        <f t="shared" si="4"/>
        <v>1-12</v>
      </c>
      <c r="O336" s="16" t="str">
        <f t="shared" si="5"/>
        <v>1-12</v>
      </c>
      <c r="P336" s="16" t="str">
        <f t="shared" si="6"/>
        <v>1-12</v>
      </c>
      <c r="Q336" s="16" t="str">
        <f t="shared" si="7"/>
        <v>0</v>
      </c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9">
        <v>183509.0</v>
      </c>
      <c r="B337" s="9" t="s">
        <v>798</v>
      </c>
      <c r="C337" s="19" t="s">
        <v>145</v>
      </c>
      <c r="D337" s="11" t="s">
        <v>344</v>
      </c>
      <c r="E337" s="12" t="s">
        <v>795</v>
      </c>
      <c r="F337" s="13" t="str">
        <f t="array" ref="F337">INDEX(Turmas!D2:D106,MATCH(E337,Turmas!A2:A106,0))</f>
        <v>Noite</v>
      </c>
      <c r="G337" s="14">
        <v>0.0</v>
      </c>
      <c r="H337" s="15">
        <v>2.0</v>
      </c>
      <c r="I337" s="15">
        <v>0.0</v>
      </c>
      <c r="J337" s="15">
        <v>2.0</v>
      </c>
      <c r="K337" s="15">
        <f t="shared" si="1"/>
        <v>1</v>
      </c>
      <c r="L337" s="16" t="str">
        <f t="shared" si="2"/>
        <v>1-12</v>
      </c>
      <c r="M337" s="16" t="str">
        <f t="shared" si="3"/>
        <v>1-12</v>
      </c>
      <c r="N337" s="16" t="str">
        <f t="shared" si="4"/>
        <v>1-12</v>
      </c>
      <c r="O337" s="16" t="str">
        <f t="shared" si="5"/>
        <v>1-12</v>
      </c>
      <c r="P337" s="16" t="str">
        <f t="shared" si="6"/>
        <v>1-12</v>
      </c>
      <c r="Q337" s="16" t="str">
        <f t="shared" si="7"/>
        <v>0</v>
      </c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9">
        <v>183510.0</v>
      </c>
      <c r="B338" s="9" t="s">
        <v>799</v>
      </c>
      <c r="C338" s="19" t="s">
        <v>710</v>
      </c>
      <c r="D338" s="11" t="s">
        <v>159</v>
      </c>
      <c r="E338" s="12" t="s">
        <v>795</v>
      </c>
      <c r="F338" s="13" t="str">
        <f t="array" ref="F338">INDEX(Turmas!D2:D106,MATCH(E338,Turmas!A2:A106,0))</f>
        <v>Noite</v>
      </c>
      <c r="G338" s="14">
        <v>0.0</v>
      </c>
      <c r="H338" s="15">
        <v>4.0</v>
      </c>
      <c r="I338" s="15">
        <v>0.0</v>
      </c>
      <c r="J338" s="15">
        <v>2.0</v>
      </c>
      <c r="K338" s="15">
        <f t="shared" si="1"/>
        <v>2</v>
      </c>
      <c r="L338" s="16" t="str">
        <f t="shared" si="2"/>
        <v>1-12</v>
      </c>
      <c r="M338" s="16" t="str">
        <f t="shared" si="3"/>
        <v>1-12</v>
      </c>
      <c r="N338" s="16" t="str">
        <f t="shared" si="4"/>
        <v>1-12</v>
      </c>
      <c r="O338" s="16" t="str">
        <f t="shared" si="5"/>
        <v>1-12</v>
      </c>
      <c r="P338" s="16" t="str">
        <f t="shared" si="6"/>
        <v>1-12</v>
      </c>
      <c r="Q338" s="16" t="str">
        <f t="shared" si="7"/>
        <v>0</v>
      </c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9">
        <v>183512.0</v>
      </c>
      <c r="B339" s="9" t="s">
        <v>800</v>
      </c>
      <c r="C339" s="19" t="s">
        <v>801</v>
      </c>
      <c r="D339" s="11" t="s">
        <v>684</v>
      </c>
      <c r="E339" s="12" t="s">
        <v>795</v>
      </c>
      <c r="F339" s="13" t="str">
        <f t="array" ref="F339">INDEX(Turmas!D2:D106,MATCH(E339,Turmas!A2:A106,0))</f>
        <v>Noite</v>
      </c>
      <c r="G339" s="14">
        <v>0.0</v>
      </c>
      <c r="H339" s="15">
        <v>2.0</v>
      </c>
      <c r="I339" s="15">
        <v>0.0</v>
      </c>
      <c r="J339" s="15">
        <v>2.0</v>
      </c>
      <c r="K339" s="15">
        <f t="shared" si="1"/>
        <v>1</v>
      </c>
      <c r="L339" s="16" t="str">
        <f t="shared" si="2"/>
        <v>1-12</v>
      </c>
      <c r="M339" s="16" t="str">
        <f t="shared" si="3"/>
        <v>1-12</v>
      </c>
      <c r="N339" s="16" t="str">
        <f t="shared" si="4"/>
        <v>1-12</v>
      </c>
      <c r="O339" s="16" t="str">
        <f t="shared" si="5"/>
        <v>1-12</v>
      </c>
      <c r="P339" s="16" t="str">
        <f t="shared" si="6"/>
        <v>1-12</v>
      </c>
      <c r="Q339" s="16" t="str">
        <f t="shared" si="7"/>
        <v>0</v>
      </c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9">
        <v>183511.0</v>
      </c>
      <c r="B340" s="9" t="s">
        <v>802</v>
      </c>
      <c r="C340" s="19" t="s">
        <v>249</v>
      </c>
      <c r="D340" s="11" t="s">
        <v>663</v>
      </c>
      <c r="E340" s="12" t="s">
        <v>795</v>
      </c>
      <c r="F340" s="13" t="str">
        <f t="array" ref="F340">INDEX(Turmas!D2:D106,MATCH(E340,Turmas!A2:A106,0))</f>
        <v>Noite</v>
      </c>
      <c r="G340" s="14">
        <v>0.0</v>
      </c>
      <c r="H340" s="15">
        <v>4.0</v>
      </c>
      <c r="I340" s="15">
        <v>0.0</v>
      </c>
      <c r="J340" s="15">
        <v>4.0</v>
      </c>
      <c r="K340" s="15">
        <f t="shared" si="1"/>
        <v>1</v>
      </c>
      <c r="L340" s="16" t="str">
        <f t="shared" si="2"/>
        <v>1-12</v>
      </c>
      <c r="M340" s="16" t="str">
        <f t="shared" si="3"/>
        <v>1-12</v>
      </c>
      <c r="N340" s="16" t="str">
        <f t="shared" si="4"/>
        <v>1-12</v>
      </c>
      <c r="O340" s="16" t="str">
        <f t="shared" si="5"/>
        <v>1-12</v>
      </c>
      <c r="P340" s="16" t="str">
        <f t="shared" si="6"/>
        <v>1-12</v>
      </c>
      <c r="Q340" s="16" t="str">
        <f t="shared" si="7"/>
        <v>0</v>
      </c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9">
        <v>183513.0</v>
      </c>
      <c r="B341" s="9" t="s">
        <v>803</v>
      </c>
      <c r="C341" s="19" t="s">
        <v>804</v>
      </c>
      <c r="D341" s="11" t="s">
        <v>692</v>
      </c>
      <c r="E341" s="12" t="s">
        <v>805</v>
      </c>
      <c r="F341" s="13" t="str">
        <f t="array" ref="F341">INDEX(Turmas!D2:D106,MATCH(E341,Turmas!A2:A106,0))</f>
        <v>Noite</v>
      </c>
      <c r="G341" s="14">
        <v>0.0</v>
      </c>
      <c r="H341" s="15">
        <v>2.0</v>
      </c>
      <c r="I341" s="15">
        <v>0.0</v>
      </c>
      <c r="J341" s="15">
        <v>2.0</v>
      </c>
      <c r="K341" s="15">
        <f t="shared" si="1"/>
        <v>1</v>
      </c>
      <c r="L341" s="16" t="str">
        <f t="shared" si="2"/>
        <v>1-12</v>
      </c>
      <c r="M341" s="16" t="str">
        <f t="shared" si="3"/>
        <v>1-12</v>
      </c>
      <c r="N341" s="16" t="str">
        <f t="shared" si="4"/>
        <v>1-12</v>
      </c>
      <c r="O341" s="16" t="str">
        <f t="shared" si="5"/>
        <v>1-12</v>
      </c>
      <c r="P341" s="16" t="str">
        <f t="shared" si="6"/>
        <v>1-12</v>
      </c>
      <c r="Q341" s="16" t="str">
        <f t="shared" si="7"/>
        <v>0</v>
      </c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9">
        <v>183514.0</v>
      </c>
      <c r="B342" s="9" t="s">
        <v>806</v>
      </c>
      <c r="C342" s="19" t="s">
        <v>807</v>
      </c>
      <c r="D342" s="11" t="s">
        <v>692</v>
      </c>
      <c r="E342" s="12" t="s">
        <v>805</v>
      </c>
      <c r="F342" s="13" t="str">
        <f t="array" ref="F342">INDEX(Turmas!D2:D106,MATCH(E342,Turmas!A2:A106,0))</f>
        <v>Noite</v>
      </c>
      <c r="G342" s="14">
        <v>0.0</v>
      </c>
      <c r="H342" s="15">
        <v>4.0</v>
      </c>
      <c r="I342" s="15">
        <v>0.0</v>
      </c>
      <c r="J342" s="15">
        <v>4.0</v>
      </c>
      <c r="K342" s="15">
        <f t="shared" si="1"/>
        <v>1</v>
      </c>
      <c r="L342" s="16" t="str">
        <f t="shared" si="2"/>
        <v>1-12</v>
      </c>
      <c r="M342" s="16" t="str">
        <f t="shared" si="3"/>
        <v>1-12</v>
      </c>
      <c r="N342" s="16" t="str">
        <f t="shared" si="4"/>
        <v>1-12</v>
      </c>
      <c r="O342" s="16" t="str">
        <f t="shared" si="5"/>
        <v>1-12</v>
      </c>
      <c r="P342" s="16" t="str">
        <f t="shared" si="6"/>
        <v>1-12</v>
      </c>
      <c r="Q342" s="16" t="str">
        <f t="shared" si="7"/>
        <v>0</v>
      </c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9">
        <v>183515.0</v>
      </c>
      <c r="B343" s="9" t="s">
        <v>808</v>
      </c>
      <c r="C343" s="19" t="s">
        <v>809</v>
      </c>
      <c r="D343" s="11" t="s">
        <v>692</v>
      </c>
      <c r="E343" s="12" t="s">
        <v>805</v>
      </c>
      <c r="F343" s="13" t="str">
        <f t="array" ref="F343">INDEX(Turmas!D2:D106,MATCH(E343,Turmas!A2:A106,0))</f>
        <v>Noite</v>
      </c>
      <c r="G343" s="14">
        <v>0.0</v>
      </c>
      <c r="H343" s="15">
        <v>4.0</v>
      </c>
      <c r="I343" s="15">
        <v>0.0</v>
      </c>
      <c r="J343" s="15">
        <v>2.0</v>
      </c>
      <c r="K343" s="15">
        <f t="shared" si="1"/>
        <v>2</v>
      </c>
      <c r="L343" s="16" t="str">
        <f t="shared" si="2"/>
        <v>1-12</v>
      </c>
      <c r="M343" s="16" t="str">
        <f t="shared" si="3"/>
        <v>1-12</v>
      </c>
      <c r="N343" s="16" t="str">
        <f t="shared" si="4"/>
        <v>1-12</v>
      </c>
      <c r="O343" s="16" t="str">
        <f t="shared" si="5"/>
        <v>1-12</v>
      </c>
      <c r="P343" s="16" t="str">
        <f t="shared" si="6"/>
        <v>1-12</v>
      </c>
      <c r="Q343" s="16" t="str">
        <f t="shared" si="7"/>
        <v>0</v>
      </c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9">
        <v>183516.0</v>
      </c>
      <c r="B344" s="9" t="s">
        <v>810</v>
      </c>
      <c r="C344" s="19" t="s">
        <v>811</v>
      </c>
      <c r="D344" s="11" t="s">
        <v>201</v>
      </c>
      <c r="E344" s="12" t="s">
        <v>805</v>
      </c>
      <c r="F344" s="13" t="str">
        <f t="array" ref="F344">INDEX(Turmas!D2:D106,MATCH(E344,Turmas!A2:A106,0))</f>
        <v>Noite</v>
      </c>
      <c r="G344" s="14">
        <v>0.0</v>
      </c>
      <c r="H344" s="15">
        <v>4.0</v>
      </c>
      <c r="I344" s="15">
        <v>0.0</v>
      </c>
      <c r="J344" s="15">
        <v>2.0</v>
      </c>
      <c r="K344" s="15">
        <f t="shared" si="1"/>
        <v>2</v>
      </c>
      <c r="L344" s="16" t="str">
        <f t="shared" si="2"/>
        <v>1-12</v>
      </c>
      <c r="M344" s="16" t="str">
        <f t="shared" si="3"/>
        <v>1-12</v>
      </c>
      <c r="N344" s="16" t="str">
        <f t="shared" si="4"/>
        <v>1-12</v>
      </c>
      <c r="O344" s="16" t="str">
        <f t="shared" si="5"/>
        <v>1-12</v>
      </c>
      <c r="P344" s="16" t="str">
        <f t="shared" si="6"/>
        <v>1-12</v>
      </c>
      <c r="Q344" s="16" t="str">
        <f t="shared" si="7"/>
        <v>0</v>
      </c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9">
        <v>183517.0</v>
      </c>
      <c r="B345" s="9" t="s">
        <v>812</v>
      </c>
      <c r="C345" s="19" t="s">
        <v>813</v>
      </c>
      <c r="D345" s="11" t="s">
        <v>684</v>
      </c>
      <c r="E345" s="12" t="s">
        <v>805</v>
      </c>
      <c r="F345" s="13" t="str">
        <f t="array" ref="F345">INDEX(Turmas!D2:D106,MATCH(E345,Turmas!A2:A106,0))</f>
        <v>Noite</v>
      </c>
      <c r="G345" s="14">
        <v>0.0</v>
      </c>
      <c r="H345" s="15">
        <v>4.0</v>
      </c>
      <c r="I345" s="15">
        <v>0.0</v>
      </c>
      <c r="J345" s="15">
        <v>4.0</v>
      </c>
      <c r="K345" s="15">
        <f t="shared" si="1"/>
        <v>1</v>
      </c>
      <c r="L345" s="16" t="str">
        <f t="shared" si="2"/>
        <v>1-12</v>
      </c>
      <c r="M345" s="16" t="str">
        <f t="shared" si="3"/>
        <v>1-12</v>
      </c>
      <c r="N345" s="16" t="str">
        <f t="shared" si="4"/>
        <v>1-12</v>
      </c>
      <c r="O345" s="16" t="str">
        <f t="shared" si="5"/>
        <v>1-12</v>
      </c>
      <c r="P345" s="16" t="str">
        <f t="shared" si="6"/>
        <v>1-12</v>
      </c>
      <c r="Q345" s="16" t="str">
        <f t="shared" si="7"/>
        <v>0</v>
      </c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9">
        <v>183518.0</v>
      </c>
      <c r="B346" s="9" t="s">
        <v>814</v>
      </c>
      <c r="C346" s="19" t="s">
        <v>640</v>
      </c>
      <c r="D346" s="11" t="s">
        <v>219</v>
      </c>
      <c r="E346" s="12" t="s">
        <v>815</v>
      </c>
      <c r="F346" s="13" t="str">
        <f t="array" ref="F346">INDEX(Turmas!D2:D106,MATCH(E346,Turmas!A2:A106,0))</f>
        <v>Noite</v>
      </c>
      <c r="G346" s="14">
        <v>0.0</v>
      </c>
      <c r="H346" s="15">
        <v>4.0</v>
      </c>
      <c r="I346" s="15">
        <v>0.0</v>
      </c>
      <c r="J346" s="15">
        <v>4.0</v>
      </c>
      <c r="K346" s="15">
        <f t="shared" si="1"/>
        <v>1</v>
      </c>
      <c r="L346" s="16" t="str">
        <f t="shared" si="2"/>
        <v>1-12</v>
      </c>
      <c r="M346" s="16" t="str">
        <f t="shared" si="3"/>
        <v>1-12</v>
      </c>
      <c r="N346" s="16" t="str">
        <f t="shared" si="4"/>
        <v>1-12</v>
      </c>
      <c r="O346" s="16" t="str">
        <f t="shared" si="5"/>
        <v>1-12</v>
      </c>
      <c r="P346" s="16" t="str">
        <f t="shared" si="6"/>
        <v>1-12</v>
      </c>
      <c r="Q346" s="16" t="str">
        <f t="shared" si="7"/>
        <v>0</v>
      </c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9">
        <v>183723.0</v>
      </c>
      <c r="B347" s="9" t="s">
        <v>816</v>
      </c>
      <c r="C347" s="19" t="s">
        <v>817</v>
      </c>
      <c r="D347" s="11" t="s">
        <v>71</v>
      </c>
      <c r="E347" s="12" t="s">
        <v>818</v>
      </c>
      <c r="F347" s="13" t="str">
        <f t="array" ref="F347">INDEX(Turmas!D2:D106,MATCH(E347,Turmas!A2:A106,0))</f>
        <v>Noite</v>
      </c>
      <c r="G347" s="14">
        <v>0.0</v>
      </c>
      <c r="H347" s="15">
        <v>3.0</v>
      </c>
      <c r="I347" s="15">
        <v>0.0</v>
      </c>
      <c r="J347" s="15">
        <v>2.0</v>
      </c>
      <c r="K347" s="15">
        <f t="shared" si="1"/>
        <v>1</v>
      </c>
      <c r="L347" s="16" t="str">
        <f t="shared" si="2"/>
        <v>1-12</v>
      </c>
      <c r="M347" s="16" t="str">
        <f t="shared" si="3"/>
        <v>1-12</v>
      </c>
      <c r="N347" s="16" t="str">
        <f t="shared" si="4"/>
        <v>1-12</v>
      </c>
      <c r="O347" s="16" t="str">
        <f t="shared" si="5"/>
        <v>1-12</v>
      </c>
      <c r="P347" s="16" t="str">
        <f t="shared" si="6"/>
        <v>1-12</v>
      </c>
      <c r="Q347" s="16" t="str">
        <f t="shared" si="7"/>
        <v>0</v>
      </c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9">
        <v>183730.0</v>
      </c>
      <c r="B348" s="9" t="s">
        <v>819</v>
      </c>
      <c r="C348" s="19" t="s">
        <v>820</v>
      </c>
      <c r="D348" s="11" t="s">
        <v>821</v>
      </c>
      <c r="E348" s="12" t="s">
        <v>822</v>
      </c>
      <c r="F348" s="13" t="str">
        <f t="array" ref="F348">INDEX(Turmas!D2:D106,MATCH(E348,Turmas!A2:A106,0))</f>
        <v>Noite</v>
      </c>
      <c r="G348" s="14">
        <v>0.0</v>
      </c>
      <c r="H348" s="15">
        <v>4.0</v>
      </c>
      <c r="I348" s="15">
        <v>0.0</v>
      </c>
      <c r="J348" s="15">
        <v>2.0</v>
      </c>
      <c r="K348" s="15">
        <f t="shared" si="1"/>
        <v>2</v>
      </c>
      <c r="L348" s="16" t="str">
        <f t="shared" si="2"/>
        <v>1-12</v>
      </c>
      <c r="M348" s="16" t="str">
        <f t="shared" si="3"/>
        <v>1-12</v>
      </c>
      <c r="N348" s="16" t="str">
        <f t="shared" si="4"/>
        <v>1-12</v>
      </c>
      <c r="O348" s="16" t="str">
        <f t="shared" si="5"/>
        <v>1-12</v>
      </c>
      <c r="P348" s="16" t="str">
        <f t="shared" si="6"/>
        <v>1-12</v>
      </c>
      <c r="Q348" s="16" t="str">
        <f t="shared" si="7"/>
        <v>0</v>
      </c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9">
        <v>183736.0</v>
      </c>
      <c r="B349" s="9" t="s">
        <v>823</v>
      </c>
      <c r="C349" s="19" t="s">
        <v>824</v>
      </c>
      <c r="D349" s="11" t="s">
        <v>63</v>
      </c>
      <c r="E349" s="12" t="s">
        <v>825</v>
      </c>
      <c r="F349" s="13" t="str">
        <f t="array" ref="F349">INDEX(Turmas!D2:D106,MATCH(E349,Turmas!A2:A106,0))</f>
        <v>Noite</v>
      </c>
      <c r="G349" s="14">
        <v>0.0</v>
      </c>
      <c r="H349" s="15">
        <v>3.0</v>
      </c>
      <c r="I349" s="15">
        <v>0.0</v>
      </c>
      <c r="J349" s="15">
        <v>2.0</v>
      </c>
      <c r="K349" s="15">
        <f t="shared" si="1"/>
        <v>1</v>
      </c>
      <c r="L349" s="16" t="str">
        <f t="shared" si="2"/>
        <v>1-12</v>
      </c>
      <c r="M349" s="16" t="str">
        <f t="shared" si="3"/>
        <v>1-12</v>
      </c>
      <c r="N349" s="16" t="str">
        <f t="shared" si="4"/>
        <v>1-12</v>
      </c>
      <c r="O349" s="16" t="str">
        <f t="shared" si="5"/>
        <v>1-12</v>
      </c>
      <c r="P349" s="16" t="str">
        <f t="shared" si="6"/>
        <v>1-12</v>
      </c>
      <c r="Q349" s="16" t="str">
        <f t="shared" si="7"/>
        <v>0</v>
      </c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9">
        <v>183744.0</v>
      </c>
      <c r="B350" s="9" t="s">
        <v>826</v>
      </c>
      <c r="C350" s="19" t="s">
        <v>198</v>
      </c>
      <c r="D350" s="11" t="s">
        <v>146</v>
      </c>
      <c r="E350" s="12" t="s">
        <v>827</v>
      </c>
      <c r="F350" s="13" t="str">
        <f t="array" ref="F350">INDEX(Turmas!D2:D106,MATCH(E350,Turmas!A2:A106,0))</f>
        <v>Tarde</v>
      </c>
      <c r="G350" s="14">
        <v>0.0</v>
      </c>
      <c r="H350" s="15">
        <v>2.0</v>
      </c>
      <c r="I350" s="15">
        <v>0.0</v>
      </c>
      <c r="J350" s="15">
        <v>2.0</v>
      </c>
      <c r="K350" s="15">
        <f t="shared" si="1"/>
        <v>1</v>
      </c>
      <c r="L350" s="16" t="str">
        <f t="shared" si="2"/>
        <v>1-6,13-16</v>
      </c>
      <c r="M350" s="16" t="str">
        <f t="shared" si="3"/>
        <v>1-6,13-16</v>
      </c>
      <c r="N350" s="16" t="str">
        <f t="shared" si="4"/>
        <v>1-6,13-16</v>
      </c>
      <c r="O350" s="16" t="str">
        <f t="shared" si="5"/>
        <v>1-6,13-16</v>
      </c>
      <c r="P350" s="16" t="str">
        <f t="shared" si="6"/>
        <v>1-6,13-16</v>
      </c>
      <c r="Q350" s="16" t="str">
        <f t="shared" si="7"/>
        <v>1-16</v>
      </c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9">
        <v>182483.0</v>
      </c>
      <c r="B351" s="9" t="s">
        <v>828</v>
      </c>
      <c r="C351" s="19" t="s">
        <v>829</v>
      </c>
      <c r="D351" s="11" t="s">
        <v>447</v>
      </c>
      <c r="E351" s="12" t="s">
        <v>827</v>
      </c>
      <c r="F351" s="13" t="str">
        <f t="array" ref="F351">INDEX(Turmas!D2:D106,MATCH(E351,Turmas!A2:A106,0))</f>
        <v>Tarde</v>
      </c>
      <c r="G351" s="14">
        <v>0.0</v>
      </c>
      <c r="H351" s="15">
        <v>4.0</v>
      </c>
      <c r="I351" s="15">
        <v>0.0</v>
      </c>
      <c r="J351" s="15">
        <v>2.0</v>
      </c>
      <c r="K351" s="15">
        <f t="shared" si="1"/>
        <v>2</v>
      </c>
      <c r="L351" s="16" t="str">
        <f t="shared" si="2"/>
        <v>1-6,13-16</v>
      </c>
      <c r="M351" s="16" t="str">
        <f t="shared" si="3"/>
        <v>1-6,13-16</v>
      </c>
      <c r="N351" s="16" t="str">
        <f t="shared" si="4"/>
        <v>1-6,13-16</v>
      </c>
      <c r="O351" s="16" t="str">
        <f t="shared" si="5"/>
        <v>1-6,13-16</v>
      </c>
      <c r="P351" s="16" t="str">
        <f t="shared" si="6"/>
        <v>1-6,13-16</v>
      </c>
      <c r="Q351" s="16" t="str">
        <f t="shared" si="7"/>
        <v>1-16</v>
      </c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9">
        <v>182484.0</v>
      </c>
      <c r="B352" s="9" t="s">
        <v>830</v>
      </c>
      <c r="C352" s="19" t="s">
        <v>640</v>
      </c>
      <c r="D352" s="11" t="s">
        <v>447</v>
      </c>
      <c r="E352" s="12" t="s">
        <v>827</v>
      </c>
      <c r="F352" s="13" t="str">
        <f t="array" ref="F352">INDEX(Turmas!D2:D106,MATCH(E352,Turmas!A2:A106,0))</f>
        <v>Tarde</v>
      </c>
      <c r="G352" s="20">
        <v>0.0</v>
      </c>
      <c r="H352" s="15">
        <v>2.0</v>
      </c>
      <c r="I352" s="15">
        <v>0.0</v>
      </c>
      <c r="J352" s="15">
        <v>2.0</v>
      </c>
      <c r="K352" s="15">
        <f t="shared" si="1"/>
        <v>1</v>
      </c>
      <c r="L352" s="16" t="str">
        <f t="shared" si="2"/>
        <v>1-6,13-16</v>
      </c>
      <c r="M352" s="16" t="str">
        <f t="shared" si="3"/>
        <v>1-6,13-16</v>
      </c>
      <c r="N352" s="16" t="str">
        <f t="shared" si="4"/>
        <v>1-6,13-16</v>
      </c>
      <c r="O352" s="16" t="str">
        <f t="shared" si="5"/>
        <v>1-6,13-16</v>
      </c>
      <c r="P352" s="16" t="str">
        <f t="shared" si="6"/>
        <v>1-6,13-16</v>
      </c>
      <c r="Q352" s="16" t="str">
        <f t="shared" si="7"/>
        <v>1-16</v>
      </c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9">
        <v>182485.0</v>
      </c>
      <c r="B353" s="9" t="s">
        <v>831</v>
      </c>
      <c r="C353" s="19" t="s">
        <v>660</v>
      </c>
      <c r="D353" s="11" t="s">
        <v>444</v>
      </c>
      <c r="E353" s="12" t="s">
        <v>827</v>
      </c>
      <c r="F353" s="13" t="str">
        <f t="array" ref="F353">INDEX(Turmas!D2:D106,MATCH(E353,Turmas!A2:A106,0))</f>
        <v>Tarde</v>
      </c>
      <c r="G353" s="14">
        <v>0.0</v>
      </c>
      <c r="H353" s="15">
        <v>4.0</v>
      </c>
      <c r="I353" s="15">
        <v>0.0</v>
      </c>
      <c r="J353" s="15">
        <v>2.0</v>
      </c>
      <c r="K353" s="15">
        <f t="shared" si="1"/>
        <v>2</v>
      </c>
      <c r="L353" s="16" t="str">
        <f t="shared" si="2"/>
        <v>1-6,13-16</v>
      </c>
      <c r="M353" s="16" t="str">
        <f t="shared" si="3"/>
        <v>1-6,13-16</v>
      </c>
      <c r="N353" s="16" t="str">
        <f t="shared" si="4"/>
        <v>1-6,13-16</v>
      </c>
      <c r="O353" s="16" t="str">
        <f t="shared" si="5"/>
        <v>1-6,13-16</v>
      </c>
      <c r="P353" s="16" t="str">
        <f t="shared" si="6"/>
        <v>1-6,13-16</v>
      </c>
      <c r="Q353" s="16" t="str">
        <f t="shared" si="7"/>
        <v>1-16</v>
      </c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9">
        <v>182486.0</v>
      </c>
      <c r="B354" s="9" t="s">
        <v>832</v>
      </c>
      <c r="C354" s="19" t="s">
        <v>833</v>
      </c>
      <c r="D354" s="11" t="s">
        <v>396</v>
      </c>
      <c r="E354" s="12" t="s">
        <v>827</v>
      </c>
      <c r="F354" s="13" t="str">
        <f t="array" ref="F354">INDEX(Turmas!D2:D106,MATCH(E354,Turmas!A2:A106,0))</f>
        <v>Tarde</v>
      </c>
      <c r="G354" s="14">
        <v>0.0</v>
      </c>
      <c r="H354" s="15">
        <v>4.0</v>
      </c>
      <c r="I354" s="15">
        <v>0.0</v>
      </c>
      <c r="J354" s="15">
        <v>4.0</v>
      </c>
      <c r="K354" s="15">
        <f t="shared" si="1"/>
        <v>1</v>
      </c>
      <c r="L354" s="16" t="str">
        <f t="shared" si="2"/>
        <v>1-6,13-16</v>
      </c>
      <c r="M354" s="16" t="str">
        <f t="shared" si="3"/>
        <v>1-6,13-16</v>
      </c>
      <c r="N354" s="16" t="str">
        <f t="shared" si="4"/>
        <v>1-6,13-16</v>
      </c>
      <c r="O354" s="16" t="str">
        <f t="shared" si="5"/>
        <v>1-6,13-16</v>
      </c>
      <c r="P354" s="16" t="str">
        <f t="shared" si="6"/>
        <v>1-6,13-16</v>
      </c>
      <c r="Q354" s="16" t="str">
        <f t="shared" si="7"/>
        <v>1-16</v>
      </c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9">
        <v>182487.0</v>
      </c>
      <c r="B355" s="9" t="s">
        <v>834</v>
      </c>
      <c r="C355" s="19" t="s">
        <v>645</v>
      </c>
      <c r="D355" s="22" t="s">
        <v>213</v>
      </c>
      <c r="E355" s="12" t="s">
        <v>827</v>
      </c>
      <c r="F355" s="13" t="str">
        <f t="array" ref="F355">INDEX(Turmas!D2:D106,MATCH(E355,Turmas!A2:A106,0))</f>
        <v>Tarde</v>
      </c>
      <c r="G355" s="14">
        <v>0.0</v>
      </c>
      <c r="H355" s="15">
        <v>2.0</v>
      </c>
      <c r="I355" s="15">
        <v>0.0</v>
      </c>
      <c r="J355" s="15">
        <v>2.0</v>
      </c>
      <c r="K355" s="15">
        <f t="shared" si="1"/>
        <v>1</v>
      </c>
      <c r="L355" s="16" t="str">
        <f t="shared" si="2"/>
        <v>1-6,13-16</v>
      </c>
      <c r="M355" s="16" t="str">
        <f t="shared" si="3"/>
        <v>1-6,13-16</v>
      </c>
      <c r="N355" s="16" t="str">
        <f t="shared" si="4"/>
        <v>1-6,13-16</v>
      </c>
      <c r="O355" s="16" t="str">
        <f t="shared" si="5"/>
        <v>1-6,13-16</v>
      </c>
      <c r="P355" s="16" t="str">
        <f t="shared" si="6"/>
        <v>1-6,13-16</v>
      </c>
      <c r="Q355" s="16" t="str">
        <f t="shared" si="7"/>
        <v>1-16</v>
      </c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9">
        <v>182488.0</v>
      </c>
      <c r="B356" s="9" t="s">
        <v>835</v>
      </c>
      <c r="C356" s="19" t="s">
        <v>212</v>
      </c>
      <c r="D356" s="11" t="s">
        <v>836</v>
      </c>
      <c r="E356" s="12" t="s">
        <v>827</v>
      </c>
      <c r="F356" s="13" t="str">
        <f t="array" ref="F356">INDEX(Turmas!D2:D106,MATCH(E356,Turmas!A2:A106,0))</f>
        <v>Tarde</v>
      </c>
      <c r="G356" s="14">
        <v>0.0</v>
      </c>
      <c r="H356" s="15">
        <v>2.0</v>
      </c>
      <c r="I356" s="15">
        <v>0.0</v>
      </c>
      <c r="J356" s="15">
        <v>2.0</v>
      </c>
      <c r="K356" s="15">
        <f t="shared" si="1"/>
        <v>1</v>
      </c>
      <c r="L356" s="16" t="str">
        <f t="shared" si="2"/>
        <v>1-6,13-16</v>
      </c>
      <c r="M356" s="16" t="str">
        <f t="shared" si="3"/>
        <v>1-6,13-16</v>
      </c>
      <c r="N356" s="16" t="str">
        <f t="shared" si="4"/>
        <v>1-6,13-16</v>
      </c>
      <c r="O356" s="16" t="str">
        <f t="shared" si="5"/>
        <v>1-6,13-16</v>
      </c>
      <c r="P356" s="16" t="str">
        <f t="shared" si="6"/>
        <v>1-6,13-16</v>
      </c>
      <c r="Q356" s="16" t="str">
        <f t="shared" si="7"/>
        <v>1-16</v>
      </c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9">
        <v>182489.0</v>
      </c>
      <c r="B357" s="9" t="s">
        <v>837</v>
      </c>
      <c r="C357" s="19" t="s">
        <v>652</v>
      </c>
      <c r="D357" s="11" t="s">
        <v>653</v>
      </c>
      <c r="E357" s="12" t="s">
        <v>838</v>
      </c>
      <c r="F357" s="13" t="str">
        <f t="array" ref="F357">INDEX(Turmas!D2:D106,MATCH(E357,Turmas!A2:A106,0))</f>
        <v>Manhã</v>
      </c>
      <c r="G357" s="14">
        <v>0.0</v>
      </c>
      <c r="H357" s="15">
        <v>3.0</v>
      </c>
      <c r="I357" s="15">
        <v>0.0</v>
      </c>
      <c r="J357" s="15">
        <v>2.0</v>
      </c>
      <c r="K357" s="15">
        <f t="shared" si="1"/>
        <v>1</v>
      </c>
      <c r="L357" s="16" t="str">
        <f t="shared" si="2"/>
        <v>7-16</v>
      </c>
      <c r="M357" s="16" t="str">
        <f t="shared" si="3"/>
        <v>7-16</v>
      </c>
      <c r="N357" s="16" t="str">
        <f t="shared" si="4"/>
        <v>7-16</v>
      </c>
      <c r="O357" s="16" t="str">
        <f t="shared" si="5"/>
        <v>7-16</v>
      </c>
      <c r="P357" s="16" t="str">
        <f t="shared" si="6"/>
        <v>7-16</v>
      </c>
      <c r="Q357" s="16" t="str">
        <f t="shared" si="7"/>
        <v>1-16</v>
      </c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9">
        <v>182492.0</v>
      </c>
      <c r="B358" s="9" t="s">
        <v>839</v>
      </c>
      <c r="C358" s="10" t="s">
        <v>655</v>
      </c>
      <c r="D358" s="11" t="s">
        <v>653</v>
      </c>
      <c r="E358" s="12" t="s">
        <v>838</v>
      </c>
      <c r="F358" s="13" t="str">
        <f t="array" ref="F358">INDEX(Turmas!D2:D106,MATCH(E358,Turmas!A2:A106,0))</f>
        <v>Manhã</v>
      </c>
      <c r="G358" s="14">
        <v>0.0</v>
      </c>
      <c r="H358" s="15">
        <v>2.0</v>
      </c>
      <c r="I358" s="15">
        <v>0.0</v>
      </c>
      <c r="J358" s="15">
        <v>2.0</v>
      </c>
      <c r="K358" s="15">
        <f t="shared" si="1"/>
        <v>1</v>
      </c>
      <c r="L358" s="16" t="str">
        <f t="shared" si="2"/>
        <v>7-16</v>
      </c>
      <c r="M358" s="16" t="str">
        <f t="shared" si="3"/>
        <v>7-16</v>
      </c>
      <c r="N358" s="16" t="str">
        <f t="shared" si="4"/>
        <v>7-16</v>
      </c>
      <c r="O358" s="16" t="str">
        <f t="shared" si="5"/>
        <v>7-16</v>
      </c>
      <c r="P358" s="16" t="str">
        <f t="shared" si="6"/>
        <v>7-16</v>
      </c>
      <c r="Q358" s="16" t="str">
        <f t="shared" si="7"/>
        <v>1-16</v>
      </c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9">
        <v>182493.0</v>
      </c>
      <c r="B359" s="9" t="s">
        <v>840</v>
      </c>
      <c r="C359" s="10" t="s">
        <v>395</v>
      </c>
      <c r="D359" s="11" t="s">
        <v>396</v>
      </c>
      <c r="E359" s="12" t="s">
        <v>838</v>
      </c>
      <c r="F359" s="13" t="str">
        <f t="array" ref="F359">INDEX(Turmas!D2:D106,MATCH(E359,Turmas!A2:A106,0))</f>
        <v>Manhã</v>
      </c>
      <c r="G359" s="14">
        <v>0.0</v>
      </c>
      <c r="H359" s="15">
        <v>4.0</v>
      </c>
      <c r="I359" s="15">
        <v>0.0</v>
      </c>
      <c r="J359" s="15">
        <v>4.0</v>
      </c>
      <c r="K359" s="15">
        <f t="shared" si="1"/>
        <v>1</v>
      </c>
      <c r="L359" s="16" t="str">
        <f t="shared" si="2"/>
        <v>7-16</v>
      </c>
      <c r="M359" s="16" t="str">
        <f t="shared" si="3"/>
        <v>7-16</v>
      </c>
      <c r="N359" s="16" t="str">
        <f t="shared" si="4"/>
        <v>7-16</v>
      </c>
      <c r="O359" s="16" t="str">
        <f t="shared" si="5"/>
        <v>7-16</v>
      </c>
      <c r="P359" s="16" t="str">
        <f t="shared" si="6"/>
        <v>7-16</v>
      </c>
      <c r="Q359" s="16" t="str">
        <f t="shared" si="7"/>
        <v>1-16</v>
      </c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9">
        <v>182494.0</v>
      </c>
      <c r="B360" s="9" t="s">
        <v>841</v>
      </c>
      <c r="C360" s="10" t="s">
        <v>842</v>
      </c>
      <c r="D360" s="11" t="s">
        <v>843</v>
      </c>
      <c r="E360" s="12" t="s">
        <v>838</v>
      </c>
      <c r="F360" s="13" t="str">
        <f t="array" ref="F360">INDEX(Turmas!D2:D106,MATCH(E360,Turmas!A2:A106,0))</f>
        <v>Manhã</v>
      </c>
      <c r="G360" s="14">
        <v>0.0</v>
      </c>
      <c r="H360" s="15">
        <v>4.0</v>
      </c>
      <c r="I360" s="15">
        <v>0.0</v>
      </c>
      <c r="J360" s="15">
        <v>2.0</v>
      </c>
      <c r="K360" s="15">
        <f t="shared" si="1"/>
        <v>2</v>
      </c>
      <c r="L360" s="16" t="str">
        <f t="shared" si="2"/>
        <v>7-16</v>
      </c>
      <c r="M360" s="16" t="str">
        <f t="shared" si="3"/>
        <v>7-16</v>
      </c>
      <c r="N360" s="16" t="str">
        <f t="shared" si="4"/>
        <v>7-16</v>
      </c>
      <c r="O360" s="16" t="str">
        <f t="shared" si="5"/>
        <v>7-16</v>
      </c>
      <c r="P360" s="16" t="str">
        <f t="shared" si="6"/>
        <v>7-16</v>
      </c>
      <c r="Q360" s="16" t="str">
        <f t="shared" si="7"/>
        <v>1-16</v>
      </c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9">
        <v>182495.0</v>
      </c>
      <c r="B361" s="9" t="s">
        <v>844</v>
      </c>
      <c r="C361" s="19" t="s">
        <v>458</v>
      </c>
      <c r="D361" s="11" t="s">
        <v>845</v>
      </c>
      <c r="E361" s="23" t="s">
        <v>846</v>
      </c>
      <c r="F361" s="13" t="str">
        <f t="array" ref="F361">INDEX(Turmas!D2:D106,MATCH(E361,Turmas!A2:A106,0))</f>
        <v>Tarde</v>
      </c>
      <c r="G361" s="14">
        <v>0.0</v>
      </c>
      <c r="H361" s="15">
        <v>3.0</v>
      </c>
      <c r="I361" s="15">
        <v>0.0</v>
      </c>
      <c r="J361" s="15">
        <v>2.0</v>
      </c>
      <c r="K361" s="15">
        <f t="shared" si="1"/>
        <v>1</v>
      </c>
      <c r="L361" s="16" t="str">
        <f t="shared" si="2"/>
        <v>1-6,13-16</v>
      </c>
      <c r="M361" s="16" t="str">
        <f t="shared" si="3"/>
        <v>1-6,13-16</v>
      </c>
      <c r="N361" s="16" t="str">
        <f t="shared" si="4"/>
        <v>1-6,13-16</v>
      </c>
      <c r="O361" s="16" t="str">
        <f t="shared" si="5"/>
        <v>1-6,13-16</v>
      </c>
      <c r="P361" s="16" t="str">
        <f t="shared" si="6"/>
        <v>1-6,13-16</v>
      </c>
      <c r="Q361" s="16" t="str">
        <f t="shared" si="7"/>
        <v>1-16</v>
      </c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9">
        <v>182497.0</v>
      </c>
      <c r="B362" s="9" t="s">
        <v>847</v>
      </c>
      <c r="C362" s="19" t="s">
        <v>848</v>
      </c>
      <c r="D362" s="11" t="s">
        <v>393</v>
      </c>
      <c r="E362" s="23" t="s">
        <v>846</v>
      </c>
      <c r="F362" s="13" t="str">
        <f t="array" ref="F362">INDEX(Turmas!D2:D106,MATCH(E362,Turmas!A2:A106,0))</f>
        <v>Tarde</v>
      </c>
      <c r="G362" s="14">
        <v>0.0</v>
      </c>
      <c r="H362" s="15">
        <v>4.0</v>
      </c>
      <c r="I362" s="15">
        <v>0.0</v>
      </c>
      <c r="J362" s="15">
        <v>2.0</v>
      </c>
      <c r="K362" s="15">
        <f t="shared" si="1"/>
        <v>2</v>
      </c>
      <c r="L362" s="16" t="str">
        <f t="shared" si="2"/>
        <v>1-6,13-16</v>
      </c>
      <c r="M362" s="16" t="str">
        <f t="shared" si="3"/>
        <v>1-6,13-16</v>
      </c>
      <c r="N362" s="16" t="str">
        <f t="shared" si="4"/>
        <v>1-6,13-16</v>
      </c>
      <c r="O362" s="16" t="str">
        <f t="shared" si="5"/>
        <v>1-6,13-16</v>
      </c>
      <c r="P362" s="16" t="str">
        <f t="shared" si="6"/>
        <v>1-6,13-16</v>
      </c>
      <c r="Q362" s="16" t="str">
        <f t="shared" si="7"/>
        <v>1-16</v>
      </c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9">
        <v>182499.0</v>
      </c>
      <c r="B363" s="9" t="s">
        <v>849</v>
      </c>
      <c r="C363" s="10" t="s">
        <v>404</v>
      </c>
      <c r="D363" s="11" t="s">
        <v>405</v>
      </c>
      <c r="E363" s="23" t="s">
        <v>846</v>
      </c>
      <c r="F363" s="13" t="str">
        <f t="array" ref="F363">INDEX(Turmas!D2:D106,MATCH(E363,Turmas!A2:A106,0))</f>
        <v>Tarde</v>
      </c>
      <c r="G363" s="14">
        <v>0.0</v>
      </c>
      <c r="H363" s="15">
        <v>2.0</v>
      </c>
      <c r="I363" s="15">
        <v>0.0</v>
      </c>
      <c r="J363" s="15">
        <v>2.0</v>
      </c>
      <c r="K363" s="15">
        <f t="shared" si="1"/>
        <v>1</v>
      </c>
      <c r="L363" s="16" t="str">
        <f t="shared" si="2"/>
        <v>1-6,13-16</v>
      </c>
      <c r="M363" s="16" t="str">
        <f t="shared" si="3"/>
        <v>1-6,13-16</v>
      </c>
      <c r="N363" s="16" t="str">
        <f t="shared" si="4"/>
        <v>1-6,13-16</v>
      </c>
      <c r="O363" s="16" t="str">
        <f t="shared" si="5"/>
        <v>1-6,13-16</v>
      </c>
      <c r="P363" s="16" t="str">
        <f t="shared" si="6"/>
        <v>1-6,13-16</v>
      </c>
      <c r="Q363" s="16" t="str">
        <f t="shared" si="7"/>
        <v>1-16</v>
      </c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9">
        <v>182498.0</v>
      </c>
      <c r="B364" s="9" t="s">
        <v>850</v>
      </c>
      <c r="C364" s="10" t="s">
        <v>851</v>
      </c>
      <c r="D364" s="11" t="s">
        <v>603</v>
      </c>
      <c r="E364" s="23" t="s">
        <v>846</v>
      </c>
      <c r="F364" s="13" t="str">
        <f t="array" ref="F364">INDEX(Turmas!D2:D106,MATCH(E364,Turmas!A2:A106,0))</f>
        <v>Tarde</v>
      </c>
      <c r="G364" s="14">
        <v>0.0</v>
      </c>
      <c r="H364" s="15">
        <v>3.0</v>
      </c>
      <c r="I364" s="15">
        <v>0.0</v>
      </c>
      <c r="J364" s="15">
        <v>2.0</v>
      </c>
      <c r="K364" s="15">
        <f t="shared" si="1"/>
        <v>1</v>
      </c>
      <c r="L364" s="16" t="str">
        <f t="shared" si="2"/>
        <v>1-6,13-16</v>
      </c>
      <c r="M364" s="16" t="str">
        <f t="shared" si="3"/>
        <v>1-6,13-16</v>
      </c>
      <c r="N364" s="16" t="str">
        <f t="shared" si="4"/>
        <v>1-6,13-16</v>
      </c>
      <c r="O364" s="16" t="str">
        <f t="shared" si="5"/>
        <v>1-6,13-16</v>
      </c>
      <c r="P364" s="16" t="str">
        <f t="shared" si="6"/>
        <v>1-6,13-16</v>
      </c>
      <c r="Q364" s="16" t="str">
        <f t="shared" si="7"/>
        <v>1-16</v>
      </c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9">
        <v>182500.0</v>
      </c>
      <c r="B365" s="9" t="s">
        <v>852</v>
      </c>
      <c r="C365" s="10" t="s">
        <v>853</v>
      </c>
      <c r="D365" s="11" t="s">
        <v>854</v>
      </c>
      <c r="E365" s="23" t="s">
        <v>846</v>
      </c>
      <c r="F365" s="13" t="str">
        <f t="array" ref="F365">INDEX(Turmas!D2:D106,MATCH(E365,Turmas!A2:A106,0))</f>
        <v>Tarde</v>
      </c>
      <c r="G365" s="14">
        <v>0.0</v>
      </c>
      <c r="H365" s="15">
        <v>3.0</v>
      </c>
      <c r="I365" s="15">
        <v>0.0</v>
      </c>
      <c r="J365" s="15">
        <v>2.0</v>
      </c>
      <c r="K365" s="15">
        <f t="shared" si="1"/>
        <v>1</v>
      </c>
      <c r="L365" s="16" t="str">
        <f t="shared" si="2"/>
        <v>1-6,13-16</v>
      </c>
      <c r="M365" s="16" t="str">
        <f t="shared" si="3"/>
        <v>1-6,13-16</v>
      </c>
      <c r="N365" s="16" t="str">
        <f t="shared" si="4"/>
        <v>1-6,13-16</v>
      </c>
      <c r="O365" s="16" t="str">
        <f t="shared" si="5"/>
        <v>1-6,13-16</v>
      </c>
      <c r="P365" s="16" t="str">
        <f t="shared" si="6"/>
        <v>1-6,13-16</v>
      </c>
      <c r="Q365" s="16" t="str">
        <f t="shared" si="7"/>
        <v>1-16</v>
      </c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9">
        <v>182501.0</v>
      </c>
      <c r="B366" s="9" t="s">
        <v>855</v>
      </c>
      <c r="C366" s="10" t="s">
        <v>856</v>
      </c>
      <c r="D366" s="11" t="s">
        <v>410</v>
      </c>
      <c r="E366" s="23" t="s">
        <v>846</v>
      </c>
      <c r="F366" s="13" t="str">
        <f t="array" ref="F366">INDEX(Turmas!D2:D106,MATCH(E366,Turmas!A2:A106,0))</f>
        <v>Tarde</v>
      </c>
      <c r="G366" s="14">
        <v>0.0</v>
      </c>
      <c r="H366" s="15">
        <v>2.0</v>
      </c>
      <c r="I366" s="15">
        <v>0.0</v>
      </c>
      <c r="J366" s="15">
        <v>2.0</v>
      </c>
      <c r="K366" s="15">
        <f t="shared" si="1"/>
        <v>1</v>
      </c>
      <c r="L366" s="16" t="str">
        <f t="shared" si="2"/>
        <v>1-6,13-16</v>
      </c>
      <c r="M366" s="16" t="str">
        <f t="shared" si="3"/>
        <v>1-6,13-16</v>
      </c>
      <c r="N366" s="16" t="str">
        <f t="shared" si="4"/>
        <v>1-6,13-16</v>
      </c>
      <c r="O366" s="16" t="str">
        <f t="shared" si="5"/>
        <v>1-6,13-16</v>
      </c>
      <c r="P366" s="16" t="str">
        <f t="shared" si="6"/>
        <v>1-6,13-16</v>
      </c>
      <c r="Q366" s="16" t="str">
        <f t="shared" si="7"/>
        <v>1-16</v>
      </c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9">
        <v>182502.0</v>
      </c>
      <c r="B367" s="9" t="s">
        <v>857</v>
      </c>
      <c r="C367" s="19" t="s">
        <v>858</v>
      </c>
      <c r="D367" s="11" t="s">
        <v>439</v>
      </c>
      <c r="E367" s="12" t="s">
        <v>859</v>
      </c>
      <c r="F367" s="13" t="str">
        <f t="array" ref="F367">INDEX(Turmas!D2:D106,MATCH(E367,Turmas!A2:A106,0))</f>
        <v>Manhã</v>
      </c>
      <c r="G367" s="20">
        <v>0.0</v>
      </c>
      <c r="H367" s="15">
        <v>4.0</v>
      </c>
      <c r="I367" s="15">
        <v>0.0</v>
      </c>
      <c r="J367" s="15">
        <v>2.0</v>
      </c>
      <c r="K367" s="15">
        <f t="shared" si="1"/>
        <v>2</v>
      </c>
      <c r="L367" s="16" t="str">
        <f t="shared" si="2"/>
        <v>7-16</v>
      </c>
      <c r="M367" s="16" t="str">
        <f t="shared" si="3"/>
        <v>7-16</v>
      </c>
      <c r="N367" s="16" t="str">
        <f t="shared" si="4"/>
        <v>7-16</v>
      </c>
      <c r="O367" s="16" t="str">
        <f t="shared" si="5"/>
        <v>7-16</v>
      </c>
      <c r="P367" s="16" t="str">
        <f t="shared" si="6"/>
        <v>7-16</v>
      </c>
      <c r="Q367" s="16" t="str">
        <f t="shared" si="7"/>
        <v>1-16</v>
      </c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9">
        <v>183895.0</v>
      </c>
      <c r="B368" s="9" t="s">
        <v>860</v>
      </c>
      <c r="C368" s="10" t="s">
        <v>861</v>
      </c>
      <c r="D368" s="11" t="s">
        <v>59</v>
      </c>
      <c r="E368" s="23" t="s">
        <v>862</v>
      </c>
      <c r="F368" s="13" t="str">
        <f t="array" ref="F368">INDEX(Turmas!D2:D106,MATCH(E368,Turmas!A2:A106,0))</f>
        <v>Noite</v>
      </c>
      <c r="G368" s="14">
        <v>0.0</v>
      </c>
      <c r="H368" s="15">
        <v>3.0</v>
      </c>
      <c r="I368" s="15">
        <v>0.0</v>
      </c>
      <c r="J368" s="15">
        <v>2.0</v>
      </c>
      <c r="K368" s="15">
        <f t="shared" si="1"/>
        <v>1</v>
      </c>
      <c r="L368" s="16" t="str">
        <f t="shared" si="2"/>
        <v>1-12</v>
      </c>
      <c r="M368" s="16" t="str">
        <f t="shared" si="3"/>
        <v>1-12</v>
      </c>
      <c r="N368" s="16" t="str">
        <f t="shared" si="4"/>
        <v>1-12</v>
      </c>
      <c r="O368" s="16" t="str">
        <f t="shared" si="5"/>
        <v>1-12</v>
      </c>
      <c r="P368" s="16" t="str">
        <f t="shared" si="6"/>
        <v>1-12</v>
      </c>
      <c r="Q368" s="16" t="str">
        <f t="shared" si="7"/>
        <v>0</v>
      </c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9">
        <v>183669.0</v>
      </c>
      <c r="B369" s="9" t="s">
        <v>863</v>
      </c>
      <c r="C369" s="10" t="s">
        <v>864</v>
      </c>
      <c r="D369" s="11" t="s">
        <v>616</v>
      </c>
      <c r="E369" s="23" t="s">
        <v>862</v>
      </c>
      <c r="F369" s="13" t="str">
        <f t="array" ref="F369">INDEX(Turmas!D2:D106,MATCH(E369,Turmas!A2:A106,0))</f>
        <v>Noite</v>
      </c>
      <c r="G369" s="14">
        <v>0.0</v>
      </c>
      <c r="H369" s="15">
        <v>3.0</v>
      </c>
      <c r="I369" s="15">
        <v>0.0</v>
      </c>
      <c r="J369" s="15">
        <v>2.0</v>
      </c>
      <c r="K369" s="15">
        <f t="shared" si="1"/>
        <v>1</v>
      </c>
      <c r="L369" s="16" t="str">
        <f t="shared" si="2"/>
        <v>1-12</v>
      </c>
      <c r="M369" s="16" t="str">
        <f t="shared" si="3"/>
        <v>1-12</v>
      </c>
      <c r="N369" s="16" t="str">
        <f t="shared" si="4"/>
        <v>1-12</v>
      </c>
      <c r="O369" s="16" t="str">
        <f t="shared" si="5"/>
        <v>1-12</v>
      </c>
      <c r="P369" s="16" t="str">
        <f t="shared" si="6"/>
        <v>1-12</v>
      </c>
      <c r="Q369" s="16" t="str">
        <f t="shared" si="7"/>
        <v>0</v>
      </c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9">
        <v>183667.0</v>
      </c>
      <c r="B370" s="9" t="s">
        <v>865</v>
      </c>
      <c r="C370" s="10" t="s">
        <v>866</v>
      </c>
      <c r="D370" s="11" t="s">
        <v>597</v>
      </c>
      <c r="E370" s="23" t="s">
        <v>862</v>
      </c>
      <c r="F370" s="13" t="str">
        <f t="array" ref="F370">INDEX(Turmas!D2:D106,MATCH(E370,Turmas!A2:A106,0))</f>
        <v>Noite</v>
      </c>
      <c r="G370" s="14">
        <v>0.0</v>
      </c>
      <c r="H370" s="15">
        <v>4.0</v>
      </c>
      <c r="I370" s="15">
        <v>0.0</v>
      </c>
      <c r="J370" s="15">
        <v>4.0</v>
      </c>
      <c r="K370" s="15">
        <f t="shared" si="1"/>
        <v>1</v>
      </c>
      <c r="L370" s="16" t="str">
        <f t="shared" si="2"/>
        <v>1-12</v>
      </c>
      <c r="M370" s="16" t="str">
        <f t="shared" si="3"/>
        <v>1-12</v>
      </c>
      <c r="N370" s="16" t="str">
        <f t="shared" si="4"/>
        <v>1-12</v>
      </c>
      <c r="O370" s="16" t="str">
        <f t="shared" si="5"/>
        <v>1-12</v>
      </c>
      <c r="P370" s="16" t="str">
        <f t="shared" si="6"/>
        <v>1-12</v>
      </c>
      <c r="Q370" s="16" t="str">
        <f t="shared" si="7"/>
        <v>0</v>
      </c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9">
        <v>183670.0</v>
      </c>
      <c r="B371" s="9" t="s">
        <v>867</v>
      </c>
      <c r="C371" s="10" t="s">
        <v>868</v>
      </c>
      <c r="D371" s="11" t="s">
        <v>600</v>
      </c>
      <c r="E371" s="23" t="s">
        <v>869</v>
      </c>
      <c r="F371" s="13" t="str">
        <f t="array" ref="F371">INDEX(Turmas!D2:D106,MATCH(E371,Turmas!A2:A106,0))</f>
        <v>Noite</v>
      </c>
      <c r="G371" s="14">
        <v>0.0</v>
      </c>
      <c r="H371" s="15">
        <v>4.0</v>
      </c>
      <c r="I371" s="15">
        <v>0.0</v>
      </c>
      <c r="J371" s="15">
        <v>4.0</v>
      </c>
      <c r="K371" s="15">
        <f t="shared" si="1"/>
        <v>1</v>
      </c>
      <c r="L371" s="16" t="str">
        <f t="shared" si="2"/>
        <v>1-12</v>
      </c>
      <c r="M371" s="16" t="str">
        <f t="shared" si="3"/>
        <v>1-12</v>
      </c>
      <c r="N371" s="16" t="str">
        <f t="shared" si="4"/>
        <v>1-12</v>
      </c>
      <c r="O371" s="16" t="str">
        <f t="shared" si="5"/>
        <v>1-12</v>
      </c>
      <c r="P371" s="16" t="str">
        <f t="shared" si="6"/>
        <v>1-12</v>
      </c>
      <c r="Q371" s="16" t="str">
        <f t="shared" si="7"/>
        <v>0</v>
      </c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9">
        <v>183672.0</v>
      </c>
      <c r="B372" s="9" t="s">
        <v>870</v>
      </c>
      <c r="C372" s="10" t="s">
        <v>871</v>
      </c>
      <c r="D372" s="11" t="s">
        <v>606</v>
      </c>
      <c r="E372" s="23" t="s">
        <v>869</v>
      </c>
      <c r="F372" s="13" t="str">
        <f t="array" ref="F372">INDEX(Turmas!D2:D106,MATCH(E372,Turmas!A2:A106,0))</f>
        <v>Noite</v>
      </c>
      <c r="G372" s="14">
        <v>0.0</v>
      </c>
      <c r="H372" s="15">
        <v>8.0</v>
      </c>
      <c r="I372" s="15">
        <v>0.0</v>
      </c>
      <c r="J372" s="15">
        <v>4.0</v>
      </c>
      <c r="K372" s="15">
        <f t="shared" si="1"/>
        <v>2</v>
      </c>
      <c r="L372" s="16" t="str">
        <f t="shared" si="2"/>
        <v>1-12</v>
      </c>
      <c r="M372" s="16" t="str">
        <f t="shared" si="3"/>
        <v>1-12</v>
      </c>
      <c r="N372" s="16" t="str">
        <f t="shared" si="4"/>
        <v>1-12</v>
      </c>
      <c r="O372" s="16" t="str">
        <f t="shared" si="5"/>
        <v>1-12</v>
      </c>
      <c r="P372" s="16" t="str">
        <f t="shared" si="6"/>
        <v>1-12</v>
      </c>
      <c r="Q372" s="16" t="str">
        <f t="shared" si="7"/>
        <v>0</v>
      </c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9">
        <v>183673.0</v>
      </c>
      <c r="B373" s="9" t="s">
        <v>872</v>
      </c>
      <c r="C373" s="10" t="s">
        <v>618</v>
      </c>
      <c r="D373" s="11" t="s">
        <v>592</v>
      </c>
      <c r="E373" s="23" t="s">
        <v>869</v>
      </c>
      <c r="F373" s="13" t="str">
        <f t="array" ref="F373">INDEX(Turmas!D2:D106,MATCH(E373,Turmas!A2:A106,0))</f>
        <v>Noite</v>
      </c>
      <c r="G373" s="14">
        <v>0.0</v>
      </c>
      <c r="H373" s="15">
        <v>4.0</v>
      </c>
      <c r="I373" s="15">
        <v>0.0</v>
      </c>
      <c r="J373" s="15">
        <v>2.0</v>
      </c>
      <c r="K373" s="15">
        <f t="shared" si="1"/>
        <v>2</v>
      </c>
      <c r="L373" s="16" t="str">
        <f t="shared" si="2"/>
        <v>1-12</v>
      </c>
      <c r="M373" s="16" t="str">
        <f t="shared" si="3"/>
        <v>1-12</v>
      </c>
      <c r="N373" s="16" t="str">
        <f t="shared" si="4"/>
        <v>1-12</v>
      </c>
      <c r="O373" s="16" t="str">
        <f t="shared" si="5"/>
        <v>1-12</v>
      </c>
      <c r="P373" s="16" t="str">
        <f t="shared" si="6"/>
        <v>1-12</v>
      </c>
      <c r="Q373" s="16" t="str">
        <f t="shared" si="7"/>
        <v>0</v>
      </c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9">
        <v>183675.0</v>
      </c>
      <c r="B374" s="9" t="s">
        <v>343</v>
      </c>
      <c r="C374" s="10" t="s">
        <v>145</v>
      </c>
      <c r="D374" s="11" t="s">
        <v>344</v>
      </c>
      <c r="E374" s="23" t="s">
        <v>873</v>
      </c>
      <c r="F374" s="13" t="str">
        <f t="array" ref="F374">INDEX(Turmas!D2:D106,MATCH(E374,Turmas!A2:A106,0))</f>
        <v>Noite</v>
      </c>
      <c r="G374" s="14">
        <v>0.0</v>
      </c>
      <c r="H374" s="15">
        <v>4.0</v>
      </c>
      <c r="I374" s="15">
        <v>0.0</v>
      </c>
      <c r="J374" s="15">
        <v>2.0</v>
      </c>
      <c r="K374" s="15">
        <f t="shared" si="1"/>
        <v>2</v>
      </c>
      <c r="L374" s="16" t="str">
        <f t="shared" si="2"/>
        <v>1-12</v>
      </c>
      <c r="M374" s="16" t="str">
        <f t="shared" si="3"/>
        <v>1-12</v>
      </c>
      <c r="N374" s="16" t="str">
        <f t="shared" si="4"/>
        <v>1-12</v>
      </c>
      <c r="O374" s="16" t="str">
        <f t="shared" si="5"/>
        <v>1-12</v>
      </c>
      <c r="P374" s="16" t="str">
        <f t="shared" si="6"/>
        <v>1-12</v>
      </c>
      <c r="Q374" s="16" t="str">
        <f t="shared" si="7"/>
        <v>0</v>
      </c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9">
        <v>183522.0</v>
      </c>
      <c r="B375" s="9" t="s">
        <v>874</v>
      </c>
      <c r="C375" s="10" t="s">
        <v>215</v>
      </c>
      <c r="D375" s="11" t="s">
        <v>71</v>
      </c>
      <c r="E375" s="23" t="s">
        <v>873</v>
      </c>
      <c r="F375" s="13" t="str">
        <f t="array" ref="F375">INDEX(Turmas!D2:D106,MATCH(E375,Turmas!A2:A106,0))</f>
        <v>Noite</v>
      </c>
      <c r="G375" s="14">
        <v>0.0</v>
      </c>
      <c r="H375" s="15">
        <v>4.0</v>
      </c>
      <c r="I375" s="15">
        <v>0.0</v>
      </c>
      <c r="J375" s="15">
        <v>2.0</v>
      </c>
      <c r="K375" s="15">
        <f t="shared" si="1"/>
        <v>2</v>
      </c>
      <c r="L375" s="16" t="str">
        <f t="shared" si="2"/>
        <v>1-12</v>
      </c>
      <c r="M375" s="16" t="str">
        <f t="shared" si="3"/>
        <v>1-12</v>
      </c>
      <c r="N375" s="16" t="str">
        <f t="shared" si="4"/>
        <v>1-12</v>
      </c>
      <c r="O375" s="16" t="str">
        <f t="shared" si="5"/>
        <v>1-12</v>
      </c>
      <c r="P375" s="16" t="str">
        <f t="shared" si="6"/>
        <v>1-12</v>
      </c>
      <c r="Q375" s="16" t="str">
        <f t="shared" si="7"/>
        <v>0</v>
      </c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9">
        <v>183519.0</v>
      </c>
      <c r="B376" s="9" t="s">
        <v>875</v>
      </c>
      <c r="C376" s="19" t="s">
        <v>212</v>
      </c>
      <c r="D376" s="11" t="s">
        <v>83</v>
      </c>
      <c r="E376" s="12" t="s">
        <v>873</v>
      </c>
      <c r="F376" s="13" t="str">
        <f t="array" ref="F376">INDEX(Turmas!D2:D106,MATCH(E376,Turmas!A2:A106,0))</f>
        <v>Noite</v>
      </c>
      <c r="G376" s="20">
        <v>0.0</v>
      </c>
      <c r="H376" s="15">
        <v>4.0</v>
      </c>
      <c r="I376" s="15">
        <v>0.0</v>
      </c>
      <c r="J376" s="15">
        <v>4.0</v>
      </c>
      <c r="K376" s="15">
        <f t="shared" si="1"/>
        <v>1</v>
      </c>
      <c r="L376" s="16" t="str">
        <f t="shared" si="2"/>
        <v>1-12</v>
      </c>
      <c r="M376" s="16" t="str">
        <f t="shared" si="3"/>
        <v>1-12</v>
      </c>
      <c r="N376" s="16" t="str">
        <f t="shared" si="4"/>
        <v>1-12</v>
      </c>
      <c r="O376" s="16" t="str">
        <f t="shared" si="5"/>
        <v>1-12</v>
      </c>
      <c r="P376" s="16" t="str">
        <f t="shared" si="6"/>
        <v>1-12</v>
      </c>
      <c r="Q376" s="16" t="str">
        <f t="shared" si="7"/>
        <v>0</v>
      </c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9">
        <v>183524.0</v>
      </c>
      <c r="B377" s="9" t="s">
        <v>876</v>
      </c>
      <c r="C377" s="10" t="s">
        <v>877</v>
      </c>
      <c r="D377" s="11" t="s">
        <v>80</v>
      </c>
      <c r="E377" s="23" t="s">
        <v>873</v>
      </c>
      <c r="F377" s="13" t="str">
        <f t="array" ref="F377">INDEX(Turmas!D2:D106,MATCH(E377,Turmas!A2:A106,0))</f>
        <v>Noite</v>
      </c>
      <c r="G377" s="14">
        <v>0.0</v>
      </c>
      <c r="H377" s="15">
        <v>4.0</v>
      </c>
      <c r="I377" s="15">
        <v>0.0</v>
      </c>
      <c r="J377" s="15">
        <v>4.0</v>
      </c>
      <c r="K377" s="15">
        <f t="shared" si="1"/>
        <v>1</v>
      </c>
      <c r="L377" s="16" t="str">
        <f t="shared" si="2"/>
        <v>1-12</v>
      </c>
      <c r="M377" s="16" t="str">
        <f t="shared" si="3"/>
        <v>1-12</v>
      </c>
      <c r="N377" s="16" t="str">
        <f t="shared" si="4"/>
        <v>1-12</v>
      </c>
      <c r="O377" s="16" t="str">
        <f t="shared" si="5"/>
        <v>1-12</v>
      </c>
      <c r="P377" s="16" t="str">
        <f t="shared" si="6"/>
        <v>1-12</v>
      </c>
      <c r="Q377" s="16" t="str">
        <f t="shared" si="7"/>
        <v>0</v>
      </c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9">
        <v>183521.0</v>
      </c>
      <c r="B378" s="9" t="s">
        <v>878</v>
      </c>
      <c r="C378" s="10" t="s">
        <v>879</v>
      </c>
      <c r="D378" s="11" t="s">
        <v>880</v>
      </c>
      <c r="E378" s="23" t="s">
        <v>873</v>
      </c>
      <c r="F378" s="13" t="str">
        <f t="array" ref="F378">INDEX(Turmas!D2:D106,MATCH(E378,Turmas!A2:A106,0))</f>
        <v>Noite</v>
      </c>
      <c r="G378" s="14">
        <v>0.0</v>
      </c>
      <c r="H378" s="15">
        <v>1.0</v>
      </c>
      <c r="I378" s="15">
        <v>0.0</v>
      </c>
      <c r="J378" s="15">
        <v>1.0</v>
      </c>
      <c r="K378" s="15">
        <f t="shared" si="1"/>
        <v>1</v>
      </c>
      <c r="L378" s="16" t="str">
        <f t="shared" si="2"/>
        <v>1-12</v>
      </c>
      <c r="M378" s="16" t="str">
        <f t="shared" si="3"/>
        <v>1-12</v>
      </c>
      <c r="N378" s="16" t="str">
        <f t="shared" si="4"/>
        <v>1-12</v>
      </c>
      <c r="O378" s="16" t="str">
        <f t="shared" si="5"/>
        <v>1-12</v>
      </c>
      <c r="P378" s="16" t="str">
        <f t="shared" si="6"/>
        <v>1-12</v>
      </c>
      <c r="Q378" s="16" t="str">
        <f t="shared" si="7"/>
        <v>0</v>
      </c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9">
        <v>183523.0</v>
      </c>
      <c r="B379" s="9" t="s">
        <v>881</v>
      </c>
      <c r="C379" s="10" t="s">
        <v>882</v>
      </c>
      <c r="D379" s="11" t="s">
        <v>883</v>
      </c>
      <c r="E379" s="23" t="s">
        <v>873</v>
      </c>
      <c r="F379" s="13" t="str">
        <f t="array" ref="F379">INDEX(Turmas!D2:D106,MATCH(E379,Turmas!A2:A106,0))</f>
        <v>Noite</v>
      </c>
      <c r="G379" s="14">
        <v>0.0</v>
      </c>
      <c r="H379" s="15">
        <v>4.0</v>
      </c>
      <c r="I379" s="15">
        <v>0.0</v>
      </c>
      <c r="J379" s="15">
        <v>4.0</v>
      </c>
      <c r="K379" s="15">
        <f t="shared" si="1"/>
        <v>1</v>
      </c>
      <c r="L379" s="16" t="str">
        <f t="shared" si="2"/>
        <v>1-12</v>
      </c>
      <c r="M379" s="16" t="str">
        <f t="shared" si="3"/>
        <v>1-12</v>
      </c>
      <c r="N379" s="16" t="str">
        <f t="shared" si="4"/>
        <v>1-12</v>
      </c>
      <c r="O379" s="16" t="str">
        <f t="shared" si="5"/>
        <v>1-12</v>
      </c>
      <c r="P379" s="16" t="str">
        <f t="shared" si="6"/>
        <v>1-12</v>
      </c>
      <c r="Q379" s="16" t="str">
        <f t="shared" si="7"/>
        <v>0</v>
      </c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9">
        <v>183525.0</v>
      </c>
      <c r="B380" s="9" t="s">
        <v>884</v>
      </c>
      <c r="C380" s="10" t="s">
        <v>885</v>
      </c>
      <c r="D380" s="11" t="s">
        <v>80</v>
      </c>
      <c r="E380" s="23" t="s">
        <v>873</v>
      </c>
      <c r="F380" s="13" t="str">
        <f t="array" ref="F380">INDEX(Turmas!D2:D106,MATCH(E380,Turmas!A2:A106,0))</f>
        <v>Noite</v>
      </c>
      <c r="G380" s="14">
        <v>0.0</v>
      </c>
      <c r="H380" s="15">
        <v>2.0</v>
      </c>
      <c r="I380" s="15">
        <v>0.0</v>
      </c>
      <c r="J380" s="15">
        <v>2.0</v>
      </c>
      <c r="K380" s="15">
        <f t="shared" si="1"/>
        <v>1</v>
      </c>
      <c r="L380" s="16" t="str">
        <f t="shared" si="2"/>
        <v>1-12</v>
      </c>
      <c r="M380" s="16" t="str">
        <f t="shared" si="3"/>
        <v>1-12</v>
      </c>
      <c r="N380" s="16" t="str">
        <f t="shared" si="4"/>
        <v>1-12</v>
      </c>
      <c r="O380" s="16" t="str">
        <f t="shared" si="5"/>
        <v>1-12</v>
      </c>
      <c r="P380" s="16" t="str">
        <f t="shared" si="6"/>
        <v>1-12</v>
      </c>
      <c r="Q380" s="16" t="str">
        <f t="shared" si="7"/>
        <v>0</v>
      </c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9">
        <v>183520.0</v>
      </c>
      <c r="B381" s="9" t="s">
        <v>886</v>
      </c>
      <c r="C381" s="10" t="s">
        <v>355</v>
      </c>
      <c r="D381" s="11" t="s">
        <v>156</v>
      </c>
      <c r="E381" s="23" t="s">
        <v>887</v>
      </c>
      <c r="F381" s="13" t="str">
        <f t="array" ref="F381">INDEX(Turmas!D2:D106,MATCH(E381,Turmas!A2:A106,0))</f>
        <v>Noite</v>
      </c>
      <c r="G381" s="14">
        <v>26.0</v>
      </c>
      <c r="H381" s="15">
        <v>1.0</v>
      </c>
      <c r="I381" s="15">
        <v>0.0</v>
      </c>
      <c r="J381" s="15">
        <v>1.0</v>
      </c>
      <c r="K381" s="15">
        <f t="shared" si="1"/>
        <v>1</v>
      </c>
      <c r="L381" s="16" t="str">
        <f t="shared" si="2"/>
        <v>1-12</v>
      </c>
      <c r="M381" s="16" t="str">
        <f t="shared" si="3"/>
        <v>1-12</v>
      </c>
      <c r="N381" s="16" t="str">
        <f t="shared" si="4"/>
        <v>1-12</v>
      </c>
      <c r="O381" s="16" t="str">
        <f t="shared" si="5"/>
        <v>1-12</v>
      </c>
      <c r="P381" s="16" t="str">
        <f t="shared" si="6"/>
        <v>1-12</v>
      </c>
      <c r="Q381" s="16" t="str">
        <f t="shared" si="7"/>
        <v>0</v>
      </c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9">
        <v>183528.0</v>
      </c>
      <c r="B382" s="9" t="s">
        <v>888</v>
      </c>
      <c r="C382" s="10" t="s">
        <v>889</v>
      </c>
      <c r="D382" s="11" t="s">
        <v>836</v>
      </c>
      <c r="E382" s="23" t="s">
        <v>887</v>
      </c>
      <c r="F382" s="13" t="str">
        <f t="array" ref="F382">INDEX(Turmas!D2:D106,MATCH(E382,Turmas!A2:A106,0))</f>
        <v>Noite</v>
      </c>
      <c r="G382" s="14">
        <v>0.0</v>
      </c>
      <c r="H382" s="15">
        <v>3.0</v>
      </c>
      <c r="I382" s="15">
        <v>0.0</v>
      </c>
      <c r="J382" s="15">
        <v>2.0</v>
      </c>
      <c r="K382" s="15">
        <f t="shared" si="1"/>
        <v>1</v>
      </c>
      <c r="L382" s="16" t="str">
        <f t="shared" si="2"/>
        <v>1-12</v>
      </c>
      <c r="M382" s="16" t="str">
        <f t="shared" si="3"/>
        <v>1-12</v>
      </c>
      <c r="N382" s="16" t="str">
        <f t="shared" si="4"/>
        <v>1-12</v>
      </c>
      <c r="O382" s="16" t="str">
        <f t="shared" si="5"/>
        <v>1-12</v>
      </c>
      <c r="P382" s="16" t="str">
        <f t="shared" si="6"/>
        <v>1-12</v>
      </c>
      <c r="Q382" s="16" t="str">
        <f t="shared" si="7"/>
        <v>0</v>
      </c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9">
        <v>183531.0</v>
      </c>
      <c r="B383" s="9" t="s">
        <v>890</v>
      </c>
      <c r="C383" s="10" t="s">
        <v>842</v>
      </c>
      <c r="D383" s="11" t="s">
        <v>83</v>
      </c>
      <c r="E383" s="23" t="s">
        <v>887</v>
      </c>
      <c r="F383" s="13" t="str">
        <f t="array" ref="F383">INDEX(Turmas!D2:D106,MATCH(E383,Turmas!A2:A106,0))</f>
        <v>Noite</v>
      </c>
      <c r="G383" s="14">
        <v>0.0</v>
      </c>
      <c r="H383" s="15">
        <v>4.0</v>
      </c>
      <c r="I383" s="15">
        <v>0.0</v>
      </c>
      <c r="J383" s="15">
        <v>2.0</v>
      </c>
      <c r="K383" s="15">
        <f t="shared" si="1"/>
        <v>2</v>
      </c>
      <c r="L383" s="16" t="str">
        <f t="shared" si="2"/>
        <v>1-12</v>
      </c>
      <c r="M383" s="16" t="str">
        <f t="shared" si="3"/>
        <v>1-12</v>
      </c>
      <c r="N383" s="16" t="str">
        <f t="shared" si="4"/>
        <v>1-12</v>
      </c>
      <c r="O383" s="16" t="str">
        <f t="shared" si="5"/>
        <v>1-12</v>
      </c>
      <c r="P383" s="16" t="str">
        <f t="shared" si="6"/>
        <v>1-12</v>
      </c>
      <c r="Q383" s="16" t="str">
        <f t="shared" si="7"/>
        <v>0</v>
      </c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9">
        <v>183532.0</v>
      </c>
      <c r="B384" s="9" t="s">
        <v>891</v>
      </c>
      <c r="C384" s="10" t="s">
        <v>892</v>
      </c>
      <c r="D384" s="11" t="s">
        <v>893</v>
      </c>
      <c r="E384" s="23" t="s">
        <v>887</v>
      </c>
      <c r="F384" s="13" t="str">
        <f t="array" ref="F384">INDEX(Turmas!D2:D106,MATCH(E384,Turmas!A2:A106,0))</f>
        <v>Noite</v>
      </c>
      <c r="G384" s="14">
        <v>0.0</v>
      </c>
      <c r="H384" s="15">
        <v>4.0</v>
      </c>
      <c r="I384" s="15">
        <v>0.0</v>
      </c>
      <c r="J384" s="15">
        <v>2.0</v>
      </c>
      <c r="K384" s="15">
        <f t="shared" si="1"/>
        <v>2</v>
      </c>
      <c r="L384" s="16" t="str">
        <f t="shared" si="2"/>
        <v>1-12</v>
      </c>
      <c r="M384" s="16" t="str">
        <f t="shared" si="3"/>
        <v>1-12</v>
      </c>
      <c r="N384" s="16" t="str">
        <f t="shared" si="4"/>
        <v>1-12</v>
      </c>
      <c r="O384" s="16" t="str">
        <f t="shared" si="5"/>
        <v>1-12</v>
      </c>
      <c r="P384" s="16" t="str">
        <f t="shared" si="6"/>
        <v>1-12</v>
      </c>
      <c r="Q384" s="16" t="str">
        <f t="shared" si="7"/>
        <v>0</v>
      </c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9">
        <v>183529.0</v>
      </c>
      <c r="B385" s="9" t="s">
        <v>894</v>
      </c>
      <c r="C385" s="10" t="s">
        <v>895</v>
      </c>
      <c r="D385" s="11" t="s">
        <v>836</v>
      </c>
      <c r="E385" s="23" t="s">
        <v>887</v>
      </c>
      <c r="F385" s="13" t="str">
        <f t="array" ref="F385">INDEX(Turmas!D2:D106,MATCH(E385,Turmas!A2:A106,0))</f>
        <v>Noite</v>
      </c>
      <c r="G385" s="14">
        <v>0.0</v>
      </c>
      <c r="H385" s="15">
        <v>4.0</v>
      </c>
      <c r="I385" s="15">
        <v>0.0</v>
      </c>
      <c r="J385" s="15">
        <v>2.0</v>
      </c>
      <c r="K385" s="15">
        <f t="shared" si="1"/>
        <v>2</v>
      </c>
      <c r="L385" s="16" t="str">
        <f t="shared" si="2"/>
        <v>1-12</v>
      </c>
      <c r="M385" s="16" t="str">
        <f t="shared" si="3"/>
        <v>1-12</v>
      </c>
      <c r="N385" s="16" t="str">
        <f t="shared" si="4"/>
        <v>1-12</v>
      </c>
      <c r="O385" s="16" t="str">
        <f t="shared" si="5"/>
        <v>1-12</v>
      </c>
      <c r="P385" s="16" t="str">
        <f t="shared" si="6"/>
        <v>1-12</v>
      </c>
      <c r="Q385" s="16" t="str">
        <f t="shared" si="7"/>
        <v>0</v>
      </c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9">
        <v>183526.0</v>
      </c>
      <c r="B386" s="9" t="s">
        <v>896</v>
      </c>
      <c r="C386" s="10" t="s">
        <v>897</v>
      </c>
      <c r="D386" s="11" t="s">
        <v>711</v>
      </c>
      <c r="E386" s="23" t="s">
        <v>887</v>
      </c>
      <c r="F386" s="13" t="str">
        <f t="array" ref="F386">INDEX(Turmas!D2:D106,MATCH(E386,Turmas!A2:A106,0))</f>
        <v>Noite</v>
      </c>
      <c r="G386" s="14">
        <v>0.0</v>
      </c>
      <c r="H386" s="15">
        <v>4.0</v>
      </c>
      <c r="I386" s="15">
        <v>0.0</v>
      </c>
      <c r="J386" s="15">
        <v>2.0</v>
      </c>
      <c r="K386" s="15">
        <f t="shared" si="1"/>
        <v>2</v>
      </c>
      <c r="L386" s="16" t="str">
        <f t="shared" si="2"/>
        <v>1-12</v>
      </c>
      <c r="M386" s="16" t="str">
        <f t="shared" si="3"/>
        <v>1-12</v>
      </c>
      <c r="N386" s="16" t="str">
        <f t="shared" si="4"/>
        <v>1-12</v>
      </c>
      <c r="O386" s="16" t="str">
        <f t="shared" si="5"/>
        <v>1-12</v>
      </c>
      <c r="P386" s="16" t="str">
        <f t="shared" si="6"/>
        <v>1-12</v>
      </c>
      <c r="Q386" s="16" t="str">
        <f t="shared" si="7"/>
        <v>0</v>
      </c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9">
        <v>183530.0</v>
      </c>
      <c r="B387" s="9" t="s">
        <v>898</v>
      </c>
      <c r="C387" s="10" t="s">
        <v>55</v>
      </c>
      <c r="D387" s="11" t="s">
        <v>56</v>
      </c>
      <c r="E387" s="23" t="s">
        <v>887</v>
      </c>
      <c r="F387" s="13" t="str">
        <f t="array" ref="F387">INDEX(Turmas!D2:D106,MATCH(E387,Turmas!A2:A106,0))</f>
        <v>Noite</v>
      </c>
      <c r="G387" s="14">
        <v>0.0</v>
      </c>
      <c r="H387" s="15">
        <v>4.0</v>
      </c>
      <c r="I387" s="15">
        <v>0.0</v>
      </c>
      <c r="J387" s="15">
        <v>4.0</v>
      </c>
      <c r="K387" s="15">
        <f t="shared" si="1"/>
        <v>1</v>
      </c>
      <c r="L387" s="16" t="str">
        <f t="shared" si="2"/>
        <v>1-12</v>
      </c>
      <c r="M387" s="16" t="str">
        <f t="shared" si="3"/>
        <v>1-12</v>
      </c>
      <c r="N387" s="16" t="str">
        <f t="shared" si="4"/>
        <v>1-12</v>
      </c>
      <c r="O387" s="16" t="str">
        <f t="shared" si="5"/>
        <v>1-12</v>
      </c>
      <c r="P387" s="16" t="str">
        <f t="shared" si="6"/>
        <v>1-12</v>
      </c>
      <c r="Q387" s="16" t="str">
        <f t="shared" si="7"/>
        <v>0</v>
      </c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9">
        <v>183527.0</v>
      </c>
      <c r="B388" s="9" t="s">
        <v>442</v>
      </c>
      <c r="C388" s="10" t="s">
        <v>443</v>
      </c>
      <c r="D388" s="11" t="s">
        <v>344</v>
      </c>
      <c r="E388" s="23" t="s">
        <v>899</v>
      </c>
      <c r="F388" s="13" t="str">
        <f t="array" ref="F388">INDEX(Turmas!D2:D106,MATCH(E388,Turmas!A2:A106,0))</f>
        <v>Noite</v>
      </c>
      <c r="G388" s="14">
        <v>0.0</v>
      </c>
      <c r="H388" s="15">
        <v>3.0</v>
      </c>
      <c r="I388" s="15">
        <v>0.0</v>
      </c>
      <c r="J388" s="15">
        <v>2.0</v>
      </c>
      <c r="K388" s="15">
        <f t="shared" si="1"/>
        <v>1</v>
      </c>
      <c r="L388" s="16" t="str">
        <f t="shared" si="2"/>
        <v>1-12</v>
      </c>
      <c r="M388" s="16" t="str">
        <f t="shared" si="3"/>
        <v>1-12</v>
      </c>
      <c r="N388" s="16" t="str">
        <f t="shared" si="4"/>
        <v>1-12</v>
      </c>
      <c r="O388" s="16" t="str">
        <f t="shared" si="5"/>
        <v>1-12</v>
      </c>
      <c r="P388" s="16" t="str">
        <f t="shared" si="6"/>
        <v>1-12</v>
      </c>
      <c r="Q388" s="16" t="str">
        <f t="shared" si="7"/>
        <v>0</v>
      </c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9">
        <v>182580.0</v>
      </c>
      <c r="B389" s="9" t="s">
        <v>448</v>
      </c>
      <c r="C389" s="10" t="s">
        <v>449</v>
      </c>
      <c r="D389" s="11" t="s">
        <v>450</v>
      </c>
      <c r="E389" s="23" t="s">
        <v>899</v>
      </c>
      <c r="F389" s="13" t="str">
        <f t="array" ref="F389">INDEX(Turmas!D2:D106,MATCH(E389,Turmas!A2:A106,0))</f>
        <v>Noite</v>
      </c>
      <c r="G389" s="14">
        <v>0.0</v>
      </c>
      <c r="H389" s="15">
        <v>4.0</v>
      </c>
      <c r="I389" s="15">
        <v>0.0</v>
      </c>
      <c r="J389" s="15">
        <v>2.0</v>
      </c>
      <c r="K389" s="15">
        <f t="shared" si="1"/>
        <v>2</v>
      </c>
      <c r="L389" s="16" t="str">
        <f t="shared" si="2"/>
        <v>1-12</v>
      </c>
      <c r="M389" s="16" t="str">
        <f t="shared" si="3"/>
        <v>1-12</v>
      </c>
      <c r="N389" s="16" t="str">
        <f t="shared" si="4"/>
        <v>1-12</v>
      </c>
      <c r="O389" s="16" t="str">
        <f t="shared" si="5"/>
        <v>1-12</v>
      </c>
      <c r="P389" s="16" t="str">
        <f t="shared" si="6"/>
        <v>1-12</v>
      </c>
      <c r="Q389" s="16" t="str">
        <f t="shared" si="7"/>
        <v>0</v>
      </c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9">
        <v>182581.0</v>
      </c>
      <c r="B390" s="9" t="s">
        <v>900</v>
      </c>
      <c r="C390" s="10" t="s">
        <v>901</v>
      </c>
      <c r="D390" s="11" t="s">
        <v>883</v>
      </c>
      <c r="E390" s="23" t="s">
        <v>899</v>
      </c>
      <c r="F390" s="13" t="str">
        <f t="array" ref="F390">INDEX(Turmas!D2:D106,MATCH(E390,Turmas!A2:A106,0))</f>
        <v>Noite</v>
      </c>
      <c r="G390" s="14">
        <v>0.0</v>
      </c>
      <c r="H390" s="15">
        <v>2.0</v>
      </c>
      <c r="I390" s="15">
        <v>0.0</v>
      </c>
      <c r="J390" s="15">
        <v>2.0</v>
      </c>
      <c r="K390" s="15">
        <f t="shared" si="1"/>
        <v>1</v>
      </c>
      <c r="L390" s="16" t="str">
        <f t="shared" si="2"/>
        <v>1-12</v>
      </c>
      <c r="M390" s="16" t="str">
        <f t="shared" si="3"/>
        <v>1-12</v>
      </c>
      <c r="N390" s="16" t="str">
        <f t="shared" si="4"/>
        <v>1-12</v>
      </c>
      <c r="O390" s="16" t="str">
        <f t="shared" si="5"/>
        <v>1-12</v>
      </c>
      <c r="P390" s="16" t="str">
        <f t="shared" si="6"/>
        <v>1-12</v>
      </c>
      <c r="Q390" s="16" t="str">
        <f t="shared" si="7"/>
        <v>0</v>
      </c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9">
        <v>182582.0</v>
      </c>
      <c r="B391" s="9" t="s">
        <v>381</v>
      </c>
      <c r="C391" s="10" t="s">
        <v>209</v>
      </c>
      <c r="D391" s="11" t="s">
        <v>451</v>
      </c>
      <c r="E391" s="23" t="s">
        <v>899</v>
      </c>
      <c r="F391" s="13" t="str">
        <f t="array" ref="F391">INDEX(Turmas!D2:D106,MATCH(E391,Turmas!A2:A106,0))</f>
        <v>Noite</v>
      </c>
      <c r="G391" s="14">
        <v>0.0</v>
      </c>
      <c r="H391" s="15">
        <v>2.0</v>
      </c>
      <c r="I391" s="15">
        <v>0.0</v>
      </c>
      <c r="J391" s="15">
        <v>2.0</v>
      </c>
      <c r="K391" s="15">
        <f t="shared" si="1"/>
        <v>1</v>
      </c>
      <c r="L391" s="16" t="str">
        <f t="shared" si="2"/>
        <v>1-12</v>
      </c>
      <c r="M391" s="16" t="str">
        <f t="shared" si="3"/>
        <v>1-12</v>
      </c>
      <c r="N391" s="16" t="str">
        <f t="shared" si="4"/>
        <v>1-12</v>
      </c>
      <c r="O391" s="16" t="str">
        <f t="shared" si="5"/>
        <v>1-12</v>
      </c>
      <c r="P391" s="16" t="str">
        <f t="shared" si="6"/>
        <v>1-12</v>
      </c>
      <c r="Q391" s="16" t="str">
        <f t="shared" si="7"/>
        <v>0</v>
      </c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9">
        <v>182583.0</v>
      </c>
      <c r="B392" s="9" t="s">
        <v>902</v>
      </c>
      <c r="C392" s="10" t="s">
        <v>903</v>
      </c>
      <c r="D392" s="11" t="s">
        <v>904</v>
      </c>
      <c r="E392" s="23" t="s">
        <v>899</v>
      </c>
      <c r="F392" s="13" t="str">
        <f t="array" ref="F392">INDEX(Turmas!D2:D106,MATCH(E392,Turmas!A2:A106,0))</f>
        <v>Noite</v>
      </c>
      <c r="G392" s="14">
        <v>0.0</v>
      </c>
      <c r="H392" s="15">
        <v>2.0</v>
      </c>
      <c r="I392" s="15">
        <v>0.0</v>
      </c>
      <c r="J392" s="15">
        <v>2.0</v>
      </c>
      <c r="K392" s="15">
        <f t="shared" si="1"/>
        <v>1</v>
      </c>
      <c r="L392" s="16" t="str">
        <f t="shared" si="2"/>
        <v>1-12</v>
      </c>
      <c r="M392" s="16" t="str">
        <f t="shared" si="3"/>
        <v>1-12</v>
      </c>
      <c r="N392" s="16" t="str">
        <f t="shared" si="4"/>
        <v>1-12</v>
      </c>
      <c r="O392" s="16" t="str">
        <f t="shared" si="5"/>
        <v>1-12</v>
      </c>
      <c r="P392" s="16" t="str">
        <f t="shared" si="6"/>
        <v>1-12</v>
      </c>
      <c r="Q392" s="16" t="str">
        <f t="shared" si="7"/>
        <v>0</v>
      </c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9">
        <v>182584.0</v>
      </c>
      <c r="B393" s="9" t="s">
        <v>905</v>
      </c>
      <c r="C393" s="10" t="s">
        <v>906</v>
      </c>
      <c r="D393" s="11" t="s">
        <v>883</v>
      </c>
      <c r="E393" s="23" t="s">
        <v>899</v>
      </c>
      <c r="F393" s="13" t="str">
        <f t="array" ref="F393">INDEX(Turmas!D2:D106,MATCH(E393,Turmas!A2:A106,0))</f>
        <v>Noite</v>
      </c>
      <c r="G393" s="14">
        <v>0.0</v>
      </c>
      <c r="H393" s="15">
        <v>4.0</v>
      </c>
      <c r="I393" s="15">
        <v>0.0</v>
      </c>
      <c r="J393" s="15">
        <v>2.0</v>
      </c>
      <c r="K393" s="15">
        <f t="shared" si="1"/>
        <v>2</v>
      </c>
      <c r="L393" s="16" t="str">
        <f t="shared" si="2"/>
        <v>1-12</v>
      </c>
      <c r="M393" s="16" t="str">
        <f t="shared" si="3"/>
        <v>1-12</v>
      </c>
      <c r="N393" s="16" t="str">
        <f t="shared" si="4"/>
        <v>1-12</v>
      </c>
      <c r="O393" s="16" t="str">
        <f t="shared" si="5"/>
        <v>1-12</v>
      </c>
      <c r="P393" s="16" t="str">
        <f t="shared" si="6"/>
        <v>1-12</v>
      </c>
      <c r="Q393" s="16" t="str">
        <f t="shared" si="7"/>
        <v>0</v>
      </c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9">
        <v>182585.0</v>
      </c>
      <c r="B394" s="9" t="s">
        <v>907</v>
      </c>
      <c r="C394" s="10" t="s">
        <v>908</v>
      </c>
      <c r="D394" s="11" t="s">
        <v>653</v>
      </c>
      <c r="E394" s="23" t="s">
        <v>909</v>
      </c>
      <c r="F394" s="13" t="str">
        <f t="array" ref="F394">INDEX(Turmas!D2:D106,MATCH(E394,Turmas!A2:A106,0))</f>
        <v>Noite</v>
      </c>
      <c r="G394" s="14">
        <v>0.0</v>
      </c>
      <c r="H394" s="15">
        <v>4.0</v>
      </c>
      <c r="I394" s="15">
        <v>0.0</v>
      </c>
      <c r="J394" s="15">
        <v>2.0</v>
      </c>
      <c r="K394" s="15">
        <f t="shared" si="1"/>
        <v>2</v>
      </c>
      <c r="L394" s="16" t="str">
        <f t="shared" si="2"/>
        <v>1-12</v>
      </c>
      <c r="M394" s="16" t="str">
        <f t="shared" si="3"/>
        <v>1-12</v>
      </c>
      <c r="N394" s="16" t="str">
        <f t="shared" si="4"/>
        <v>1-12</v>
      </c>
      <c r="O394" s="16" t="str">
        <f t="shared" si="5"/>
        <v>1-12</v>
      </c>
      <c r="P394" s="16" t="str">
        <f t="shared" si="6"/>
        <v>1-12</v>
      </c>
      <c r="Q394" s="16" t="str">
        <f t="shared" si="7"/>
        <v>0</v>
      </c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9">
        <v>182586.0</v>
      </c>
      <c r="B395" s="9" t="s">
        <v>910</v>
      </c>
      <c r="C395" s="10" t="s">
        <v>848</v>
      </c>
      <c r="D395" s="11" t="s">
        <v>893</v>
      </c>
      <c r="E395" s="23" t="s">
        <v>909</v>
      </c>
      <c r="F395" s="13" t="str">
        <f t="array" ref="F395">INDEX(Turmas!D2:D106,MATCH(E395,Turmas!A2:A106,0))</f>
        <v>Noite</v>
      </c>
      <c r="G395" s="14">
        <v>0.0</v>
      </c>
      <c r="H395" s="15">
        <v>4.0</v>
      </c>
      <c r="I395" s="15">
        <v>0.0</v>
      </c>
      <c r="J395" s="15">
        <v>2.0</v>
      </c>
      <c r="K395" s="15">
        <f t="shared" si="1"/>
        <v>2</v>
      </c>
      <c r="L395" s="16" t="str">
        <f t="shared" si="2"/>
        <v>1-12</v>
      </c>
      <c r="M395" s="16" t="str">
        <f t="shared" si="3"/>
        <v>1-12</v>
      </c>
      <c r="N395" s="16" t="str">
        <f t="shared" si="4"/>
        <v>1-12</v>
      </c>
      <c r="O395" s="16" t="str">
        <f t="shared" si="5"/>
        <v>1-12</v>
      </c>
      <c r="P395" s="16" t="str">
        <f t="shared" si="6"/>
        <v>1-12</v>
      </c>
      <c r="Q395" s="16" t="str">
        <f t="shared" si="7"/>
        <v>0</v>
      </c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9">
        <v>182587.0</v>
      </c>
      <c r="B396" s="9" t="s">
        <v>911</v>
      </c>
      <c r="C396" s="10" t="s">
        <v>912</v>
      </c>
      <c r="D396" s="11" t="s">
        <v>893</v>
      </c>
      <c r="E396" s="23" t="s">
        <v>909</v>
      </c>
      <c r="F396" s="13" t="str">
        <f t="array" ref="F396">INDEX(Turmas!D2:D106,MATCH(E396,Turmas!A2:A106,0))</f>
        <v>Noite</v>
      </c>
      <c r="G396" s="14">
        <v>0.0</v>
      </c>
      <c r="H396" s="15">
        <v>2.0</v>
      </c>
      <c r="I396" s="15">
        <v>0.0</v>
      </c>
      <c r="J396" s="15">
        <v>2.0</v>
      </c>
      <c r="K396" s="15">
        <f t="shared" si="1"/>
        <v>1</v>
      </c>
      <c r="L396" s="16" t="str">
        <f t="shared" si="2"/>
        <v>1-12</v>
      </c>
      <c r="M396" s="16" t="str">
        <f t="shared" si="3"/>
        <v>1-12</v>
      </c>
      <c r="N396" s="16" t="str">
        <f t="shared" si="4"/>
        <v>1-12</v>
      </c>
      <c r="O396" s="16" t="str">
        <f t="shared" si="5"/>
        <v>1-12</v>
      </c>
      <c r="P396" s="16" t="str">
        <f t="shared" si="6"/>
        <v>1-12</v>
      </c>
      <c r="Q396" s="16" t="str">
        <f t="shared" si="7"/>
        <v>0</v>
      </c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9">
        <v>182588.0</v>
      </c>
      <c r="B397" s="9" t="s">
        <v>913</v>
      </c>
      <c r="C397" s="10" t="s">
        <v>914</v>
      </c>
      <c r="D397" s="11" t="s">
        <v>836</v>
      </c>
      <c r="E397" s="23" t="s">
        <v>909</v>
      </c>
      <c r="F397" s="13" t="str">
        <f t="array" ref="F397">INDEX(Turmas!D2:D106,MATCH(E397,Turmas!A2:A106,0))</f>
        <v>Noite</v>
      </c>
      <c r="G397" s="14">
        <v>0.0</v>
      </c>
      <c r="H397" s="15">
        <v>2.0</v>
      </c>
      <c r="I397" s="15">
        <v>0.0</v>
      </c>
      <c r="J397" s="15">
        <v>2.0</v>
      </c>
      <c r="K397" s="15">
        <f t="shared" si="1"/>
        <v>1</v>
      </c>
      <c r="L397" s="16" t="str">
        <f t="shared" si="2"/>
        <v>1-12</v>
      </c>
      <c r="M397" s="16" t="str">
        <f t="shared" si="3"/>
        <v>1-12</v>
      </c>
      <c r="N397" s="16" t="str">
        <f t="shared" si="4"/>
        <v>1-12</v>
      </c>
      <c r="O397" s="16" t="str">
        <f t="shared" si="5"/>
        <v>1-12</v>
      </c>
      <c r="P397" s="16" t="str">
        <f t="shared" si="6"/>
        <v>1-12</v>
      </c>
      <c r="Q397" s="16" t="str">
        <f t="shared" si="7"/>
        <v>0</v>
      </c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9">
        <v>182589.0</v>
      </c>
      <c r="B398" s="9" t="s">
        <v>915</v>
      </c>
      <c r="C398" s="10" t="s">
        <v>842</v>
      </c>
      <c r="D398" s="11" t="s">
        <v>843</v>
      </c>
      <c r="E398" s="23" t="s">
        <v>909</v>
      </c>
      <c r="F398" s="13" t="str">
        <f t="array" ref="F398">INDEX(Turmas!D2:D106,MATCH(E398,Turmas!A2:A106,0))</f>
        <v>Noite</v>
      </c>
      <c r="G398" s="14">
        <v>0.0</v>
      </c>
      <c r="H398" s="15">
        <v>2.0</v>
      </c>
      <c r="I398" s="15">
        <v>0.0</v>
      </c>
      <c r="J398" s="15">
        <v>2.0</v>
      </c>
      <c r="K398" s="15">
        <f t="shared" si="1"/>
        <v>1</v>
      </c>
      <c r="L398" s="16" t="str">
        <f t="shared" si="2"/>
        <v>1-12</v>
      </c>
      <c r="M398" s="16" t="str">
        <f t="shared" si="3"/>
        <v>1-12</v>
      </c>
      <c r="N398" s="16" t="str">
        <f t="shared" si="4"/>
        <v>1-12</v>
      </c>
      <c r="O398" s="16" t="str">
        <f t="shared" si="5"/>
        <v>1-12</v>
      </c>
      <c r="P398" s="16" t="str">
        <f t="shared" si="6"/>
        <v>1-12</v>
      </c>
      <c r="Q398" s="16" t="str">
        <f t="shared" si="7"/>
        <v>0</v>
      </c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9">
        <v>182591.0</v>
      </c>
      <c r="B399" s="9" t="s">
        <v>916</v>
      </c>
      <c r="C399" s="10" t="s">
        <v>917</v>
      </c>
      <c r="D399" s="11" t="s">
        <v>393</v>
      </c>
      <c r="E399" s="23" t="s">
        <v>918</v>
      </c>
      <c r="F399" s="13" t="str">
        <f t="array" ref="F399">INDEX(Turmas!D2:D106,MATCH(E399,Turmas!A2:A106,0))</f>
        <v>Noite</v>
      </c>
      <c r="G399" s="14">
        <v>0.0</v>
      </c>
      <c r="H399" s="15">
        <v>4.0</v>
      </c>
      <c r="I399" s="15">
        <v>0.0</v>
      </c>
      <c r="J399" s="15">
        <v>2.0</v>
      </c>
      <c r="K399" s="15">
        <f t="shared" si="1"/>
        <v>2</v>
      </c>
      <c r="L399" s="16" t="str">
        <f t="shared" si="2"/>
        <v>1-12</v>
      </c>
      <c r="M399" s="16" t="str">
        <f t="shared" si="3"/>
        <v>1-12</v>
      </c>
      <c r="N399" s="16" t="str">
        <f t="shared" si="4"/>
        <v>1-12</v>
      </c>
      <c r="O399" s="16" t="str">
        <f t="shared" si="5"/>
        <v>1-12</v>
      </c>
      <c r="P399" s="16" t="str">
        <f t="shared" si="6"/>
        <v>1-12</v>
      </c>
      <c r="Q399" s="16" t="str">
        <f t="shared" si="7"/>
        <v>0</v>
      </c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9">
        <v>182592.0</v>
      </c>
      <c r="B400" s="9" t="s">
        <v>708</v>
      </c>
      <c r="C400" s="10" t="s">
        <v>495</v>
      </c>
      <c r="D400" s="11" t="s">
        <v>496</v>
      </c>
      <c r="E400" s="23" t="s">
        <v>918</v>
      </c>
      <c r="F400" s="13" t="str">
        <f t="array" ref="F400">INDEX(Turmas!D2:D106,MATCH(E2,Turmas!A2:A106,0))</f>
        <v>Noite</v>
      </c>
      <c r="G400" s="14">
        <v>0.0</v>
      </c>
      <c r="H400" s="15">
        <v>2.0</v>
      </c>
      <c r="I400" s="15">
        <v>0.0</v>
      </c>
      <c r="J400" s="15">
        <v>2.0</v>
      </c>
      <c r="K400" s="15">
        <f t="shared" si="1"/>
        <v>1</v>
      </c>
      <c r="L400" s="16" t="str">
        <f t="shared" si="2"/>
        <v>1-12</v>
      </c>
      <c r="M400" s="16" t="str">
        <f t="shared" si="3"/>
        <v>1-12</v>
      </c>
      <c r="N400" s="16" t="str">
        <f t="shared" si="4"/>
        <v>1-12</v>
      </c>
      <c r="O400" s="16" t="str">
        <f t="shared" si="5"/>
        <v>1-12</v>
      </c>
      <c r="P400" s="16" t="str">
        <f t="shared" si="6"/>
        <v>1-12</v>
      </c>
      <c r="Q400" s="16" t="str">
        <f t="shared" si="7"/>
        <v>0</v>
      </c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9">
        <v>182593.0</v>
      </c>
      <c r="B401" s="9" t="s">
        <v>919</v>
      </c>
      <c r="C401" s="10" t="s">
        <v>920</v>
      </c>
      <c r="D401" s="11" t="s">
        <v>843</v>
      </c>
      <c r="E401" s="23" t="s">
        <v>918</v>
      </c>
      <c r="F401" s="13" t="str">
        <f t="array" ref="F401">INDEX(Turmas!D2:D106,MATCH(E3,Turmas!A2:A106,0))</f>
        <v>Noite</v>
      </c>
      <c r="G401" s="14">
        <v>0.0</v>
      </c>
      <c r="H401" s="15">
        <v>2.0</v>
      </c>
      <c r="I401" s="15">
        <v>0.0</v>
      </c>
      <c r="J401" s="15">
        <v>2.0</v>
      </c>
      <c r="K401" s="15">
        <f t="shared" si="1"/>
        <v>1</v>
      </c>
      <c r="L401" s="16" t="str">
        <f t="shared" si="2"/>
        <v>1-12</v>
      </c>
      <c r="M401" s="16" t="str">
        <f t="shared" si="3"/>
        <v>1-12</v>
      </c>
      <c r="N401" s="16" t="str">
        <f t="shared" si="4"/>
        <v>1-12</v>
      </c>
      <c r="O401" s="16" t="str">
        <f t="shared" si="5"/>
        <v>1-12</v>
      </c>
      <c r="P401" s="16" t="str">
        <f t="shared" si="6"/>
        <v>1-12</v>
      </c>
      <c r="Q401" s="16" t="str">
        <f t="shared" si="7"/>
        <v>0</v>
      </c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9">
        <v>182595.0</v>
      </c>
      <c r="B402" s="9" t="s">
        <v>921</v>
      </c>
      <c r="C402" s="10" t="s">
        <v>922</v>
      </c>
      <c r="D402" s="11" t="s">
        <v>647</v>
      </c>
      <c r="E402" s="23" t="s">
        <v>918</v>
      </c>
      <c r="F402" s="13" t="str">
        <f t="array" ref="F402">INDEX(Turmas!D2:D106,MATCH(E4,Turmas!A2:A106,0))</f>
        <v>Noite</v>
      </c>
      <c r="G402" s="14">
        <v>0.0</v>
      </c>
      <c r="H402" s="15">
        <v>2.0</v>
      </c>
      <c r="I402" s="15">
        <v>0.0</v>
      </c>
      <c r="J402" s="15">
        <v>2.0</v>
      </c>
      <c r="K402" s="15">
        <f t="shared" si="1"/>
        <v>1</v>
      </c>
      <c r="L402" s="16" t="str">
        <f t="shared" si="2"/>
        <v>1-12</v>
      </c>
      <c r="M402" s="16" t="str">
        <f t="shared" si="3"/>
        <v>1-12</v>
      </c>
      <c r="N402" s="16" t="str">
        <f t="shared" si="4"/>
        <v>1-12</v>
      </c>
      <c r="O402" s="16" t="str">
        <f t="shared" si="5"/>
        <v>1-12</v>
      </c>
      <c r="P402" s="16" t="str">
        <f t="shared" si="6"/>
        <v>1-12</v>
      </c>
      <c r="Q402" s="16" t="str">
        <f t="shared" si="7"/>
        <v>0</v>
      </c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9">
        <v>182597.0</v>
      </c>
      <c r="B403" s="9" t="s">
        <v>743</v>
      </c>
      <c r="C403" s="10" t="s">
        <v>458</v>
      </c>
      <c r="D403" s="11" t="s">
        <v>821</v>
      </c>
      <c r="E403" s="23" t="s">
        <v>923</v>
      </c>
      <c r="F403" s="13" t="str">
        <f t="array" ref="F403">INDEX(Turmas!D2:D106,MATCH(E5,Turmas!A2:A106,0))</f>
        <v>Noite</v>
      </c>
      <c r="G403" s="14">
        <v>0.0</v>
      </c>
      <c r="H403" s="15">
        <v>4.0</v>
      </c>
      <c r="I403" s="15">
        <v>0.0</v>
      </c>
      <c r="J403" s="15">
        <v>2.0</v>
      </c>
      <c r="K403" s="15">
        <f t="shared" si="1"/>
        <v>2</v>
      </c>
      <c r="L403" s="16" t="str">
        <f t="shared" si="2"/>
        <v>1-12</v>
      </c>
      <c r="M403" s="16" t="str">
        <f t="shared" si="3"/>
        <v>1-12</v>
      </c>
      <c r="N403" s="16" t="str">
        <f t="shared" si="4"/>
        <v>1-12</v>
      </c>
      <c r="O403" s="16" t="str">
        <f t="shared" si="5"/>
        <v>1-12</v>
      </c>
      <c r="P403" s="16" t="str">
        <f t="shared" si="6"/>
        <v>1-12</v>
      </c>
      <c r="Q403" s="16" t="str">
        <f t="shared" si="7"/>
        <v>0</v>
      </c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9">
        <v>182598.0</v>
      </c>
      <c r="B404" s="9" t="s">
        <v>924</v>
      </c>
      <c r="C404" s="10" t="s">
        <v>925</v>
      </c>
      <c r="D404" s="11" t="s">
        <v>230</v>
      </c>
      <c r="E404" s="23" t="s">
        <v>923</v>
      </c>
      <c r="F404" s="13" t="str">
        <f t="array" ref="F404">INDEX(Turmas!D2:D106,MATCH(E6,Turmas!A2:A106,0))</f>
        <v>Noite</v>
      </c>
      <c r="G404" s="14">
        <v>0.0</v>
      </c>
      <c r="H404" s="15">
        <v>4.0</v>
      </c>
      <c r="I404" s="15">
        <v>0.0</v>
      </c>
      <c r="J404" s="15">
        <v>2.0</v>
      </c>
      <c r="K404" s="15">
        <f t="shared" si="1"/>
        <v>2</v>
      </c>
      <c r="L404" s="16" t="str">
        <f t="shared" si="2"/>
        <v>1-12</v>
      </c>
      <c r="M404" s="16" t="str">
        <f t="shared" si="3"/>
        <v>1-12</v>
      </c>
      <c r="N404" s="16" t="str">
        <f t="shared" si="4"/>
        <v>1-12</v>
      </c>
      <c r="O404" s="16" t="str">
        <f t="shared" si="5"/>
        <v>1-12</v>
      </c>
      <c r="P404" s="16" t="str">
        <f t="shared" si="6"/>
        <v>1-12</v>
      </c>
      <c r="Q404" s="16" t="str">
        <f t="shared" si="7"/>
        <v>0</v>
      </c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9">
        <v>182601.0</v>
      </c>
      <c r="B405" s="9" t="s">
        <v>926</v>
      </c>
      <c r="C405" s="10" t="s">
        <v>927</v>
      </c>
      <c r="D405" s="11" t="s">
        <v>439</v>
      </c>
      <c r="E405" s="23" t="s">
        <v>923</v>
      </c>
      <c r="F405" s="13" t="str">
        <f t="array" ref="F405">INDEX(Turmas!D2:D106,MATCH(E7,Turmas!A2:A106,0))</f>
        <v>Noite</v>
      </c>
      <c r="G405" s="14">
        <v>0.0</v>
      </c>
      <c r="H405" s="15">
        <v>2.0</v>
      </c>
      <c r="I405" s="15">
        <v>0.0</v>
      </c>
      <c r="J405" s="15">
        <v>2.0</v>
      </c>
      <c r="K405" s="15">
        <f t="shared" si="1"/>
        <v>1</v>
      </c>
      <c r="L405" s="16" t="str">
        <f t="shared" si="2"/>
        <v>1-12</v>
      </c>
      <c r="M405" s="16" t="str">
        <f t="shared" si="3"/>
        <v>1-12</v>
      </c>
      <c r="N405" s="16" t="str">
        <f t="shared" si="4"/>
        <v>1-12</v>
      </c>
      <c r="O405" s="16" t="str">
        <f t="shared" si="5"/>
        <v>1-12</v>
      </c>
      <c r="P405" s="16" t="str">
        <f t="shared" si="6"/>
        <v>1-12</v>
      </c>
      <c r="Q405" s="16" t="str">
        <f t="shared" si="7"/>
        <v>0</v>
      </c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9">
        <v>182602.0</v>
      </c>
      <c r="B406" s="9" t="s">
        <v>928</v>
      </c>
      <c r="C406" s="10" t="s">
        <v>929</v>
      </c>
      <c r="D406" s="11" t="s">
        <v>439</v>
      </c>
      <c r="E406" s="23" t="s">
        <v>923</v>
      </c>
      <c r="F406" s="13" t="str">
        <f t="array" ref="F406">INDEX(Turmas!D2:D106,MATCH(E8,Turmas!A2:A106,0))</f>
        <v>Noite</v>
      </c>
      <c r="G406" s="14">
        <v>0.0</v>
      </c>
      <c r="H406" s="15">
        <v>4.0</v>
      </c>
      <c r="I406" s="15">
        <v>0.0</v>
      </c>
      <c r="J406" s="15">
        <v>2.0</v>
      </c>
      <c r="K406" s="15">
        <f t="shared" si="1"/>
        <v>2</v>
      </c>
      <c r="L406" s="16" t="str">
        <f t="shared" si="2"/>
        <v>1-12</v>
      </c>
      <c r="M406" s="16" t="str">
        <f t="shared" si="3"/>
        <v>1-12</v>
      </c>
      <c r="N406" s="16" t="str">
        <f t="shared" si="4"/>
        <v>1-12</v>
      </c>
      <c r="O406" s="16" t="str">
        <f t="shared" si="5"/>
        <v>1-12</v>
      </c>
      <c r="P406" s="16" t="str">
        <f t="shared" si="6"/>
        <v>1-12</v>
      </c>
      <c r="Q406" s="16" t="str">
        <f t="shared" si="7"/>
        <v>0</v>
      </c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9">
        <v>182603.0</v>
      </c>
      <c r="B407" s="9" t="s">
        <v>520</v>
      </c>
      <c r="C407" s="10" t="s">
        <v>521</v>
      </c>
      <c r="D407" s="11" t="s">
        <v>711</v>
      </c>
      <c r="E407" s="23" t="s">
        <v>930</v>
      </c>
      <c r="F407" s="13" t="str">
        <f t="array" ref="F407">INDEX(Turmas!D2:D106,MATCH(E9,Turmas!A2:A106,0))</f>
        <v>Noite</v>
      </c>
      <c r="G407" s="14">
        <v>0.0</v>
      </c>
      <c r="H407" s="15">
        <v>2.0</v>
      </c>
      <c r="I407" s="15">
        <v>0.0</v>
      </c>
      <c r="J407" s="15">
        <v>2.0</v>
      </c>
      <c r="K407" s="15">
        <f t="shared" si="1"/>
        <v>1</v>
      </c>
      <c r="L407" s="16" t="str">
        <f t="shared" si="2"/>
        <v>1-12</v>
      </c>
      <c r="M407" s="16" t="str">
        <f t="shared" si="3"/>
        <v>1-12</v>
      </c>
      <c r="N407" s="16" t="str">
        <f t="shared" si="4"/>
        <v>1-12</v>
      </c>
      <c r="O407" s="16" t="str">
        <f t="shared" si="5"/>
        <v>1-12</v>
      </c>
      <c r="P407" s="16" t="str">
        <f t="shared" si="6"/>
        <v>1-12</v>
      </c>
      <c r="Q407" s="16" t="str">
        <f t="shared" si="7"/>
        <v>0</v>
      </c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9">
        <v>183896.0</v>
      </c>
      <c r="B408" s="9" t="s">
        <v>931</v>
      </c>
      <c r="C408" s="10" t="s">
        <v>932</v>
      </c>
      <c r="D408" s="11" t="s">
        <v>697</v>
      </c>
      <c r="E408" s="23" t="s">
        <v>930</v>
      </c>
      <c r="F408" s="13" t="str">
        <f t="array" ref="F408">INDEX(Turmas!D2:D106,MATCH(E10,Turmas!A2:A106,0))</f>
        <v>Noite</v>
      </c>
      <c r="G408" s="14">
        <v>0.0</v>
      </c>
      <c r="H408" s="15">
        <v>3.0</v>
      </c>
      <c r="I408" s="15">
        <v>0.0</v>
      </c>
      <c r="J408" s="15">
        <v>2.0</v>
      </c>
      <c r="K408" s="15">
        <f t="shared" si="1"/>
        <v>1</v>
      </c>
      <c r="L408" s="16" t="str">
        <f t="shared" si="2"/>
        <v>1-12</v>
      </c>
      <c r="M408" s="16" t="str">
        <f t="shared" si="3"/>
        <v>1-12</v>
      </c>
      <c r="N408" s="16" t="str">
        <f t="shared" si="4"/>
        <v>1-12</v>
      </c>
      <c r="O408" s="16" t="str">
        <f t="shared" si="5"/>
        <v>1-12</v>
      </c>
      <c r="P408" s="16" t="str">
        <f t="shared" si="6"/>
        <v>1-12</v>
      </c>
      <c r="Q408" s="16" t="str">
        <f t="shared" si="7"/>
        <v>0</v>
      </c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9">
        <v>183897.0</v>
      </c>
      <c r="B409" s="9" t="s">
        <v>783</v>
      </c>
      <c r="C409" s="10" t="s">
        <v>784</v>
      </c>
      <c r="D409" s="11" t="s">
        <v>663</v>
      </c>
      <c r="E409" s="23" t="s">
        <v>930</v>
      </c>
      <c r="F409" s="13" t="str">
        <f t="array" ref="F409">INDEX(Turmas!D2:D106,MATCH(E11,Turmas!A2:A106,0))</f>
        <v>Noite</v>
      </c>
      <c r="G409" s="14">
        <v>0.0</v>
      </c>
      <c r="H409" s="15">
        <v>4.0</v>
      </c>
      <c r="I409" s="15">
        <v>0.0</v>
      </c>
      <c r="J409" s="15">
        <v>2.0</v>
      </c>
      <c r="K409" s="15">
        <f t="shared" si="1"/>
        <v>2</v>
      </c>
      <c r="L409" s="16" t="str">
        <f t="shared" si="2"/>
        <v>1-12</v>
      </c>
      <c r="M409" s="16" t="str">
        <f t="shared" si="3"/>
        <v>1-12</v>
      </c>
      <c r="N409" s="16" t="str">
        <f t="shared" si="4"/>
        <v>1-12</v>
      </c>
      <c r="O409" s="16" t="str">
        <f t="shared" si="5"/>
        <v>1-12</v>
      </c>
      <c r="P409" s="16" t="str">
        <f t="shared" si="6"/>
        <v>1-12</v>
      </c>
      <c r="Q409" s="16" t="str">
        <f t="shared" si="7"/>
        <v>0</v>
      </c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9">
        <v>183898.0</v>
      </c>
      <c r="B410" s="9" t="s">
        <v>933</v>
      </c>
      <c r="C410" s="10" t="s">
        <v>934</v>
      </c>
      <c r="D410" s="11" t="s">
        <v>437</v>
      </c>
      <c r="E410" s="23" t="s">
        <v>930</v>
      </c>
      <c r="F410" s="13" t="str">
        <f t="array" ref="F410">INDEX(Turmas!D2:D106,MATCH(E12,Turmas!A2:A106,0))</f>
        <v>Noite</v>
      </c>
      <c r="G410" s="14">
        <v>0.0</v>
      </c>
      <c r="H410" s="15">
        <v>4.0</v>
      </c>
      <c r="I410" s="15">
        <v>0.0</v>
      </c>
      <c r="J410" s="15">
        <v>2.0</v>
      </c>
      <c r="K410" s="15">
        <f t="shared" si="1"/>
        <v>2</v>
      </c>
      <c r="L410" s="16" t="str">
        <f t="shared" si="2"/>
        <v>1-12</v>
      </c>
      <c r="M410" s="16" t="str">
        <f t="shared" si="3"/>
        <v>1-12</v>
      </c>
      <c r="N410" s="16" t="str">
        <f t="shared" si="4"/>
        <v>1-12</v>
      </c>
      <c r="O410" s="16" t="str">
        <f t="shared" si="5"/>
        <v>1-12</v>
      </c>
      <c r="P410" s="16" t="str">
        <f t="shared" si="6"/>
        <v>1-12</v>
      </c>
      <c r="Q410" s="16" t="str">
        <f t="shared" si="7"/>
        <v>0</v>
      </c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9">
        <v>183900.0</v>
      </c>
      <c r="B411" s="9" t="s">
        <v>935</v>
      </c>
      <c r="C411" s="10" t="s">
        <v>936</v>
      </c>
      <c r="D411" s="11" t="s">
        <v>437</v>
      </c>
      <c r="E411" s="23" t="s">
        <v>930</v>
      </c>
      <c r="F411" s="13" t="str">
        <f t="array" ref="F411">INDEX(Turmas!D2:D106,MATCH(E13,Turmas!A2:A106,0))</f>
        <v>Noite</v>
      </c>
      <c r="G411" s="14">
        <v>0.0</v>
      </c>
      <c r="H411" s="15">
        <v>4.0</v>
      </c>
      <c r="I411" s="15">
        <v>0.0</v>
      </c>
      <c r="J411" s="15">
        <v>2.0</v>
      </c>
      <c r="K411" s="15">
        <f t="shared" si="1"/>
        <v>2</v>
      </c>
      <c r="L411" s="16" t="str">
        <f t="shared" si="2"/>
        <v>1-12</v>
      </c>
      <c r="M411" s="16" t="str">
        <f t="shared" si="3"/>
        <v>1-12</v>
      </c>
      <c r="N411" s="16" t="str">
        <f t="shared" si="4"/>
        <v>1-12</v>
      </c>
      <c r="O411" s="16" t="str">
        <f t="shared" si="5"/>
        <v>1-12</v>
      </c>
      <c r="P411" s="16" t="str">
        <f t="shared" si="6"/>
        <v>1-12</v>
      </c>
      <c r="Q411" s="16" t="str">
        <f t="shared" si="7"/>
        <v>0</v>
      </c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9">
        <v>183899.0</v>
      </c>
      <c r="B412" s="9" t="s">
        <v>937</v>
      </c>
      <c r="C412" s="10" t="s">
        <v>938</v>
      </c>
      <c r="D412" s="11" t="s">
        <v>939</v>
      </c>
      <c r="E412" s="23" t="s">
        <v>940</v>
      </c>
      <c r="F412" s="13" t="str">
        <f t="array" ref="F412">INDEX(Turmas!D2:D106,MATCH(E14,Turmas!A2:A106,0))</f>
        <v>Noite</v>
      </c>
      <c r="G412" s="14">
        <v>8.0</v>
      </c>
      <c r="H412" s="15">
        <v>4.0</v>
      </c>
      <c r="I412" s="15">
        <v>0.0</v>
      </c>
      <c r="J412" s="15">
        <v>2.0</v>
      </c>
      <c r="K412" s="15">
        <f t="shared" si="1"/>
        <v>2</v>
      </c>
      <c r="L412" s="16" t="str">
        <f t="shared" si="2"/>
        <v>1-12</v>
      </c>
      <c r="M412" s="16" t="str">
        <f t="shared" si="3"/>
        <v>1-12</v>
      </c>
      <c r="N412" s="16" t="str">
        <f t="shared" si="4"/>
        <v>1-12</v>
      </c>
      <c r="O412" s="16" t="str">
        <f t="shared" si="5"/>
        <v>1-12</v>
      </c>
      <c r="P412" s="16" t="str">
        <f t="shared" si="6"/>
        <v>1-12</v>
      </c>
      <c r="Q412" s="16" t="str">
        <f t="shared" si="7"/>
        <v>0</v>
      </c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9">
        <v>183911.0</v>
      </c>
      <c r="B413" s="9" t="s">
        <v>736</v>
      </c>
      <c r="C413" s="10" t="s">
        <v>737</v>
      </c>
      <c r="D413" s="11" t="s">
        <v>219</v>
      </c>
      <c r="E413" s="23" t="s">
        <v>941</v>
      </c>
      <c r="F413" s="13" t="str">
        <f t="array" ref="F413">INDEX(Turmas!D2:D106,MATCH(E15,Turmas!A2:A106,0))</f>
        <v>Noite</v>
      </c>
      <c r="G413" s="14">
        <v>0.0</v>
      </c>
      <c r="H413" s="15">
        <v>3.0</v>
      </c>
      <c r="I413" s="15">
        <v>0.0</v>
      </c>
      <c r="J413" s="15">
        <v>2.0</v>
      </c>
      <c r="K413" s="15">
        <f t="shared" si="1"/>
        <v>1</v>
      </c>
      <c r="L413" s="16" t="str">
        <f t="shared" si="2"/>
        <v>1-12</v>
      </c>
      <c r="M413" s="16" t="str">
        <f t="shared" si="3"/>
        <v>1-12</v>
      </c>
      <c r="N413" s="16" t="str">
        <f t="shared" si="4"/>
        <v>1-12</v>
      </c>
      <c r="O413" s="16" t="str">
        <f t="shared" si="5"/>
        <v>1-12</v>
      </c>
      <c r="P413" s="16" t="str">
        <f t="shared" si="6"/>
        <v>1-12</v>
      </c>
      <c r="Q413" s="16" t="str">
        <f t="shared" si="7"/>
        <v>0</v>
      </c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9">
        <v>183901.0</v>
      </c>
      <c r="B414" s="9" t="s">
        <v>942</v>
      </c>
      <c r="C414" s="10" t="s">
        <v>943</v>
      </c>
      <c r="D414" s="11" t="s">
        <v>437</v>
      </c>
      <c r="E414" s="23" t="s">
        <v>941</v>
      </c>
      <c r="F414" s="13" t="str">
        <f t="array" ref="F414">INDEX(Turmas!D2:D106,MATCH(E16,Turmas!A2:A106,0))</f>
        <v>Noite</v>
      </c>
      <c r="G414" s="14">
        <v>0.0</v>
      </c>
      <c r="H414" s="15">
        <v>3.0</v>
      </c>
      <c r="I414" s="15">
        <v>0.0</v>
      </c>
      <c r="J414" s="15">
        <v>2.0</v>
      </c>
      <c r="K414" s="15">
        <f t="shared" si="1"/>
        <v>1</v>
      </c>
      <c r="L414" s="16" t="str">
        <f t="shared" si="2"/>
        <v>1-12</v>
      </c>
      <c r="M414" s="16" t="str">
        <f t="shared" si="3"/>
        <v>1-12</v>
      </c>
      <c r="N414" s="16" t="str">
        <f t="shared" si="4"/>
        <v>1-12</v>
      </c>
      <c r="O414" s="16" t="str">
        <f t="shared" si="5"/>
        <v>1-12</v>
      </c>
      <c r="P414" s="16" t="str">
        <f t="shared" si="6"/>
        <v>1-12</v>
      </c>
      <c r="Q414" s="16" t="str">
        <f t="shared" si="7"/>
        <v>0</v>
      </c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9">
        <v>183904.0</v>
      </c>
      <c r="B415" s="9" t="s">
        <v>944</v>
      </c>
      <c r="C415" s="10" t="s">
        <v>945</v>
      </c>
      <c r="D415" s="11" t="s">
        <v>437</v>
      </c>
      <c r="E415" s="23" t="s">
        <v>941</v>
      </c>
      <c r="F415" s="13" t="str">
        <f t="array" ref="F415">INDEX(Turmas!D2:D106,MATCH(E17,Turmas!A2:A106,0))</f>
        <v>Noite</v>
      </c>
      <c r="G415" s="14">
        <v>0.0</v>
      </c>
      <c r="H415" s="15">
        <v>3.0</v>
      </c>
      <c r="I415" s="15">
        <v>0.0</v>
      </c>
      <c r="J415" s="15">
        <v>2.0</v>
      </c>
      <c r="K415" s="15">
        <f t="shared" si="1"/>
        <v>1</v>
      </c>
      <c r="L415" s="16" t="str">
        <f t="shared" si="2"/>
        <v>1-12</v>
      </c>
      <c r="M415" s="16" t="str">
        <f t="shared" si="3"/>
        <v>1-12</v>
      </c>
      <c r="N415" s="16" t="str">
        <f t="shared" si="4"/>
        <v>1-12</v>
      </c>
      <c r="O415" s="16" t="str">
        <f t="shared" si="5"/>
        <v>1-12</v>
      </c>
      <c r="P415" s="16" t="str">
        <f t="shared" si="6"/>
        <v>1-12</v>
      </c>
      <c r="Q415" s="16" t="str">
        <f t="shared" si="7"/>
        <v>0</v>
      </c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9">
        <v>183905.0</v>
      </c>
      <c r="B416" s="9" t="s">
        <v>946</v>
      </c>
      <c r="C416" s="10" t="s">
        <v>947</v>
      </c>
      <c r="D416" s="11" t="s">
        <v>705</v>
      </c>
      <c r="E416" s="23" t="s">
        <v>948</v>
      </c>
      <c r="F416" s="13" t="str">
        <f t="array" ref="F416">INDEX(Turmas!D2:D106,MATCH(E18,Turmas!A2:A106,0))</f>
        <v>Noite</v>
      </c>
      <c r="G416" s="14">
        <v>0.0</v>
      </c>
      <c r="H416" s="15">
        <v>2.0</v>
      </c>
      <c r="I416" s="15">
        <v>0.0</v>
      </c>
      <c r="J416" s="15">
        <v>2.0</v>
      </c>
      <c r="K416" s="15">
        <f t="shared" si="1"/>
        <v>1</v>
      </c>
      <c r="L416" s="16" t="str">
        <f t="shared" si="2"/>
        <v>1-12</v>
      </c>
      <c r="M416" s="16" t="str">
        <f t="shared" si="3"/>
        <v>1-12</v>
      </c>
      <c r="N416" s="16" t="str">
        <f t="shared" si="4"/>
        <v>1-12</v>
      </c>
      <c r="O416" s="16" t="str">
        <f t="shared" si="5"/>
        <v>1-12</v>
      </c>
      <c r="P416" s="16" t="str">
        <f t="shared" si="6"/>
        <v>1-12</v>
      </c>
      <c r="Q416" s="16" t="str">
        <f t="shared" si="7"/>
        <v>0</v>
      </c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9">
        <v>183538.0</v>
      </c>
      <c r="B417" s="9" t="s">
        <v>949</v>
      </c>
      <c r="C417" s="10" t="s">
        <v>950</v>
      </c>
      <c r="D417" s="11" t="s">
        <v>105</v>
      </c>
      <c r="E417" s="23" t="s">
        <v>948</v>
      </c>
      <c r="F417" s="13" t="str">
        <f t="array" ref="F417">INDEX(Turmas!D2:D106,MATCH(E19,Turmas!A2:A106,0))</f>
        <v>Noite</v>
      </c>
      <c r="G417" s="14">
        <v>0.0</v>
      </c>
      <c r="H417" s="15">
        <v>4.0</v>
      </c>
      <c r="I417" s="15">
        <v>0.0</v>
      </c>
      <c r="J417" s="15">
        <v>2.0</v>
      </c>
      <c r="K417" s="15">
        <f t="shared" si="1"/>
        <v>2</v>
      </c>
      <c r="L417" s="16" t="str">
        <f t="shared" si="2"/>
        <v>1-12</v>
      </c>
      <c r="M417" s="16" t="str">
        <f t="shared" si="3"/>
        <v>1-12</v>
      </c>
      <c r="N417" s="16" t="str">
        <f t="shared" si="4"/>
        <v>1-12</v>
      </c>
      <c r="O417" s="16" t="str">
        <f t="shared" si="5"/>
        <v>1-12</v>
      </c>
      <c r="P417" s="16" t="str">
        <f t="shared" si="6"/>
        <v>1-12</v>
      </c>
      <c r="Q417" s="16" t="str">
        <f t="shared" si="7"/>
        <v>0</v>
      </c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9">
        <v>183533.0</v>
      </c>
      <c r="B418" s="9" t="s">
        <v>951</v>
      </c>
      <c r="C418" s="10" t="s">
        <v>952</v>
      </c>
      <c r="D418" s="11" t="s">
        <v>572</v>
      </c>
      <c r="E418" s="23" t="s">
        <v>948</v>
      </c>
      <c r="F418" s="13" t="str">
        <f t="array" ref="F418">INDEX(Turmas!D2:D106,MATCH(E20,Turmas!A2:A106,0))</f>
        <v>Noite</v>
      </c>
      <c r="G418" s="14">
        <v>0.0</v>
      </c>
      <c r="H418" s="15">
        <v>2.0</v>
      </c>
      <c r="I418" s="15">
        <v>0.0</v>
      </c>
      <c r="J418" s="15">
        <v>2.0</v>
      </c>
      <c r="K418" s="15">
        <f t="shared" si="1"/>
        <v>1</v>
      </c>
      <c r="L418" s="16" t="str">
        <f t="shared" si="2"/>
        <v>1-12</v>
      </c>
      <c r="M418" s="16" t="str">
        <f t="shared" si="3"/>
        <v>1-12</v>
      </c>
      <c r="N418" s="16" t="str">
        <f t="shared" si="4"/>
        <v>1-12</v>
      </c>
      <c r="O418" s="16" t="str">
        <f t="shared" si="5"/>
        <v>1-12</v>
      </c>
      <c r="P418" s="16" t="str">
        <f t="shared" si="6"/>
        <v>1-12</v>
      </c>
      <c r="Q418" s="16" t="str">
        <f t="shared" si="7"/>
        <v>0</v>
      </c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9">
        <v>183537.0</v>
      </c>
      <c r="B419" s="9" t="s">
        <v>953</v>
      </c>
      <c r="C419" s="10" t="s">
        <v>954</v>
      </c>
      <c r="D419" s="11" t="s">
        <v>156</v>
      </c>
      <c r="E419" s="23" t="s">
        <v>948</v>
      </c>
      <c r="F419" s="13" t="str">
        <f t="array" ref="F419">INDEX(Turmas!D2:D106,MATCH(E21,Turmas!A2:A106,0))</f>
        <v>Noite</v>
      </c>
      <c r="G419" s="14">
        <v>0.0</v>
      </c>
      <c r="H419" s="15">
        <v>2.0</v>
      </c>
      <c r="I419" s="15">
        <v>0.0</v>
      </c>
      <c r="J419" s="15">
        <v>2.0</v>
      </c>
      <c r="K419" s="15">
        <f t="shared" si="1"/>
        <v>1</v>
      </c>
      <c r="L419" s="16" t="str">
        <f t="shared" si="2"/>
        <v>1-12</v>
      </c>
      <c r="M419" s="16" t="str">
        <f t="shared" si="3"/>
        <v>1-12</v>
      </c>
      <c r="N419" s="16" t="str">
        <f t="shared" si="4"/>
        <v>1-12</v>
      </c>
      <c r="O419" s="16" t="str">
        <f t="shared" si="5"/>
        <v>1-12</v>
      </c>
      <c r="P419" s="16" t="str">
        <f t="shared" si="6"/>
        <v>1-12</v>
      </c>
      <c r="Q419" s="16" t="str">
        <f t="shared" si="7"/>
        <v>0</v>
      </c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9">
        <v>183534.0</v>
      </c>
      <c r="B420" s="9" t="s">
        <v>955</v>
      </c>
      <c r="C420" s="10" t="s">
        <v>956</v>
      </c>
      <c r="D420" s="11" t="s">
        <v>59</v>
      </c>
      <c r="E420" s="23" t="s">
        <v>948</v>
      </c>
      <c r="F420" s="13" t="str">
        <f t="array" ref="F420">INDEX(Turmas!D2:D106,MATCH(E22,Turmas!A2:A106,0))</f>
        <v>Noite</v>
      </c>
      <c r="G420" s="14">
        <v>0.0</v>
      </c>
      <c r="H420" s="15">
        <v>2.0</v>
      </c>
      <c r="I420" s="15">
        <v>0.0</v>
      </c>
      <c r="J420" s="15">
        <v>2.0</v>
      </c>
      <c r="K420" s="15">
        <f t="shared" si="1"/>
        <v>1</v>
      </c>
      <c r="L420" s="16" t="str">
        <f t="shared" si="2"/>
        <v>1-12</v>
      </c>
      <c r="M420" s="16" t="str">
        <f t="shared" si="3"/>
        <v>1-12</v>
      </c>
      <c r="N420" s="16" t="str">
        <f t="shared" si="4"/>
        <v>1-12</v>
      </c>
      <c r="O420" s="16" t="str">
        <f t="shared" si="5"/>
        <v>1-12</v>
      </c>
      <c r="P420" s="16" t="str">
        <f t="shared" si="6"/>
        <v>1-12</v>
      </c>
      <c r="Q420" s="16" t="str">
        <f t="shared" si="7"/>
        <v>0</v>
      </c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9">
        <v>183536.0</v>
      </c>
      <c r="B421" s="9" t="s">
        <v>957</v>
      </c>
      <c r="C421" s="10" t="s">
        <v>958</v>
      </c>
      <c r="D421" s="11" t="s">
        <v>444</v>
      </c>
      <c r="E421" s="23" t="s">
        <v>948</v>
      </c>
      <c r="F421" s="13" t="str">
        <f t="array" ref="F421">INDEX(Turmas!D2:D106,MATCH(E23,Turmas!A2:A106,0))</f>
        <v>Noite</v>
      </c>
      <c r="G421" s="14">
        <v>0.0</v>
      </c>
      <c r="H421" s="15">
        <v>2.0</v>
      </c>
      <c r="I421" s="15">
        <v>0.0</v>
      </c>
      <c r="J421" s="15">
        <v>2.0</v>
      </c>
      <c r="K421" s="15">
        <f t="shared" si="1"/>
        <v>1</v>
      </c>
      <c r="L421" s="16" t="str">
        <f t="shared" si="2"/>
        <v>1-12</v>
      </c>
      <c r="M421" s="16" t="str">
        <f t="shared" si="3"/>
        <v>1-12</v>
      </c>
      <c r="N421" s="16" t="str">
        <f t="shared" si="4"/>
        <v>1-12</v>
      </c>
      <c r="O421" s="16" t="str">
        <f t="shared" si="5"/>
        <v>1-12</v>
      </c>
      <c r="P421" s="16" t="str">
        <f t="shared" si="6"/>
        <v>1-12</v>
      </c>
      <c r="Q421" s="16" t="str">
        <f t="shared" si="7"/>
        <v>0</v>
      </c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9">
        <v>183535.0</v>
      </c>
      <c r="B422" s="9" t="s">
        <v>959</v>
      </c>
      <c r="C422" s="10" t="s">
        <v>960</v>
      </c>
      <c r="D422" s="11" t="s">
        <v>705</v>
      </c>
      <c r="E422" s="23" t="s">
        <v>961</v>
      </c>
      <c r="F422" s="13" t="str">
        <f t="array" ref="F422">INDEX(Turmas!D2:D106,MATCH(E24,Turmas!A2:A106,0))</f>
        <v>Noite</v>
      </c>
      <c r="G422" s="14">
        <v>0.0</v>
      </c>
      <c r="H422" s="15">
        <v>3.0</v>
      </c>
      <c r="I422" s="15">
        <v>0.0</v>
      </c>
      <c r="J422" s="15">
        <v>2.0</v>
      </c>
      <c r="K422" s="15">
        <f t="shared" si="1"/>
        <v>1</v>
      </c>
      <c r="L422" s="16" t="str">
        <f t="shared" si="2"/>
        <v>1-12</v>
      </c>
      <c r="M422" s="16" t="str">
        <f t="shared" si="3"/>
        <v>1-12</v>
      </c>
      <c r="N422" s="16" t="str">
        <f t="shared" si="4"/>
        <v>1-12</v>
      </c>
      <c r="O422" s="16" t="str">
        <f t="shared" si="5"/>
        <v>1-12</v>
      </c>
      <c r="P422" s="16" t="str">
        <f t="shared" si="6"/>
        <v>1-12</v>
      </c>
      <c r="Q422" s="16" t="str">
        <f t="shared" si="7"/>
        <v>0</v>
      </c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9">
        <v>183542.0</v>
      </c>
      <c r="B423" s="9" t="s">
        <v>962</v>
      </c>
      <c r="C423" s="10" t="s">
        <v>963</v>
      </c>
      <c r="D423" s="11" t="s">
        <v>705</v>
      </c>
      <c r="E423" s="23" t="s">
        <v>961</v>
      </c>
      <c r="F423" s="13" t="str">
        <f t="array" ref="F423">INDEX(Turmas!D2:D106,MATCH(E25,Turmas!A2:A106,0))</f>
        <v>Noite</v>
      </c>
      <c r="G423" s="14">
        <v>0.0</v>
      </c>
      <c r="H423" s="15">
        <v>4.0</v>
      </c>
      <c r="I423" s="15">
        <v>0.0</v>
      </c>
      <c r="J423" s="15">
        <v>2.0</v>
      </c>
      <c r="K423" s="15">
        <f t="shared" si="1"/>
        <v>2</v>
      </c>
      <c r="L423" s="16" t="str">
        <f t="shared" si="2"/>
        <v>1-12</v>
      </c>
      <c r="M423" s="16" t="str">
        <f t="shared" si="3"/>
        <v>1-12</v>
      </c>
      <c r="N423" s="16" t="str">
        <f t="shared" si="4"/>
        <v>1-12</v>
      </c>
      <c r="O423" s="16" t="str">
        <f t="shared" si="5"/>
        <v>1-12</v>
      </c>
      <c r="P423" s="16" t="str">
        <f t="shared" si="6"/>
        <v>1-12</v>
      </c>
      <c r="Q423" s="16" t="str">
        <f t="shared" si="7"/>
        <v>0</v>
      </c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9">
        <v>183540.0</v>
      </c>
      <c r="B424" s="9" t="s">
        <v>964</v>
      </c>
      <c r="C424" s="10" t="s">
        <v>965</v>
      </c>
      <c r="D424" s="11" t="s">
        <v>534</v>
      </c>
      <c r="E424" s="23" t="s">
        <v>961</v>
      </c>
      <c r="F424" s="13" t="str">
        <f t="array" ref="F424">INDEX(Turmas!D2:D106,MATCH(E26,Turmas!A2:A106,0))</f>
        <v>Noite</v>
      </c>
      <c r="G424" s="14">
        <v>0.0</v>
      </c>
      <c r="H424" s="15">
        <v>2.0</v>
      </c>
      <c r="I424" s="15">
        <v>0.0</v>
      </c>
      <c r="J424" s="15">
        <v>2.0</v>
      </c>
      <c r="K424" s="15">
        <f t="shared" si="1"/>
        <v>1</v>
      </c>
      <c r="L424" s="16" t="str">
        <f t="shared" si="2"/>
        <v>1-12</v>
      </c>
      <c r="M424" s="16" t="str">
        <f t="shared" si="3"/>
        <v>1-12</v>
      </c>
      <c r="N424" s="16" t="str">
        <f t="shared" si="4"/>
        <v>1-12</v>
      </c>
      <c r="O424" s="16" t="str">
        <f t="shared" si="5"/>
        <v>1-12</v>
      </c>
      <c r="P424" s="16" t="str">
        <f t="shared" si="6"/>
        <v>1-12</v>
      </c>
      <c r="Q424" s="16" t="str">
        <f t="shared" si="7"/>
        <v>0</v>
      </c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9">
        <v>183539.0</v>
      </c>
      <c r="B425" s="9" t="s">
        <v>966</v>
      </c>
      <c r="C425" s="10" t="s">
        <v>967</v>
      </c>
      <c r="D425" s="11" t="s">
        <v>463</v>
      </c>
      <c r="E425" s="23" t="s">
        <v>961</v>
      </c>
      <c r="F425" s="13" t="str">
        <f t="array" ref="F425">INDEX(Turmas!D2:D106,MATCH(E27,Turmas!A2:A106,0))</f>
        <v>Noite</v>
      </c>
      <c r="G425" s="14">
        <v>0.0</v>
      </c>
      <c r="H425" s="15">
        <v>2.0</v>
      </c>
      <c r="I425" s="15">
        <v>0.0</v>
      </c>
      <c r="J425" s="15">
        <v>2.0</v>
      </c>
      <c r="K425" s="15">
        <f t="shared" si="1"/>
        <v>1</v>
      </c>
      <c r="L425" s="16" t="str">
        <f t="shared" si="2"/>
        <v>1-12</v>
      </c>
      <c r="M425" s="16" t="str">
        <f t="shared" si="3"/>
        <v>1-12</v>
      </c>
      <c r="N425" s="16" t="str">
        <f t="shared" si="4"/>
        <v>1-12</v>
      </c>
      <c r="O425" s="16" t="str">
        <f t="shared" si="5"/>
        <v>1-12</v>
      </c>
      <c r="P425" s="16" t="str">
        <f t="shared" si="6"/>
        <v>1-12</v>
      </c>
      <c r="Q425" s="16" t="str">
        <f t="shared" si="7"/>
        <v>0</v>
      </c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9">
        <v>183544.0</v>
      </c>
      <c r="B426" s="9" t="s">
        <v>968</v>
      </c>
      <c r="C426" s="10" t="s">
        <v>969</v>
      </c>
      <c r="D426" s="11" t="s">
        <v>396</v>
      </c>
      <c r="E426" s="23" t="s">
        <v>961</v>
      </c>
      <c r="F426" s="13" t="str">
        <f t="array" ref="F426">INDEX(Turmas!D2:D106,MATCH(E28,Turmas!A2:A106,0))</f>
        <v>Noite</v>
      </c>
      <c r="G426" s="14">
        <v>0.0</v>
      </c>
      <c r="H426" s="15">
        <v>2.0</v>
      </c>
      <c r="I426" s="15">
        <v>0.0</v>
      </c>
      <c r="J426" s="15">
        <v>2.0</v>
      </c>
      <c r="K426" s="15">
        <f t="shared" si="1"/>
        <v>1</v>
      </c>
      <c r="L426" s="16" t="str">
        <f t="shared" si="2"/>
        <v>1-12</v>
      </c>
      <c r="M426" s="16" t="str">
        <f t="shared" si="3"/>
        <v>1-12</v>
      </c>
      <c r="N426" s="16" t="str">
        <f t="shared" si="4"/>
        <v>1-12</v>
      </c>
      <c r="O426" s="16" t="str">
        <f t="shared" si="5"/>
        <v>1-12</v>
      </c>
      <c r="P426" s="16" t="str">
        <f t="shared" si="6"/>
        <v>1-12</v>
      </c>
      <c r="Q426" s="16" t="str">
        <f t="shared" si="7"/>
        <v>0</v>
      </c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9">
        <v>183543.0</v>
      </c>
      <c r="B427" s="9" t="s">
        <v>970</v>
      </c>
      <c r="C427" s="10" t="s">
        <v>971</v>
      </c>
      <c r="D427" s="11" t="s">
        <v>705</v>
      </c>
      <c r="E427" s="23" t="s">
        <v>961</v>
      </c>
      <c r="F427" s="13" t="str">
        <f t="array" ref="F427">INDEX(Turmas!D2:D106,MATCH(E29,Turmas!A2:A106,0))</f>
        <v>Noite</v>
      </c>
      <c r="G427" s="14">
        <v>0.0</v>
      </c>
      <c r="H427" s="15">
        <v>2.0</v>
      </c>
      <c r="I427" s="15">
        <v>0.0</v>
      </c>
      <c r="J427" s="15">
        <v>2.0</v>
      </c>
      <c r="K427" s="15">
        <f t="shared" si="1"/>
        <v>1</v>
      </c>
      <c r="L427" s="16" t="str">
        <f t="shared" si="2"/>
        <v>1-12</v>
      </c>
      <c r="M427" s="16" t="str">
        <f t="shared" si="3"/>
        <v>1-12</v>
      </c>
      <c r="N427" s="16" t="str">
        <f t="shared" si="4"/>
        <v>1-12</v>
      </c>
      <c r="O427" s="16" t="str">
        <f t="shared" si="5"/>
        <v>1-12</v>
      </c>
      <c r="P427" s="16" t="str">
        <f t="shared" si="6"/>
        <v>1-12</v>
      </c>
      <c r="Q427" s="16" t="str">
        <f t="shared" si="7"/>
        <v>0</v>
      </c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9">
        <v>183541.0</v>
      </c>
      <c r="B428" s="9" t="s">
        <v>972</v>
      </c>
      <c r="C428" s="10" t="s">
        <v>973</v>
      </c>
      <c r="D428" s="11" t="s">
        <v>705</v>
      </c>
      <c r="E428" s="23" t="s">
        <v>961</v>
      </c>
      <c r="F428" s="13" t="str">
        <f t="array" ref="F428">INDEX(Turmas!D2:D106,MATCH(E30,Turmas!A2:A106,0))</f>
        <v>Noite</v>
      </c>
      <c r="G428" s="14">
        <v>0.0</v>
      </c>
      <c r="H428" s="15">
        <v>4.0</v>
      </c>
      <c r="I428" s="15">
        <v>0.0</v>
      </c>
      <c r="J428" s="15">
        <v>2.0</v>
      </c>
      <c r="K428" s="15">
        <f t="shared" si="1"/>
        <v>2</v>
      </c>
      <c r="L428" s="16" t="str">
        <f t="shared" si="2"/>
        <v>1-12</v>
      </c>
      <c r="M428" s="16" t="str">
        <f t="shared" si="3"/>
        <v>1-12</v>
      </c>
      <c r="N428" s="16" t="str">
        <f t="shared" si="4"/>
        <v>1-12</v>
      </c>
      <c r="O428" s="16" t="str">
        <f t="shared" si="5"/>
        <v>1-12</v>
      </c>
      <c r="P428" s="16" t="str">
        <f t="shared" si="6"/>
        <v>1-12</v>
      </c>
      <c r="Q428" s="16" t="str">
        <f t="shared" si="7"/>
        <v>0</v>
      </c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9">
        <v>183545.0</v>
      </c>
      <c r="B429" s="9" t="s">
        <v>974</v>
      </c>
      <c r="C429" s="10" t="s">
        <v>975</v>
      </c>
      <c r="D429" s="11" t="s">
        <v>388</v>
      </c>
      <c r="E429" s="23" t="s">
        <v>976</v>
      </c>
      <c r="F429" s="13" t="str">
        <f t="array" ref="F429">INDEX(Turmas!D2:D106,MATCH(E31,Turmas!A2:A106,0))</f>
        <v>Noite</v>
      </c>
      <c r="G429" s="14">
        <v>0.0</v>
      </c>
      <c r="H429" s="15">
        <v>4.0</v>
      </c>
      <c r="I429" s="15">
        <v>0.0</v>
      </c>
      <c r="J429" s="15">
        <v>4.0</v>
      </c>
      <c r="K429" s="15">
        <f t="shared" si="1"/>
        <v>1</v>
      </c>
      <c r="L429" s="16" t="str">
        <f t="shared" si="2"/>
        <v>1-12</v>
      </c>
      <c r="M429" s="16" t="str">
        <f t="shared" si="3"/>
        <v>1-12</v>
      </c>
      <c r="N429" s="16" t="str">
        <f t="shared" si="4"/>
        <v>1-12</v>
      </c>
      <c r="O429" s="16" t="str">
        <f t="shared" si="5"/>
        <v>1-12</v>
      </c>
      <c r="P429" s="16" t="str">
        <f t="shared" si="6"/>
        <v>1-12</v>
      </c>
      <c r="Q429" s="16" t="str">
        <f t="shared" si="7"/>
        <v>0</v>
      </c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9">
        <v>183931.0</v>
      </c>
      <c r="B430" s="9" t="s">
        <v>977</v>
      </c>
      <c r="C430" s="10" t="s">
        <v>978</v>
      </c>
      <c r="D430" s="11" t="s">
        <v>153</v>
      </c>
      <c r="E430" s="23" t="s">
        <v>979</v>
      </c>
      <c r="F430" s="13" t="str">
        <f t="array" ref="F430">INDEX(Turmas!D2:D106,MATCH(E32,Turmas!A2:A106,0))</f>
        <v>Noite</v>
      </c>
      <c r="G430" s="14">
        <v>0.0</v>
      </c>
      <c r="H430" s="15">
        <v>3.0</v>
      </c>
      <c r="I430" s="15">
        <v>0.0</v>
      </c>
      <c r="J430" s="15">
        <v>2.0</v>
      </c>
      <c r="K430" s="15">
        <f t="shared" si="1"/>
        <v>1</v>
      </c>
      <c r="L430" s="16" t="str">
        <f t="shared" si="2"/>
        <v>1-12</v>
      </c>
      <c r="M430" s="16" t="str">
        <f t="shared" si="3"/>
        <v>1-12</v>
      </c>
      <c r="N430" s="16" t="str">
        <f t="shared" si="4"/>
        <v>1-12</v>
      </c>
      <c r="O430" s="16" t="str">
        <f t="shared" si="5"/>
        <v>1-12</v>
      </c>
      <c r="P430" s="16" t="str">
        <f t="shared" si="6"/>
        <v>1-12</v>
      </c>
      <c r="Q430" s="16" t="str">
        <f t="shared" si="7"/>
        <v>0</v>
      </c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9">
        <v>182503.0</v>
      </c>
      <c r="B431" s="9" t="s">
        <v>977</v>
      </c>
      <c r="C431" s="10" t="s">
        <v>978</v>
      </c>
      <c r="D431" s="11" t="s">
        <v>153</v>
      </c>
      <c r="E431" s="23" t="s">
        <v>979</v>
      </c>
      <c r="F431" s="13" t="str">
        <f t="array" ref="F431">INDEX(Turmas!D2:D106,MATCH(E33,Turmas!A2:A106,0))</f>
        <v>Noite</v>
      </c>
      <c r="G431" s="14">
        <v>0.0</v>
      </c>
      <c r="H431" s="15">
        <v>4.0</v>
      </c>
      <c r="I431" s="15">
        <v>0.0</v>
      </c>
      <c r="J431" s="15">
        <v>4.0</v>
      </c>
      <c r="K431" s="15">
        <f t="shared" si="1"/>
        <v>1</v>
      </c>
      <c r="L431" s="16" t="str">
        <f t="shared" si="2"/>
        <v>1-12</v>
      </c>
      <c r="M431" s="16" t="str">
        <f t="shared" si="3"/>
        <v>1-12</v>
      </c>
      <c r="N431" s="16" t="str">
        <f t="shared" si="4"/>
        <v>1-12</v>
      </c>
      <c r="O431" s="16" t="str">
        <f t="shared" si="5"/>
        <v>1-12</v>
      </c>
      <c r="P431" s="16" t="str">
        <f t="shared" si="6"/>
        <v>1-12</v>
      </c>
      <c r="Q431" s="16" t="str">
        <f t="shared" si="7"/>
        <v>0</v>
      </c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9">
        <v>183587.0</v>
      </c>
      <c r="B432" s="9" t="s">
        <v>375</v>
      </c>
      <c r="C432" s="10" t="s">
        <v>194</v>
      </c>
      <c r="D432" s="11" t="s">
        <v>376</v>
      </c>
      <c r="E432" s="23" t="s">
        <v>979</v>
      </c>
      <c r="F432" s="13" t="str">
        <f t="array" ref="F432">INDEX(Turmas!D2:D106,MATCH(E34,Turmas!A2:A106,0))</f>
        <v>Noite</v>
      </c>
      <c r="G432" s="14">
        <v>0.0</v>
      </c>
      <c r="H432" s="15">
        <v>5.0</v>
      </c>
      <c r="I432" s="15">
        <v>0.0</v>
      </c>
      <c r="J432" s="15">
        <v>2.0</v>
      </c>
      <c r="K432" s="15">
        <f t="shared" si="1"/>
        <v>2</v>
      </c>
      <c r="L432" s="16" t="str">
        <f t="shared" si="2"/>
        <v>1-12</v>
      </c>
      <c r="M432" s="16" t="str">
        <f t="shared" si="3"/>
        <v>1-12</v>
      </c>
      <c r="N432" s="16" t="str">
        <f t="shared" si="4"/>
        <v>1-12</v>
      </c>
      <c r="O432" s="16" t="str">
        <f t="shared" si="5"/>
        <v>1-12</v>
      </c>
      <c r="P432" s="16" t="str">
        <f t="shared" si="6"/>
        <v>1-12</v>
      </c>
      <c r="Q432" s="16" t="str">
        <f t="shared" si="7"/>
        <v>0</v>
      </c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9">
        <v>182504.0</v>
      </c>
      <c r="B433" s="9" t="s">
        <v>635</v>
      </c>
      <c r="C433" s="10" t="s">
        <v>200</v>
      </c>
      <c r="D433" s="11" t="s">
        <v>201</v>
      </c>
      <c r="E433" s="23" t="s">
        <v>979</v>
      </c>
      <c r="F433" s="13" t="str">
        <f t="array" ref="F433">INDEX(Turmas!D2:D106,MATCH(E35,Turmas!A2:A106,0))</f>
        <v>Noite</v>
      </c>
      <c r="G433" s="14">
        <v>0.0</v>
      </c>
      <c r="H433" s="15">
        <v>4.0</v>
      </c>
      <c r="I433" s="15">
        <v>0.0</v>
      </c>
      <c r="J433" s="15">
        <v>2.0</v>
      </c>
      <c r="K433" s="15">
        <f t="shared" si="1"/>
        <v>2</v>
      </c>
      <c r="L433" s="16" t="str">
        <f t="shared" si="2"/>
        <v>1-12</v>
      </c>
      <c r="M433" s="16" t="str">
        <f t="shared" si="3"/>
        <v>1-12</v>
      </c>
      <c r="N433" s="16" t="str">
        <f t="shared" si="4"/>
        <v>1-12</v>
      </c>
      <c r="O433" s="16" t="str">
        <f t="shared" si="5"/>
        <v>1-12</v>
      </c>
      <c r="P433" s="16" t="str">
        <f t="shared" si="6"/>
        <v>1-12</v>
      </c>
      <c r="Q433" s="16" t="str">
        <f t="shared" si="7"/>
        <v>0</v>
      </c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9">
        <v>182505.0</v>
      </c>
      <c r="B434" s="9" t="s">
        <v>635</v>
      </c>
      <c r="C434" s="10" t="s">
        <v>200</v>
      </c>
      <c r="D434" s="11" t="s">
        <v>201</v>
      </c>
      <c r="E434" s="23" t="s">
        <v>979</v>
      </c>
      <c r="F434" s="13" t="str">
        <f t="array" ref="F434">INDEX(Turmas!D2:D106,MATCH(E36,Turmas!A2:A106,0))</f>
        <v>Noite</v>
      </c>
      <c r="G434" s="14">
        <v>0.0</v>
      </c>
      <c r="H434" s="15">
        <v>4.0</v>
      </c>
      <c r="I434" s="15">
        <v>0.0</v>
      </c>
      <c r="J434" s="15">
        <v>2.0</v>
      </c>
      <c r="K434" s="15">
        <f t="shared" si="1"/>
        <v>2</v>
      </c>
      <c r="L434" s="16" t="str">
        <f t="shared" si="2"/>
        <v>1-12</v>
      </c>
      <c r="M434" s="16" t="str">
        <f t="shared" si="3"/>
        <v>1-12</v>
      </c>
      <c r="N434" s="16" t="str">
        <f t="shared" si="4"/>
        <v>1-12</v>
      </c>
      <c r="O434" s="16" t="str">
        <f t="shared" si="5"/>
        <v>1-12</v>
      </c>
      <c r="P434" s="16" t="str">
        <f t="shared" si="6"/>
        <v>1-12</v>
      </c>
      <c r="Q434" s="16" t="str">
        <f t="shared" si="7"/>
        <v>0</v>
      </c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9">
        <v>183588.0</v>
      </c>
      <c r="B435" s="9" t="s">
        <v>980</v>
      </c>
      <c r="C435" s="10" t="s">
        <v>981</v>
      </c>
      <c r="D435" s="11" t="s">
        <v>982</v>
      </c>
      <c r="E435" s="23" t="s">
        <v>979</v>
      </c>
      <c r="F435" s="13" t="str">
        <f t="array" ref="F435">INDEX(Turmas!D2:D106,MATCH(E37,Turmas!A2:A106,0))</f>
        <v>Noite</v>
      </c>
      <c r="G435" s="14">
        <v>0.0</v>
      </c>
      <c r="H435" s="15">
        <v>5.0</v>
      </c>
      <c r="I435" s="15">
        <v>0.0</v>
      </c>
      <c r="J435" s="15">
        <v>2.0</v>
      </c>
      <c r="K435" s="15">
        <f t="shared" si="1"/>
        <v>2</v>
      </c>
      <c r="L435" s="16" t="str">
        <f t="shared" si="2"/>
        <v>1-12</v>
      </c>
      <c r="M435" s="16" t="str">
        <f t="shared" si="3"/>
        <v>1-12</v>
      </c>
      <c r="N435" s="16" t="str">
        <f t="shared" si="4"/>
        <v>1-12</v>
      </c>
      <c r="O435" s="16" t="str">
        <f t="shared" si="5"/>
        <v>1-12</v>
      </c>
      <c r="P435" s="16" t="str">
        <f t="shared" si="6"/>
        <v>1-12</v>
      </c>
      <c r="Q435" s="16" t="str">
        <f t="shared" si="7"/>
        <v>0</v>
      </c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9">
        <v>182507.0</v>
      </c>
      <c r="B436" s="9" t="s">
        <v>382</v>
      </c>
      <c r="C436" s="10" t="s">
        <v>383</v>
      </c>
      <c r="D436" s="22" t="s">
        <v>213</v>
      </c>
      <c r="E436" s="23" t="s">
        <v>979</v>
      </c>
      <c r="F436" s="13" t="str">
        <f t="array" ref="F436">INDEX(Turmas!D2:D106,MATCH(E38,Turmas!A2:A106,0))</f>
        <v>Noite</v>
      </c>
      <c r="G436" s="14">
        <v>0.0</v>
      </c>
      <c r="H436" s="15">
        <v>2.0</v>
      </c>
      <c r="I436" s="15">
        <v>0.0</v>
      </c>
      <c r="J436" s="15">
        <v>2.0</v>
      </c>
      <c r="K436" s="15">
        <f t="shared" si="1"/>
        <v>1</v>
      </c>
      <c r="L436" s="16" t="str">
        <f t="shared" si="2"/>
        <v>1-12</v>
      </c>
      <c r="M436" s="16" t="str">
        <f t="shared" si="3"/>
        <v>1-12</v>
      </c>
      <c r="N436" s="16" t="str">
        <f t="shared" si="4"/>
        <v>1-12</v>
      </c>
      <c r="O436" s="16" t="str">
        <f t="shared" si="5"/>
        <v>1-12</v>
      </c>
      <c r="P436" s="16" t="str">
        <f t="shared" si="6"/>
        <v>1-12</v>
      </c>
      <c r="Q436" s="16" t="str">
        <f t="shared" si="7"/>
        <v>0</v>
      </c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9">
        <v>182508.0</v>
      </c>
      <c r="B437" s="9" t="s">
        <v>743</v>
      </c>
      <c r="C437" s="10" t="s">
        <v>458</v>
      </c>
      <c r="D437" s="11" t="s">
        <v>983</v>
      </c>
      <c r="E437" s="23" t="s">
        <v>984</v>
      </c>
      <c r="F437" s="13" t="str">
        <f t="array" ref="F437">INDEX(Turmas!D2:D106,MATCH(E39,Turmas!A2:A106,0))</f>
        <v>Noite</v>
      </c>
      <c r="G437" s="14">
        <v>0.0</v>
      </c>
      <c r="H437" s="15">
        <v>3.0</v>
      </c>
      <c r="I437" s="15">
        <v>0.0</v>
      </c>
      <c r="J437" s="15">
        <v>2.0</v>
      </c>
      <c r="K437" s="15">
        <f t="shared" si="1"/>
        <v>1</v>
      </c>
      <c r="L437" s="16" t="str">
        <f t="shared" si="2"/>
        <v>1-12</v>
      </c>
      <c r="M437" s="16" t="str">
        <f t="shared" si="3"/>
        <v>1-12</v>
      </c>
      <c r="N437" s="16" t="str">
        <f t="shared" si="4"/>
        <v>1-12</v>
      </c>
      <c r="O437" s="16" t="str">
        <f t="shared" si="5"/>
        <v>1-12</v>
      </c>
      <c r="P437" s="16" t="str">
        <f t="shared" si="6"/>
        <v>1-12</v>
      </c>
      <c r="Q437" s="16" t="str">
        <f t="shared" si="7"/>
        <v>0</v>
      </c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9">
        <v>182509.0</v>
      </c>
      <c r="B438" s="9" t="s">
        <v>985</v>
      </c>
      <c r="C438" s="10" t="s">
        <v>986</v>
      </c>
      <c r="D438" s="11" t="s">
        <v>572</v>
      </c>
      <c r="E438" s="23" t="s">
        <v>984</v>
      </c>
      <c r="F438" s="13" t="str">
        <f t="array" ref="F438">INDEX(Turmas!D2:D106,MATCH(E40,Turmas!A2:A106,0))</f>
        <v>Noite</v>
      </c>
      <c r="G438" s="14">
        <v>0.0</v>
      </c>
      <c r="H438" s="15">
        <v>3.0</v>
      </c>
      <c r="I438" s="15">
        <v>0.0</v>
      </c>
      <c r="J438" s="15">
        <v>2.0</v>
      </c>
      <c r="K438" s="15">
        <f t="shared" si="1"/>
        <v>1</v>
      </c>
      <c r="L438" s="16" t="str">
        <f t="shared" si="2"/>
        <v>1-12</v>
      </c>
      <c r="M438" s="16" t="str">
        <f t="shared" si="3"/>
        <v>1-12</v>
      </c>
      <c r="N438" s="16" t="str">
        <f t="shared" si="4"/>
        <v>1-12</v>
      </c>
      <c r="O438" s="16" t="str">
        <f t="shared" si="5"/>
        <v>1-12</v>
      </c>
      <c r="P438" s="16" t="str">
        <f t="shared" si="6"/>
        <v>1-12</v>
      </c>
      <c r="Q438" s="16" t="str">
        <f t="shared" si="7"/>
        <v>0</v>
      </c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9">
        <v>182511.0</v>
      </c>
      <c r="B439" s="9" t="s">
        <v>987</v>
      </c>
      <c r="C439" s="10" t="s">
        <v>988</v>
      </c>
      <c r="D439" s="11" t="s">
        <v>263</v>
      </c>
      <c r="E439" s="23" t="s">
        <v>984</v>
      </c>
      <c r="F439" s="13" t="str">
        <f t="array" ref="F439">INDEX(Turmas!D2:D106,MATCH(E41,Turmas!A2:A106,0))</f>
        <v>Noite</v>
      </c>
      <c r="G439" s="14">
        <v>0.0</v>
      </c>
      <c r="H439" s="15">
        <v>3.0</v>
      </c>
      <c r="I439" s="15">
        <v>0.0</v>
      </c>
      <c r="J439" s="15">
        <v>2.0</v>
      </c>
      <c r="K439" s="15">
        <f t="shared" si="1"/>
        <v>1</v>
      </c>
      <c r="L439" s="16" t="str">
        <f t="shared" si="2"/>
        <v>1-12</v>
      </c>
      <c r="M439" s="16" t="str">
        <f t="shared" si="3"/>
        <v>1-12</v>
      </c>
      <c r="N439" s="16" t="str">
        <f t="shared" si="4"/>
        <v>1-12</v>
      </c>
      <c r="O439" s="16" t="str">
        <f t="shared" si="5"/>
        <v>1-12</v>
      </c>
      <c r="P439" s="16" t="str">
        <f t="shared" si="6"/>
        <v>1-12</v>
      </c>
      <c r="Q439" s="16" t="str">
        <f t="shared" si="7"/>
        <v>0</v>
      </c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9">
        <v>182513.0</v>
      </c>
      <c r="B440" s="9" t="s">
        <v>989</v>
      </c>
      <c r="C440" s="10" t="s">
        <v>990</v>
      </c>
      <c r="D440" s="11" t="s">
        <v>243</v>
      </c>
      <c r="E440" s="23" t="s">
        <v>984</v>
      </c>
      <c r="F440" s="13" t="str">
        <f t="array" ref="F440">INDEX(Turmas!D2:D106,MATCH(E42,Turmas!A2:A106,0))</f>
        <v>Noite</v>
      </c>
      <c r="G440" s="14">
        <v>0.0</v>
      </c>
      <c r="H440" s="15">
        <v>3.0</v>
      </c>
      <c r="I440" s="15">
        <v>0.0</v>
      </c>
      <c r="J440" s="15">
        <v>2.0</v>
      </c>
      <c r="K440" s="15">
        <f t="shared" si="1"/>
        <v>1</v>
      </c>
      <c r="L440" s="16" t="str">
        <f t="shared" si="2"/>
        <v>1-12</v>
      </c>
      <c r="M440" s="16" t="str">
        <f t="shared" si="3"/>
        <v>1-12</v>
      </c>
      <c r="N440" s="16" t="str">
        <f t="shared" si="4"/>
        <v>1-12</v>
      </c>
      <c r="O440" s="16" t="str">
        <f t="shared" si="5"/>
        <v>1-12</v>
      </c>
      <c r="P440" s="16" t="str">
        <f t="shared" si="6"/>
        <v>1-12</v>
      </c>
      <c r="Q440" s="16" t="str">
        <f t="shared" si="7"/>
        <v>0</v>
      </c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9">
        <v>182512.0</v>
      </c>
      <c r="B441" s="9" t="s">
        <v>991</v>
      </c>
      <c r="C441" s="10" t="s">
        <v>527</v>
      </c>
      <c r="D441" s="11" t="s">
        <v>455</v>
      </c>
      <c r="E441" s="23" t="s">
        <v>984</v>
      </c>
      <c r="F441" s="13" t="str">
        <f t="array" ref="F441">INDEX(Turmas!D2:D106,MATCH(E43,Turmas!A2:A106,0))</f>
        <v>Noite</v>
      </c>
      <c r="G441" s="14">
        <v>0.0</v>
      </c>
      <c r="H441" s="15">
        <v>3.0</v>
      </c>
      <c r="I441" s="15">
        <v>0.0</v>
      </c>
      <c r="J441" s="15">
        <v>2.0</v>
      </c>
      <c r="K441" s="15">
        <f t="shared" si="1"/>
        <v>1</v>
      </c>
      <c r="L441" s="16" t="str">
        <f t="shared" si="2"/>
        <v>1-12</v>
      </c>
      <c r="M441" s="16" t="str">
        <f t="shared" si="3"/>
        <v>1-12</v>
      </c>
      <c r="N441" s="16" t="str">
        <f t="shared" si="4"/>
        <v>1-12</v>
      </c>
      <c r="O441" s="16" t="str">
        <f t="shared" si="5"/>
        <v>1-12</v>
      </c>
      <c r="P441" s="16" t="str">
        <f t="shared" si="6"/>
        <v>1-12</v>
      </c>
      <c r="Q441" s="16" t="str">
        <f t="shared" si="7"/>
        <v>0</v>
      </c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9">
        <v>182514.0</v>
      </c>
      <c r="B442" s="9" t="s">
        <v>992</v>
      </c>
      <c r="C442" s="10" t="s">
        <v>993</v>
      </c>
      <c r="D442" s="11" t="s">
        <v>983</v>
      </c>
      <c r="E442" s="23" t="s">
        <v>994</v>
      </c>
      <c r="F442" s="13" t="str">
        <f t="array" ref="F442">INDEX(Turmas!D2:D106,MATCH(E44,Turmas!A2:A106,0))</f>
        <v>Noite</v>
      </c>
      <c r="G442" s="14">
        <v>0.0</v>
      </c>
      <c r="H442" s="15">
        <v>3.0</v>
      </c>
      <c r="I442" s="15">
        <v>0.0</v>
      </c>
      <c r="J442" s="15">
        <v>2.0</v>
      </c>
      <c r="K442" s="15">
        <f t="shared" si="1"/>
        <v>1</v>
      </c>
      <c r="L442" s="16" t="str">
        <f t="shared" si="2"/>
        <v>1-12</v>
      </c>
      <c r="M442" s="16" t="str">
        <f t="shared" si="3"/>
        <v>1-12</v>
      </c>
      <c r="N442" s="16" t="str">
        <f t="shared" si="4"/>
        <v>1-12</v>
      </c>
      <c r="O442" s="16" t="str">
        <f t="shared" si="5"/>
        <v>1-12</v>
      </c>
      <c r="P442" s="16" t="str">
        <f t="shared" si="6"/>
        <v>1-12</v>
      </c>
      <c r="Q442" s="16" t="str">
        <f t="shared" si="7"/>
        <v>0</v>
      </c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9">
        <v>182515.0</v>
      </c>
      <c r="B443" s="9" t="s">
        <v>995</v>
      </c>
      <c r="C443" s="10" t="s">
        <v>996</v>
      </c>
      <c r="D443" s="11" t="s">
        <v>997</v>
      </c>
      <c r="E443" s="23" t="s">
        <v>994</v>
      </c>
      <c r="F443" s="13" t="str">
        <f t="array" ref="F443">INDEX(Turmas!D2:D106,MATCH(E45,Turmas!A2:A106,0))</f>
        <v>Noite</v>
      </c>
      <c r="G443" s="14">
        <v>0.0</v>
      </c>
      <c r="H443" s="15">
        <v>2.0</v>
      </c>
      <c r="I443" s="15">
        <v>0.0</v>
      </c>
      <c r="J443" s="15">
        <v>2.0</v>
      </c>
      <c r="K443" s="15">
        <f t="shared" si="1"/>
        <v>1</v>
      </c>
      <c r="L443" s="16" t="str">
        <f t="shared" si="2"/>
        <v>1-12</v>
      </c>
      <c r="M443" s="16" t="str">
        <f t="shared" si="3"/>
        <v>1-12</v>
      </c>
      <c r="N443" s="16" t="str">
        <f t="shared" si="4"/>
        <v>1-12</v>
      </c>
      <c r="O443" s="16" t="str">
        <f t="shared" si="5"/>
        <v>1-12</v>
      </c>
      <c r="P443" s="16" t="str">
        <f t="shared" si="6"/>
        <v>1-12</v>
      </c>
      <c r="Q443" s="16" t="str">
        <f t="shared" si="7"/>
        <v>0</v>
      </c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9">
        <v>182516.0</v>
      </c>
      <c r="B444" s="9" t="s">
        <v>998</v>
      </c>
      <c r="C444" s="10" t="s">
        <v>999</v>
      </c>
      <c r="D444" s="11" t="s">
        <v>1000</v>
      </c>
      <c r="E444" s="23" t="s">
        <v>994</v>
      </c>
      <c r="F444" s="13" t="str">
        <f t="array" ref="F444">INDEX(Turmas!D2:D106,MATCH(E46,Turmas!A2:A106,0))</f>
        <v>Noite</v>
      </c>
      <c r="G444" s="14">
        <v>0.0</v>
      </c>
      <c r="H444" s="15">
        <v>2.0</v>
      </c>
      <c r="I444" s="15">
        <v>0.0</v>
      </c>
      <c r="J444" s="15">
        <v>2.0</v>
      </c>
      <c r="K444" s="15">
        <f t="shared" si="1"/>
        <v>1</v>
      </c>
      <c r="L444" s="16" t="str">
        <f t="shared" si="2"/>
        <v>1-12</v>
      </c>
      <c r="M444" s="16" t="str">
        <f t="shared" si="3"/>
        <v>1-12</v>
      </c>
      <c r="N444" s="16" t="str">
        <f t="shared" si="4"/>
        <v>1-12</v>
      </c>
      <c r="O444" s="16" t="str">
        <f t="shared" si="5"/>
        <v>1-12</v>
      </c>
      <c r="P444" s="16" t="str">
        <f t="shared" si="6"/>
        <v>1-12</v>
      </c>
      <c r="Q444" s="16" t="str">
        <f t="shared" si="7"/>
        <v>0</v>
      </c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9">
        <v>182517.0</v>
      </c>
      <c r="B445" s="9" t="s">
        <v>1001</v>
      </c>
      <c r="C445" s="10" t="s">
        <v>167</v>
      </c>
      <c r="D445" s="11" t="s">
        <v>292</v>
      </c>
      <c r="E445" s="23" t="s">
        <v>994</v>
      </c>
      <c r="F445" s="13" t="str">
        <f t="array" ref="F445">INDEX(Turmas!D2:D106,MATCH(E47,Turmas!A2:A106,0))</f>
        <v>Noite</v>
      </c>
      <c r="G445" s="14">
        <v>0.0</v>
      </c>
      <c r="H445" s="15">
        <v>3.0</v>
      </c>
      <c r="I445" s="15">
        <v>0.0</v>
      </c>
      <c r="J445" s="15">
        <v>2.0</v>
      </c>
      <c r="K445" s="15">
        <f t="shared" si="1"/>
        <v>1</v>
      </c>
      <c r="L445" s="16" t="str">
        <f t="shared" si="2"/>
        <v>1-12</v>
      </c>
      <c r="M445" s="16" t="str">
        <f t="shared" si="3"/>
        <v>1-12</v>
      </c>
      <c r="N445" s="16" t="str">
        <f t="shared" si="4"/>
        <v>1-12</v>
      </c>
      <c r="O445" s="16" t="str">
        <f t="shared" si="5"/>
        <v>1-12</v>
      </c>
      <c r="P445" s="16" t="str">
        <f t="shared" si="6"/>
        <v>1-12</v>
      </c>
      <c r="Q445" s="16" t="str">
        <f t="shared" si="7"/>
        <v>0</v>
      </c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9">
        <v>182518.0</v>
      </c>
      <c r="B446" s="9" t="s">
        <v>1002</v>
      </c>
      <c r="C446" s="10" t="s">
        <v>1003</v>
      </c>
      <c r="D446" s="11" t="s">
        <v>335</v>
      </c>
      <c r="E446" s="23" t="s">
        <v>994</v>
      </c>
      <c r="F446" s="13" t="str">
        <f t="array" ref="F446">INDEX(Turmas!D2:D106,MATCH(E48,Turmas!A2:A106,0))</f>
        <v>Manhã</v>
      </c>
      <c r="G446" s="14">
        <v>0.0</v>
      </c>
      <c r="H446" s="15">
        <v>3.0</v>
      </c>
      <c r="I446" s="15">
        <v>0.0</v>
      </c>
      <c r="J446" s="15">
        <v>2.0</v>
      </c>
      <c r="K446" s="15">
        <f t="shared" si="1"/>
        <v>1</v>
      </c>
      <c r="L446" s="16" t="str">
        <f t="shared" si="2"/>
        <v>7-16</v>
      </c>
      <c r="M446" s="16" t="str">
        <f t="shared" si="3"/>
        <v>7-16</v>
      </c>
      <c r="N446" s="16" t="str">
        <f t="shared" si="4"/>
        <v>7-16</v>
      </c>
      <c r="O446" s="16" t="str">
        <f t="shared" si="5"/>
        <v>7-16</v>
      </c>
      <c r="P446" s="16" t="str">
        <f t="shared" si="6"/>
        <v>7-16</v>
      </c>
      <c r="Q446" s="16" t="str">
        <f t="shared" si="7"/>
        <v>1-16</v>
      </c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9">
        <v>182519.0</v>
      </c>
      <c r="B447" s="9" t="s">
        <v>1004</v>
      </c>
      <c r="C447" s="10" t="s">
        <v>1005</v>
      </c>
      <c r="D447" s="11" t="s">
        <v>455</v>
      </c>
      <c r="E447" s="23" t="s">
        <v>994</v>
      </c>
      <c r="F447" s="13" t="str">
        <f t="array" ref="F447">INDEX(Turmas!D2:D106,MATCH(E49,Turmas!A2:A106,0))</f>
        <v>Manhã</v>
      </c>
      <c r="G447" s="14">
        <v>0.0</v>
      </c>
      <c r="H447" s="15">
        <v>4.0</v>
      </c>
      <c r="I447" s="15">
        <v>0.0</v>
      </c>
      <c r="J447" s="15">
        <v>2.0</v>
      </c>
      <c r="K447" s="15">
        <f t="shared" si="1"/>
        <v>2</v>
      </c>
      <c r="L447" s="16" t="str">
        <f t="shared" si="2"/>
        <v>7-16</v>
      </c>
      <c r="M447" s="16" t="str">
        <f t="shared" si="3"/>
        <v>7-16</v>
      </c>
      <c r="N447" s="16" t="str">
        <f t="shared" si="4"/>
        <v>7-16</v>
      </c>
      <c r="O447" s="16" t="str">
        <f t="shared" si="5"/>
        <v>7-16</v>
      </c>
      <c r="P447" s="16" t="str">
        <f t="shared" si="6"/>
        <v>7-16</v>
      </c>
      <c r="Q447" s="16" t="str">
        <f t="shared" si="7"/>
        <v>1-16</v>
      </c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9">
        <v>182520.0</v>
      </c>
      <c r="B448" s="9" t="s">
        <v>1006</v>
      </c>
      <c r="C448" s="10" t="s">
        <v>1007</v>
      </c>
      <c r="D448" s="11" t="s">
        <v>1008</v>
      </c>
      <c r="E448" s="23" t="s">
        <v>1009</v>
      </c>
      <c r="F448" s="13" t="str">
        <f t="array" ref="F448">INDEX(Turmas!D2:D106,MATCH(E50,Turmas!A2:A106,0))</f>
        <v>Manhã</v>
      </c>
      <c r="G448" s="14">
        <v>0.0</v>
      </c>
      <c r="H448" s="15">
        <v>4.0</v>
      </c>
      <c r="I448" s="15">
        <v>0.0</v>
      </c>
      <c r="J448" s="15">
        <v>2.0</v>
      </c>
      <c r="K448" s="15">
        <f t="shared" si="1"/>
        <v>2</v>
      </c>
      <c r="L448" s="16" t="str">
        <f t="shared" si="2"/>
        <v>7-16</v>
      </c>
      <c r="M448" s="16" t="str">
        <f t="shared" si="3"/>
        <v>7-16</v>
      </c>
      <c r="N448" s="16" t="str">
        <f t="shared" si="4"/>
        <v>7-16</v>
      </c>
      <c r="O448" s="16" t="str">
        <f t="shared" si="5"/>
        <v>7-16</v>
      </c>
      <c r="P448" s="16" t="str">
        <f t="shared" si="6"/>
        <v>7-16</v>
      </c>
      <c r="Q448" s="16" t="str">
        <f t="shared" si="7"/>
        <v>1-16</v>
      </c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9">
        <v>182521.0</v>
      </c>
      <c r="B449" s="9" t="s">
        <v>1010</v>
      </c>
      <c r="C449" s="10" t="s">
        <v>1011</v>
      </c>
      <c r="D449" s="11" t="s">
        <v>388</v>
      </c>
      <c r="E449" s="23" t="s">
        <v>1009</v>
      </c>
      <c r="F449" s="13" t="str">
        <f t="array" ref="F449">INDEX(Turmas!D2:D106,MATCH(E51,Turmas!A2:A106,0))</f>
        <v>Manhã</v>
      </c>
      <c r="G449" s="14">
        <v>0.0</v>
      </c>
      <c r="H449" s="15">
        <v>2.0</v>
      </c>
      <c r="I449" s="15">
        <v>0.0</v>
      </c>
      <c r="J449" s="15">
        <v>2.0</v>
      </c>
      <c r="K449" s="15">
        <f t="shared" si="1"/>
        <v>1</v>
      </c>
      <c r="L449" s="16" t="str">
        <f t="shared" si="2"/>
        <v>7-16</v>
      </c>
      <c r="M449" s="16" t="str">
        <f t="shared" si="3"/>
        <v>7-16</v>
      </c>
      <c r="N449" s="16" t="str">
        <f t="shared" si="4"/>
        <v>7-16</v>
      </c>
      <c r="O449" s="16" t="str">
        <f t="shared" si="5"/>
        <v>7-16</v>
      </c>
      <c r="P449" s="16" t="str">
        <f t="shared" si="6"/>
        <v>7-16</v>
      </c>
      <c r="Q449" s="16" t="str">
        <f t="shared" si="7"/>
        <v>1-16</v>
      </c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9">
        <v>182522.0</v>
      </c>
      <c r="B450" s="9" t="s">
        <v>1012</v>
      </c>
      <c r="C450" s="10" t="s">
        <v>1013</v>
      </c>
      <c r="D450" s="11" t="s">
        <v>982</v>
      </c>
      <c r="E450" s="23" t="s">
        <v>1009</v>
      </c>
      <c r="F450" s="13" t="str">
        <f t="array" ref="F450">INDEX(Turmas!D2:D106,MATCH(E52,Turmas!A2:A106,0))</f>
        <v>Manhã</v>
      </c>
      <c r="G450" s="14">
        <v>0.0</v>
      </c>
      <c r="H450" s="15">
        <v>3.0</v>
      </c>
      <c r="I450" s="15">
        <v>0.0</v>
      </c>
      <c r="J450" s="15">
        <v>2.0</v>
      </c>
      <c r="K450" s="15">
        <f t="shared" si="1"/>
        <v>1</v>
      </c>
      <c r="L450" s="16" t="str">
        <f t="shared" si="2"/>
        <v>7-16</v>
      </c>
      <c r="M450" s="16" t="str">
        <f t="shared" si="3"/>
        <v>7-16</v>
      </c>
      <c r="N450" s="16" t="str">
        <f t="shared" si="4"/>
        <v>7-16</v>
      </c>
      <c r="O450" s="16" t="str">
        <f t="shared" si="5"/>
        <v>7-16</v>
      </c>
      <c r="P450" s="16" t="str">
        <f t="shared" si="6"/>
        <v>7-16</v>
      </c>
      <c r="Q450" s="16" t="str">
        <f t="shared" si="7"/>
        <v>1-16</v>
      </c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9">
        <v>182523.0</v>
      </c>
      <c r="B451" s="9" t="s">
        <v>1014</v>
      </c>
      <c r="C451" s="10" t="s">
        <v>1015</v>
      </c>
      <c r="D451" s="11" t="s">
        <v>1008</v>
      </c>
      <c r="E451" s="23" t="s">
        <v>1009</v>
      </c>
      <c r="F451" s="13" t="str">
        <f t="array" ref="F451">INDEX(Turmas!D2:D106,MATCH(E53,Turmas!A2:A106,0))</f>
        <v>Manhã</v>
      </c>
      <c r="G451" s="14">
        <v>0.0</v>
      </c>
      <c r="H451" s="15">
        <v>3.0</v>
      </c>
      <c r="I451" s="15">
        <v>0.0</v>
      </c>
      <c r="J451" s="15">
        <v>2.0</v>
      </c>
      <c r="K451" s="15">
        <f t="shared" si="1"/>
        <v>1</v>
      </c>
      <c r="L451" s="16" t="str">
        <f t="shared" si="2"/>
        <v>7-16</v>
      </c>
      <c r="M451" s="16" t="str">
        <f t="shared" si="3"/>
        <v>7-16</v>
      </c>
      <c r="N451" s="16" t="str">
        <f t="shared" si="4"/>
        <v>7-16</v>
      </c>
      <c r="O451" s="16" t="str">
        <f t="shared" si="5"/>
        <v>7-16</v>
      </c>
      <c r="P451" s="16" t="str">
        <f t="shared" si="6"/>
        <v>7-16</v>
      </c>
      <c r="Q451" s="16" t="str">
        <f t="shared" si="7"/>
        <v>1-16</v>
      </c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9">
        <v>182524.0</v>
      </c>
      <c r="B452" s="9" t="s">
        <v>1016</v>
      </c>
      <c r="C452" s="10" t="s">
        <v>1017</v>
      </c>
      <c r="D452" s="11" t="s">
        <v>1000</v>
      </c>
      <c r="E452" s="23" t="s">
        <v>1009</v>
      </c>
      <c r="F452" s="13" t="str">
        <f t="array" ref="F452">INDEX(Turmas!D2:D106,MATCH(E54,Turmas!A2:A106,0))</f>
        <v>Manhã</v>
      </c>
      <c r="G452" s="14">
        <v>0.0</v>
      </c>
      <c r="H452" s="15">
        <v>2.0</v>
      </c>
      <c r="I452" s="15">
        <v>0.0</v>
      </c>
      <c r="J452" s="15">
        <v>2.0</v>
      </c>
      <c r="K452" s="15">
        <f t="shared" si="1"/>
        <v>1</v>
      </c>
      <c r="L452" s="16" t="str">
        <f t="shared" si="2"/>
        <v>7-16</v>
      </c>
      <c r="M452" s="16" t="str">
        <f t="shared" si="3"/>
        <v>7-16</v>
      </c>
      <c r="N452" s="16" t="str">
        <f t="shared" si="4"/>
        <v>7-16</v>
      </c>
      <c r="O452" s="16" t="str">
        <f t="shared" si="5"/>
        <v>7-16</v>
      </c>
      <c r="P452" s="16" t="str">
        <f t="shared" si="6"/>
        <v>7-16</v>
      </c>
      <c r="Q452" s="16" t="str">
        <f t="shared" si="7"/>
        <v>1-16</v>
      </c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9">
        <v>182525.0</v>
      </c>
      <c r="B453" s="9" t="s">
        <v>1018</v>
      </c>
      <c r="C453" s="10" t="s">
        <v>1019</v>
      </c>
      <c r="D453" s="11" t="s">
        <v>134</v>
      </c>
      <c r="E453" s="23" t="s">
        <v>1009</v>
      </c>
      <c r="F453" s="13" t="str">
        <f t="array" ref="F453">INDEX(Turmas!D2:D106,MATCH(E55,Turmas!A2:A106,0))</f>
        <v>Manhã</v>
      </c>
      <c r="G453" s="14">
        <v>0.0</v>
      </c>
      <c r="H453" s="15">
        <v>2.0</v>
      </c>
      <c r="I453" s="15">
        <v>0.0</v>
      </c>
      <c r="J453" s="15">
        <v>2.0</v>
      </c>
      <c r="K453" s="15">
        <f t="shared" si="1"/>
        <v>1</v>
      </c>
      <c r="L453" s="16" t="str">
        <f t="shared" si="2"/>
        <v>7-16</v>
      </c>
      <c r="M453" s="16" t="str">
        <f t="shared" si="3"/>
        <v>7-16</v>
      </c>
      <c r="N453" s="16" t="str">
        <f t="shared" si="4"/>
        <v>7-16</v>
      </c>
      <c r="O453" s="16" t="str">
        <f t="shared" si="5"/>
        <v>7-16</v>
      </c>
      <c r="P453" s="16" t="str">
        <f t="shared" si="6"/>
        <v>7-16</v>
      </c>
      <c r="Q453" s="16" t="str">
        <f t="shared" si="7"/>
        <v>1-16</v>
      </c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9">
        <v>182526.0</v>
      </c>
      <c r="B454" s="9" t="s">
        <v>1020</v>
      </c>
      <c r="C454" s="10" t="s">
        <v>1021</v>
      </c>
      <c r="D454" s="11" t="s">
        <v>1022</v>
      </c>
      <c r="E454" s="23" t="s">
        <v>1009</v>
      </c>
      <c r="F454" s="13" t="str">
        <f t="array" ref="F454">INDEX(Turmas!D2:D106,MATCH(E56,Turmas!A2:A106,0))</f>
        <v>Manhã</v>
      </c>
      <c r="G454" s="14">
        <v>0.0</v>
      </c>
      <c r="H454" s="15">
        <v>4.0</v>
      </c>
      <c r="I454" s="15">
        <v>0.0</v>
      </c>
      <c r="J454" s="15">
        <v>2.0</v>
      </c>
      <c r="K454" s="15">
        <f t="shared" si="1"/>
        <v>2</v>
      </c>
      <c r="L454" s="16" t="str">
        <f t="shared" si="2"/>
        <v>7-16</v>
      </c>
      <c r="M454" s="16" t="str">
        <f t="shared" si="3"/>
        <v>7-16</v>
      </c>
      <c r="N454" s="16" t="str">
        <f t="shared" si="4"/>
        <v>7-16</v>
      </c>
      <c r="O454" s="16" t="str">
        <f t="shared" si="5"/>
        <v>7-16</v>
      </c>
      <c r="P454" s="16" t="str">
        <f t="shared" si="6"/>
        <v>7-16</v>
      </c>
      <c r="Q454" s="16" t="str">
        <f t="shared" si="7"/>
        <v>1-16</v>
      </c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9">
        <v>182527.0</v>
      </c>
      <c r="B455" s="9" t="s">
        <v>1023</v>
      </c>
      <c r="C455" s="10" t="s">
        <v>1024</v>
      </c>
      <c r="D455" s="11" t="s">
        <v>1008</v>
      </c>
      <c r="E455" s="23" t="s">
        <v>1025</v>
      </c>
      <c r="F455" s="13" t="str">
        <f t="array" ref="F455">INDEX(Turmas!D2:D106,MATCH(E57,Turmas!A2:A106,0))</f>
        <v>Manhã</v>
      </c>
      <c r="G455" s="14">
        <v>0.0</v>
      </c>
      <c r="H455" s="15">
        <v>3.0</v>
      </c>
      <c r="I455" s="15">
        <v>0.0</v>
      </c>
      <c r="J455" s="15">
        <v>2.0</v>
      </c>
      <c r="K455" s="15">
        <f t="shared" si="1"/>
        <v>1</v>
      </c>
      <c r="L455" s="16" t="str">
        <f t="shared" si="2"/>
        <v>7-16</v>
      </c>
      <c r="M455" s="16" t="str">
        <f t="shared" si="3"/>
        <v>7-16</v>
      </c>
      <c r="N455" s="16" t="str">
        <f t="shared" si="4"/>
        <v>7-16</v>
      </c>
      <c r="O455" s="16" t="str">
        <f t="shared" si="5"/>
        <v>7-16</v>
      </c>
      <c r="P455" s="16" t="str">
        <f t="shared" si="6"/>
        <v>7-16</v>
      </c>
      <c r="Q455" s="16" t="str">
        <f t="shared" si="7"/>
        <v>1-16</v>
      </c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9">
        <v>182533.0</v>
      </c>
      <c r="B456" s="9" t="s">
        <v>1026</v>
      </c>
      <c r="C456" s="10" t="s">
        <v>1027</v>
      </c>
      <c r="D456" s="11" t="s">
        <v>171</v>
      </c>
      <c r="E456" s="23" t="s">
        <v>1025</v>
      </c>
      <c r="F456" s="13" t="str">
        <f t="array" ref="F456">INDEX(Turmas!D2:D106,MATCH(E58,Turmas!A2:A106,0))</f>
        <v>Manhã</v>
      </c>
      <c r="G456" s="14">
        <v>0.0</v>
      </c>
      <c r="H456" s="15">
        <v>3.0</v>
      </c>
      <c r="I456" s="15">
        <v>0.0</v>
      </c>
      <c r="J456" s="15">
        <v>2.0</v>
      </c>
      <c r="K456" s="15">
        <f t="shared" si="1"/>
        <v>1</v>
      </c>
      <c r="L456" s="16" t="str">
        <f t="shared" si="2"/>
        <v>7-16</v>
      </c>
      <c r="M456" s="16" t="str">
        <f t="shared" si="3"/>
        <v>7-16</v>
      </c>
      <c r="N456" s="16" t="str">
        <f t="shared" si="4"/>
        <v>7-16</v>
      </c>
      <c r="O456" s="16" t="str">
        <f t="shared" si="5"/>
        <v>7-16</v>
      </c>
      <c r="P456" s="16" t="str">
        <f t="shared" si="6"/>
        <v>7-16</v>
      </c>
      <c r="Q456" s="16" t="str">
        <f t="shared" si="7"/>
        <v>1-16</v>
      </c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9">
        <v>182534.0</v>
      </c>
      <c r="B457" s="9" t="s">
        <v>1028</v>
      </c>
      <c r="C457" s="10" t="s">
        <v>1029</v>
      </c>
      <c r="D457" s="11" t="s">
        <v>23</v>
      </c>
      <c r="E457" s="23" t="s">
        <v>1025</v>
      </c>
      <c r="F457" s="13" t="str">
        <f t="array" ref="F457">INDEX(Turmas!D2:D106,MATCH(E59,Turmas!A2:A106,0))</f>
        <v>Tarde</v>
      </c>
      <c r="G457" s="14">
        <v>0.0</v>
      </c>
      <c r="H457" s="15">
        <v>3.0</v>
      </c>
      <c r="I457" s="15">
        <v>0.0</v>
      </c>
      <c r="J457" s="15">
        <v>2.0</v>
      </c>
      <c r="K457" s="15">
        <f t="shared" si="1"/>
        <v>1</v>
      </c>
      <c r="L457" s="16" t="str">
        <f t="shared" si="2"/>
        <v>1-6,13-16</v>
      </c>
      <c r="M457" s="16" t="str">
        <f t="shared" si="3"/>
        <v>1-6,13-16</v>
      </c>
      <c r="N457" s="16" t="str">
        <f t="shared" si="4"/>
        <v>1-6,13-16</v>
      </c>
      <c r="O457" s="16" t="str">
        <f t="shared" si="5"/>
        <v>1-6,13-16</v>
      </c>
      <c r="P457" s="16" t="str">
        <f t="shared" si="6"/>
        <v>1-6,13-16</v>
      </c>
      <c r="Q457" s="16" t="str">
        <f t="shared" si="7"/>
        <v>1-16</v>
      </c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9">
        <v>182543.0</v>
      </c>
      <c r="B458" s="9" t="s">
        <v>787</v>
      </c>
      <c r="C458" s="10" t="s">
        <v>309</v>
      </c>
      <c r="D458" s="11" t="s">
        <v>982</v>
      </c>
      <c r="E458" s="23" t="s">
        <v>1025</v>
      </c>
      <c r="F458" s="13" t="str">
        <f t="array" ref="F458">INDEX(Turmas!D2:D106,MATCH(E60,Turmas!A2:A106,0))</f>
        <v>Tarde</v>
      </c>
      <c r="G458" s="14">
        <v>0.0</v>
      </c>
      <c r="H458" s="15">
        <v>4.0</v>
      </c>
      <c r="I458" s="15">
        <v>0.0</v>
      </c>
      <c r="J458" s="15">
        <v>4.0</v>
      </c>
      <c r="K458" s="15">
        <f t="shared" si="1"/>
        <v>1</v>
      </c>
      <c r="L458" s="16" t="str">
        <f t="shared" si="2"/>
        <v>1-6,13-16</v>
      </c>
      <c r="M458" s="16" t="str">
        <f t="shared" si="3"/>
        <v>1-6,13-16</v>
      </c>
      <c r="N458" s="16" t="str">
        <f t="shared" si="4"/>
        <v>1-6,13-16</v>
      </c>
      <c r="O458" s="16" t="str">
        <f t="shared" si="5"/>
        <v>1-6,13-16</v>
      </c>
      <c r="P458" s="16" t="str">
        <f t="shared" si="6"/>
        <v>1-6,13-16</v>
      </c>
      <c r="Q458" s="16" t="str">
        <f t="shared" si="7"/>
        <v>1-16</v>
      </c>
      <c r="R458" s="17"/>
      <c r="S458" s="17"/>
      <c r="T458" s="17"/>
      <c r="U458" s="17"/>
      <c r="V458" s="17"/>
      <c r="W458" s="17"/>
      <c r="X458" s="17"/>
      <c r="Y458" s="17"/>
      <c r="Z458" s="17"/>
    </row>
  </sheetData>
  <autoFilter ref="$A$1:$Z$458"/>
  <conditionalFormatting sqref="L1:Q458">
    <cfRule type="expression" dxfId="0" priority="1">
      <formula>"F!1:999"</formula>
    </cfRule>
  </conditionalFormatting>
  <dataValidations>
    <dataValidation type="list" allowBlank="1" sqref="E2:E458">
      <formula1>Turmas!$A$2:$A$94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1030</v>
      </c>
      <c r="C1" s="29" t="s">
        <v>2</v>
      </c>
      <c r="D1" s="30" t="s">
        <v>11</v>
      </c>
      <c r="E1" s="30" t="s">
        <v>12</v>
      </c>
      <c r="F1" s="30" t="s">
        <v>13</v>
      </c>
      <c r="G1" s="30" t="s">
        <v>14</v>
      </c>
      <c r="H1" s="30" t="s">
        <v>15</v>
      </c>
      <c r="I1" s="30" t="s">
        <v>16</v>
      </c>
    </row>
    <row r="2" ht="14.25" customHeight="1">
      <c r="A2" s="14" t="s">
        <v>1031</v>
      </c>
      <c r="B2" s="13" t="s">
        <v>19</v>
      </c>
      <c r="C2" s="31" t="str">
        <f>IFERROR(__xludf.DUMMYFUNCTION("JOIN("","",FILTER(Disciplinas!A:A, regexmatch(Disciplinas!D:D, B2)))"),"183444,183710,183474,182574,182351,182447")</f>
        <v>183444,183710,183474,182574,182351,182447</v>
      </c>
      <c r="D2" s="32" t="s">
        <v>1032</v>
      </c>
      <c r="E2" s="32" t="s">
        <v>1032</v>
      </c>
      <c r="F2" s="32" t="s">
        <v>1032</v>
      </c>
      <c r="G2" s="32" t="s">
        <v>1032</v>
      </c>
      <c r="H2" s="32" t="s">
        <v>1032</v>
      </c>
      <c r="I2" s="32" t="s">
        <v>1032</v>
      </c>
    </row>
    <row r="3" ht="14.25" customHeight="1">
      <c r="A3" s="14" t="s">
        <v>1033</v>
      </c>
      <c r="B3" s="13" t="s">
        <v>23</v>
      </c>
      <c r="C3" s="31" t="str">
        <f>IFERROR(__xludf.DUMMYFUNCTION("JOIN("","",FILTER(Disciplinas!A:A, regexmatch(Disciplinas!D:D, B3)))"),"183441,183450,184649,182305,182534")</f>
        <v>183441,183450,184649,182305,182534</v>
      </c>
      <c r="D3" s="32" t="s">
        <v>1032</v>
      </c>
      <c r="E3" s="32" t="s">
        <v>1032</v>
      </c>
      <c r="F3" s="32" t="s">
        <v>1032</v>
      </c>
      <c r="G3" s="32" t="s">
        <v>1032</v>
      </c>
      <c r="H3" s="32" t="s">
        <v>1032</v>
      </c>
      <c r="I3" s="32" t="s">
        <v>1032</v>
      </c>
    </row>
    <row r="4" ht="14.25" customHeight="1">
      <c r="A4" s="14" t="s">
        <v>1034</v>
      </c>
      <c r="B4" s="13" t="s">
        <v>26</v>
      </c>
      <c r="C4" s="31" t="str">
        <f>IFERROR(__xludf.DUMMYFUNCTION("JOIN("","",FILTER(Disciplinas!A:A, regexmatch(Disciplinas!D:D, B4)))"),"183439,182282,182432")</f>
        <v>183439,182282,182432</v>
      </c>
      <c r="D4" s="32" t="s">
        <v>1032</v>
      </c>
      <c r="E4" s="32" t="s">
        <v>1032</v>
      </c>
      <c r="F4" s="32" t="s">
        <v>1032</v>
      </c>
      <c r="G4" s="32" t="s">
        <v>1032</v>
      </c>
      <c r="H4" s="32" t="s">
        <v>1032</v>
      </c>
      <c r="I4" s="32" t="s">
        <v>1032</v>
      </c>
    </row>
    <row r="5" ht="14.25" customHeight="1">
      <c r="A5" s="14" t="s">
        <v>1035</v>
      </c>
      <c r="B5" s="17" t="s">
        <v>29</v>
      </c>
      <c r="C5" s="31" t="str">
        <f>IFERROR(__xludf.DUMMYFUNCTION("JOIN("","",FILTER(Disciplinas!A:A, regexmatch(Disciplinas!D:D, B5)))"),"183445,182299,182288,182571")</f>
        <v>183445,182299,182288,182571</v>
      </c>
      <c r="D5" s="32" t="s">
        <v>1032</v>
      </c>
      <c r="E5" s="32" t="s">
        <v>1032</v>
      </c>
      <c r="F5" s="32" t="s">
        <v>1032</v>
      </c>
      <c r="G5" s="32" t="s">
        <v>1032</v>
      </c>
      <c r="H5" s="32" t="s">
        <v>1032</v>
      </c>
      <c r="I5" s="32" t="s">
        <v>1032</v>
      </c>
    </row>
    <row r="6" ht="14.25" customHeight="1">
      <c r="A6" s="14" t="s">
        <v>1036</v>
      </c>
      <c r="B6" s="33" t="s">
        <v>32</v>
      </c>
      <c r="C6" s="31" t="str">
        <f>IFERROR(__xludf.DUMMYFUNCTION("JOIN("","",FILTER(Disciplinas!A:A, regexmatch(Disciplinas!D:D, B6)))"),"183442,183440,183451")</f>
        <v>183442,183440,183451</v>
      </c>
      <c r="D6" s="32" t="s">
        <v>1032</v>
      </c>
      <c r="E6" s="32" t="s">
        <v>1032</v>
      </c>
      <c r="F6" s="32" t="s">
        <v>1032</v>
      </c>
      <c r="G6" s="32" t="s">
        <v>1032</v>
      </c>
      <c r="H6" s="32" t="s">
        <v>1032</v>
      </c>
      <c r="I6" s="32" t="s">
        <v>1032</v>
      </c>
    </row>
    <row r="7" ht="14.25" customHeight="1">
      <c r="A7" s="14" t="s">
        <v>1037</v>
      </c>
      <c r="B7" s="17" t="s">
        <v>35</v>
      </c>
      <c r="C7" s="31" t="str">
        <f>IFERROR(__xludf.DUMMYFUNCTION("JOIN("","",FILTER(Disciplinas!A:A, regexmatch(Disciplinas!D:D, B7)))"),"183443,183501")</f>
        <v>183443,183501</v>
      </c>
      <c r="D7" s="32" t="s">
        <v>1032</v>
      </c>
      <c r="E7" s="32" t="s">
        <v>1032</v>
      </c>
      <c r="F7" s="32" t="s">
        <v>1032</v>
      </c>
      <c r="G7" s="32" t="s">
        <v>1032</v>
      </c>
      <c r="H7" s="32" t="s">
        <v>1032</v>
      </c>
      <c r="I7" s="32" t="s">
        <v>1032</v>
      </c>
    </row>
    <row r="8" ht="14.25" customHeight="1">
      <c r="A8" s="14" t="s">
        <v>1038</v>
      </c>
      <c r="B8" s="17" t="s">
        <v>40</v>
      </c>
      <c r="C8" s="31" t="str">
        <f>IFERROR(__xludf.DUMMYFUNCTION("JOIN("","",FILTER(Disciplinas!A:A, regexmatch(Disciplinas!D:D, B8)))"),"183447,183699,182295,183497,183503")</f>
        <v>183447,183699,182295,183497,183503</v>
      </c>
      <c r="D8" s="32" t="s">
        <v>1032</v>
      </c>
      <c r="E8" s="32" t="s">
        <v>1032</v>
      </c>
      <c r="F8" s="32" t="s">
        <v>1032</v>
      </c>
      <c r="G8" s="32" t="s">
        <v>1032</v>
      </c>
      <c r="H8" s="32" t="s">
        <v>1032</v>
      </c>
      <c r="I8" s="32" t="s">
        <v>1032</v>
      </c>
    </row>
    <row r="9" ht="14.25" customHeight="1">
      <c r="A9" s="14" t="s">
        <v>1039</v>
      </c>
      <c r="B9" s="17" t="s">
        <v>46</v>
      </c>
      <c r="C9" s="31" t="str">
        <f>IFERROR(__xludf.DUMMYFUNCTION("JOIN("","",FILTER(Disciplinas!A:A, regexmatch(Disciplinas!D:D, B9)))"),"183448,182291,182455")</f>
        <v>183448,182291,182455</v>
      </c>
      <c r="D9" s="32" t="s">
        <v>1032</v>
      </c>
      <c r="E9" s="32" t="s">
        <v>1032</v>
      </c>
      <c r="F9" s="32" t="s">
        <v>1032</v>
      </c>
      <c r="G9" s="32" t="s">
        <v>1032</v>
      </c>
      <c r="H9" s="32" t="s">
        <v>1032</v>
      </c>
      <c r="I9" s="32" t="s">
        <v>1032</v>
      </c>
    </row>
    <row r="10" ht="14.25" customHeight="1">
      <c r="A10" s="14" t="s">
        <v>1040</v>
      </c>
      <c r="B10" s="17" t="s">
        <v>53</v>
      </c>
      <c r="C10" s="31" t="str">
        <f>IFERROR(__xludf.DUMMYFUNCTION("JOIN("","",FILTER(Disciplinas!A:A, regexmatch(Disciplinas!D:D, B10)))"),"183446,182294,182308")</f>
        <v>183446,182294,182308</v>
      </c>
      <c r="D10" s="32" t="s">
        <v>1032</v>
      </c>
      <c r="E10" s="32" t="s">
        <v>1032</v>
      </c>
      <c r="F10" s="32" t="s">
        <v>1032</v>
      </c>
      <c r="G10" s="32" t="s">
        <v>1032</v>
      </c>
      <c r="H10" s="32" t="s">
        <v>1032</v>
      </c>
      <c r="I10" s="32" t="s">
        <v>1032</v>
      </c>
    </row>
    <row r="11" ht="14.25" customHeight="1">
      <c r="A11" s="14" t="s">
        <v>1041</v>
      </c>
      <c r="B11" s="17" t="s">
        <v>56</v>
      </c>
      <c r="C11" s="31" t="str">
        <f>IFERROR(__xludf.DUMMYFUNCTION("JOIN("","",FILTER(Disciplinas!A:A, regexmatch(Disciplinas!D:D, B11)))"),"183449,183507,183530")</f>
        <v>183449,183507,183530</v>
      </c>
      <c r="D11" s="32" t="s">
        <v>1032</v>
      </c>
      <c r="E11" s="32" t="s">
        <v>1032</v>
      </c>
      <c r="F11" s="32" t="s">
        <v>1032</v>
      </c>
      <c r="G11" s="32" t="s">
        <v>1032</v>
      </c>
      <c r="H11" s="32" t="s">
        <v>1032</v>
      </c>
      <c r="I11" s="32" t="s">
        <v>1032</v>
      </c>
    </row>
    <row r="12" ht="14.25" customHeight="1">
      <c r="A12" s="14" t="s">
        <v>1042</v>
      </c>
      <c r="B12" s="17" t="s">
        <v>59</v>
      </c>
      <c r="C12" s="31" t="str">
        <f>IFERROR(__xludf.DUMMYFUNCTION("JOIN("","",FILTER(Disciplinas!A:A, regexmatch(Disciplinas!D:D, B12)))"),"183676,183703,182292,183895,183534")</f>
        <v>183676,183703,182292,183895,183534</v>
      </c>
      <c r="D12" s="32" t="s">
        <v>1032</v>
      </c>
      <c r="E12" s="32" t="s">
        <v>1032</v>
      </c>
      <c r="F12" s="32" t="s">
        <v>1032</v>
      </c>
      <c r="G12" s="32" t="s">
        <v>1032</v>
      </c>
      <c r="H12" s="32" t="s">
        <v>1032</v>
      </c>
      <c r="I12" s="32" t="s">
        <v>1032</v>
      </c>
    </row>
    <row r="13" ht="14.25" customHeight="1">
      <c r="A13" s="14" t="s">
        <v>1043</v>
      </c>
      <c r="B13" s="33" t="s">
        <v>63</v>
      </c>
      <c r="C13" s="31" t="str">
        <f>IFERROR(__xludf.DUMMYFUNCTION("JOIN("","",FILTER(Disciplinas!A:A, regexmatch(Disciplinas!D:D, B13)))"),"183679,183680,183686,182331,183736")</f>
        <v>183679,183680,183686,182331,183736</v>
      </c>
      <c r="D13" s="32" t="s">
        <v>1032</v>
      </c>
      <c r="E13" s="32" t="s">
        <v>1032</v>
      </c>
      <c r="F13" s="32" t="s">
        <v>1032</v>
      </c>
      <c r="G13" s="32" t="s">
        <v>1032</v>
      </c>
      <c r="H13" s="32" t="s">
        <v>1032</v>
      </c>
      <c r="I13" s="32" t="s">
        <v>1032</v>
      </c>
    </row>
    <row r="14" ht="14.25" customHeight="1">
      <c r="A14" s="14" t="s">
        <v>1044</v>
      </c>
      <c r="B14" s="33" t="s">
        <v>71</v>
      </c>
      <c r="C14" s="31" t="str">
        <f>IFERROR(__xludf.DUMMYFUNCTION("JOIN("","",FILTER(Disciplinas!A:A, regexmatch(Disciplinas!D:D, B14)))"),"183712,183489,182314,183723,183522")</f>
        <v>183712,183489,182314,183723,183522</v>
      </c>
      <c r="D14" s="32" t="s">
        <v>1032</v>
      </c>
      <c r="E14" s="32" t="s">
        <v>1032</v>
      </c>
      <c r="F14" s="32" t="s">
        <v>1032</v>
      </c>
      <c r="G14" s="32" t="s">
        <v>1032</v>
      </c>
      <c r="H14" s="32" t="s">
        <v>1032</v>
      </c>
      <c r="I14" s="32" t="s">
        <v>1032</v>
      </c>
    </row>
    <row r="15" ht="14.25" customHeight="1">
      <c r="A15" s="14" t="s">
        <v>1045</v>
      </c>
      <c r="B15" s="33" t="s">
        <v>80</v>
      </c>
      <c r="C15" s="31" t="str">
        <f>IFERROR(__xludf.DUMMYFUNCTION("JOIN("","",FILTER(Disciplinas!A:A, regexmatch(Disciplinas!D:D, B15)))"),"183705,182265,182454,183524,183525")</f>
        <v>183705,182265,182454,183524,183525</v>
      </c>
      <c r="D15" s="32" t="s">
        <v>1032</v>
      </c>
      <c r="E15" s="32" t="s">
        <v>1032</v>
      </c>
      <c r="F15" s="32" t="s">
        <v>1032</v>
      </c>
      <c r="G15" s="32" t="s">
        <v>1032</v>
      </c>
      <c r="H15" s="32" t="s">
        <v>1032</v>
      </c>
      <c r="I15" s="32" t="s">
        <v>1032</v>
      </c>
    </row>
    <row r="16" ht="14.25" customHeight="1">
      <c r="A16" s="14" t="s">
        <v>1046</v>
      </c>
      <c r="B16" s="33" t="s">
        <v>83</v>
      </c>
      <c r="C16" s="31" t="str">
        <f>IFERROR(__xludf.DUMMYFUNCTION("JOIN("","",FILTER(Disciplinas!A:A, regexmatch(Disciplinas!D:D, B16)))"),"183711,183475,183519,183531")</f>
        <v>183711,183475,183519,183531</v>
      </c>
      <c r="D16" s="32" t="s">
        <v>1032</v>
      </c>
      <c r="E16" s="32" t="s">
        <v>1032</v>
      </c>
      <c r="F16" s="32" t="s">
        <v>1032</v>
      </c>
      <c r="G16" s="32" t="s">
        <v>1032</v>
      </c>
      <c r="H16" s="32" t="s">
        <v>1032</v>
      </c>
      <c r="I16" s="32" t="s">
        <v>1032</v>
      </c>
    </row>
    <row r="17" ht="14.25" customHeight="1">
      <c r="A17" s="14" t="s">
        <v>1047</v>
      </c>
      <c r="B17" s="33" t="s">
        <v>89</v>
      </c>
      <c r="C17" s="31" t="str">
        <f>IFERROR(__xludf.DUMMYFUNCTION("JOIN("","",FILTER(Disciplinas!A:A, regexmatch(Disciplinas!D:D, B17)))"),"182290,182304,183914,183916")</f>
        <v>182290,182304,183914,183916</v>
      </c>
      <c r="D17" s="32" t="s">
        <v>1032</v>
      </c>
      <c r="E17" s="32" t="s">
        <v>1032</v>
      </c>
      <c r="F17" s="32" t="s">
        <v>1032</v>
      </c>
      <c r="G17" s="32" t="s">
        <v>1032</v>
      </c>
      <c r="H17" s="32" t="s">
        <v>1032</v>
      </c>
      <c r="I17" s="32" t="s">
        <v>1032</v>
      </c>
    </row>
    <row r="18" ht="14.25" customHeight="1">
      <c r="A18" s="14" t="s">
        <v>1048</v>
      </c>
      <c r="B18" s="33" t="s">
        <v>97</v>
      </c>
      <c r="C18" s="31" t="str">
        <f>IFERROR(__xludf.DUMMYFUNCTION("JOIN("","",FILTER(Disciplinas!A:A, regexmatch(Disciplinas!D:D, B18)))"),"182293,183410,182356")</f>
        <v>182293,183410,182356</v>
      </c>
      <c r="D18" s="32" t="s">
        <v>1032</v>
      </c>
      <c r="E18" s="32" t="s">
        <v>1032</v>
      </c>
      <c r="F18" s="32" t="s">
        <v>1032</v>
      </c>
      <c r="G18" s="32" t="s">
        <v>1032</v>
      </c>
      <c r="H18" s="32" t="s">
        <v>1032</v>
      </c>
      <c r="I18" s="32" t="s">
        <v>1032</v>
      </c>
    </row>
    <row r="19" ht="14.25" customHeight="1">
      <c r="A19" s="14" t="s">
        <v>1049</v>
      </c>
      <c r="B19" s="33" t="s">
        <v>105</v>
      </c>
      <c r="C19" s="31" t="str">
        <f>IFERROR(__xludf.DUMMYFUNCTION("JOIN("","",FILTER(Disciplinas!A:A, regexmatch(Disciplinas!D:D, B19)))"),"182296,182301,183538")</f>
        <v>182296,182301,183538</v>
      </c>
      <c r="D19" s="32" t="s">
        <v>1032</v>
      </c>
      <c r="E19" s="32" t="s">
        <v>1032</v>
      </c>
      <c r="F19" s="32" t="s">
        <v>1032</v>
      </c>
      <c r="G19" s="32" t="s">
        <v>1032</v>
      </c>
      <c r="H19" s="32" t="s">
        <v>1032</v>
      </c>
      <c r="I19" s="32" t="s">
        <v>1032</v>
      </c>
    </row>
    <row r="20" ht="14.25" customHeight="1">
      <c r="A20" s="14" t="s">
        <v>1050</v>
      </c>
      <c r="B20" s="33" t="s">
        <v>108</v>
      </c>
      <c r="C20" s="31" t="str">
        <f>IFERROR(__xludf.DUMMYFUNCTION("JOIN("","",FILTER(Disciplinas!A:A, regexmatch(Disciplinas!D:D, B20)))"),"182298")</f>
        <v>182298</v>
      </c>
      <c r="D20" s="32" t="s">
        <v>1032</v>
      </c>
      <c r="E20" s="32" t="s">
        <v>1032</v>
      </c>
      <c r="F20" s="32" t="s">
        <v>1032</v>
      </c>
      <c r="G20" s="32" t="s">
        <v>1032</v>
      </c>
      <c r="H20" s="32" t="s">
        <v>1032</v>
      </c>
      <c r="I20" s="32" t="s">
        <v>1032</v>
      </c>
    </row>
    <row r="21" ht="14.25" customHeight="1">
      <c r="A21" s="14" t="s">
        <v>1051</v>
      </c>
      <c r="B21" s="33" t="s">
        <v>113</v>
      </c>
      <c r="C21" s="31" t="str">
        <f>IFERROR(__xludf.DUMMYFUNCTION("JOIN("","",FILTER(Disciplinas!A:A, regexmatch(Disciplinas!D:D, B21)))"),"182297,182303,183789")</f>
        <v>182297,182303,183789</v>
      </c>
      <c r="D21" s="32" t="s">
        <v>1032</v>
      </c>
      <c r="E21" s="32" t="s">
        <v>1032</v>
      </c>
      <c r="F21" s="32" t="s">
        <v>1032</v>
      </c>
      <c r="G21" s="32" t="s">
        <v>1032</v>
      </c>
      <c r="H21" s="32" t="s">
        <v>1032</v>
      </c>
      <c r="I21" s="32" t="s">
        <v>1032</v>
      </c>
    </row>
    <row r="22" ht="14.25" customHeight="1">
      <c r="A22" s="14" t="s">
        <v>1052</v>
      </c>
      <c r="B22" s="33" t="s">
        <v>116</v>
      </c>
      <c r="C22" s="31" t="str">
        <f>IFERROR(__xludf.DUMMYFUNCTION("JOIN("","",FILTER(Disciplinas!A:A, regexmatch(Disciplinas!D:D, B22)))"),"182300,182302,182431,182383")</f>
        <v>182300,182302,182431,182383</v>
      </c>
      <c r="D22" s="32" t="s">
        <v>1032</v>
      </c>
      <c r="E22" s="32" t="s">
        <v>1032</v>
      </c>
      <c r="F22" s="32" t="s">
        <v>1032</v>
      </c>
      <c r="G22" s="32" t="s">
        <v>1032</v>
      </c>
      <c r="H22" s="32" t="s">
        <v>1032</v>
      </c>
      <c r="I22" s="32" t="s">
        <v>1032</v>
      </c>
    </row>
    <row r="23" ht="14.25" customHeight="1">
      <c r="A23" s="14" t="s">
        <v>1053</v>
      </c>
      <c r="B23" s="33" t="s">
        <v>128</v>
      </c>
      <c r="C23" s="31" t="str">
        <f>IFERROR(__xludf.DUMMYFUNCTION("JOIN("","",FILTER(Disciplinas!A:A, regexmatch(Disciplinas!D:D, B23)))"),"182306,183506")</f>
        <v>182306,183506</v>
      </c>
      <c r="D23" s="32" t="s">
        <v>1032</v>
      </c>
      <c r="E23" s="32" t="s">
        <v>1032</v>
      </c>
      <c r="F23" s="32" t="s">
        <v>1032</v>
      </c>
      <c r="G23" s="32" t="s">
        <v>1032</v>
      </c>
      <c r="H23" s="32" t="s">
        <v>1032</v>
      </c>
      <c r="I23" s="32" t="s">
        <v>1032</v>
      </c>
    </row>
    <row r="24" ht="14.25" customHeight="1">
      <c r="A24" s="14" t="s">
        <v>1054</v>
      </c>
      <c r="B24" s="33" t="s">
        <v>134</v>
      </c>
      <c r="C24" s="31" t="str">
        <f>IFERROR(__xludf.DUMMYFUNCTION("JOIN("","",FILTER(Disciplinas!A:A, regexmatch(Disciplinas!D:D, B24)))"),"182307,182525")</f>
        <v>182307,182525</v>
      </c>
      <c r="D24" s="32" t="s">
        <v>1032</v>
      </c>
      <c r="E24" s="32" t="s">
        <v>1032</v>
      </c>
      <c r="F24" s="32" t="s">
        <v>1032</v>
      </c>
      <c r="G24" s="32" t="s">
        <v>1032</v>
      </c>
      <c r="H24" s="32" t="s">
        <v>1032</v>
      </c>
      <c r="I24" s="32" t="s">
        <v>1032</v>
      </c>
    </row>
    <row r="25" ht="14.25" customHeight="1">
      <c r="A25" s="14" t="s">
        <v>1055</v>
      </c>
      <c r="B25" s="33" t="s">
        <v>146</v>
      </c>
      <c r="C25" s="31" t="str">
        <f>IFERROR(__xludf.DUMMYFUNCTION("JOIN("","",FILTER(Disciplinas!A:A, regexmatch(Disciplinas!D:D, B25)))"),"183454,183465,182248,182328,183744")</f>
        <v>183454,183465,182248,182328,183744</v>
      </c>
      <c r="D25" s="32" t="s">
        <v>1032</v>
      </c>
      <c r="E25" s="32" t="s">
        <v>1032</v>
      </c>
      <c r="F25" s="32" t="s">
        <v>1032</v>
      </c>
      <c r="G25" s="32" t="s">
        <v>1032</v>
      </c>
      <c r="H25" s="32" t="s">
        <v>1032</v>
      </c>
      <c r="I25" s="32" t="s">
        <v>1032</v>
      </c>
    </row>
    <row r="26" ht="14.25" customHeight="1">
      <c r="A26" s="14" t="s">
        <v>1056</v>
      </c>
      <c r="B26" s="33" t="s">
        <v>150</v>
      </c>
      <c r="C26" s="31" t="str">
        <f>IFERROR(__xludf.DUMMYFUNCTION("JOIN("","",FILTER(Disciplinas!A:A, regexmatch(Disciplinas!D:D, B26)))"),"183453,183458,183464")</f>
        <v>183453,183458,183464</v>
      </c>
      <c r="D26" s="32" t="s">
        <v>1032</v>
      </c>
      <c r="E26" s="32" t="s">
        <v>1032</v>
      </c>
      <c r="F26" s="32" t="s">
        <v>1032</v>
      </c>
      <c r="G26" s="32" t="s">
        <v>1032</v>
      </c>
      <c r="H26" s="32" t="s">
        <v>1032</v>
      </c>
      <c r="I26" s="32" t="s">
        <v>1032</v>
      </c>
    </row>
    <row r="27" ht="14.25" customHeight="1">
      <c r="A27" s="14" t="s">
        <v>1057</v>
      </c>
      <c r="B27" s="33" t="s">
        <v>153</v>
      </c>
      <c r="C27" s="31" t="str">
        <f>IFERROR(__xludf.DUMMYFUNCTION("JOIN("","",FILTER(Disciplinas!A:A, regexmatch(Disciplinas!D:D, B27)))"),"183456,183467,182273,183931,182503")</f>
        <v>183456,183467,182273,183931,182503</v>
      </c>
      <c r="D27" s="32" t="s">
        <v>1032</v>
      </c>
      <c r="E27" s="32" t="s">
        <v>1032</v>
      </c>
      <c r="F27" s="32" t="s">
        <v>1032</v>
      </c>
      <c r="G27" s="32" t="s">
        <v>1032</v>
      </c>
      <c r="H27" s="32" t="s">
        <v>1032</v>
      </c>
      <c r="I27" s="32" t="s">
        <v>1032</v>
      </c>
    </row>
    <row r="28" ht="14.25" customHeight="1">
      <c r="A28" s="14" t="s">
        <v>1058</v>
      </c>
      <c r="B28" s="33" t="s">
        <v>156</v>
      </c>
      <c r="C28" s="31" t="str">
        <f>IFERROR(__xludf.DUMMYFUNCTION("JOIN("","",FILTER(Disciplinas!A:A, regexmatch(Disciplinas!D:D, B28)))"),"183452,183463,183520,183537")</f>
        <v>183452,183463,183520,183537</v>
      </c>
      <c r="D28" s="32" t="s">
        <v>1032</v>
      </c>
      <c r="E28" s="32" t="s">
        <v>1032</v>
      </c>
      <c r="F28" s="32" t="s">
        <v>1032</v>
      </c>
      <c r="G28" s="32" t="s">
        <v>1032</v>
      </c>
      <c r="H28" s="32" t="s">
        <v>1032</v>
      </c>
      <c r="I28" s="32" t="s">
        <v>1032</v>
      </c>
    </row>
    <row r="29" ht="14.25" customHeight="1">
      <c r="A29" s="14" t="s">
        <v>1059</v>
      </c>
      <c r="B29" s="33" t="s">
        <v>159</v>
      </c>
      <c r="C29" s="31" t="str">
        <f>IFERROR(__xludf.DUMMYFUNCTION("JOIN("","",FILTER(Disciplinas!A:A, regexmatch(Disciplinas!D:D, B29)))"),"183455,183466,183793,183811,183510")</f>
        <v>183455,183466,183793,183811,183510</v>
      </c>
      <c r="D29" s="32" t="s">
        <v>1032</v>
      </c>
      <c r="E29" s="32" t="s">
        <v>1032</v>
      </c>
      <c r="F29" s="32" t="s">
        <v>1032</v>
      </c>
      <c r="G29" s="32" t="s">
        <v>1032</v>
      </c>
      <c r="H29" s="32" t="s">
        <v>1032</v>
      </c>
      <c r="I29" s="32" t="s">
        <v>1032</v>
      </c>
    </row>
    <row r="30" ht="14.25" customHeight="1">
      <c r="A30" s="14" t="s">
        <v>1060</v>
      </c>
      <c r="B30" s="33" t="s">
        <v>162</v>
      </c>
      <c r="C30" s="31" t="str">
        <f>IFERROR(__xludf.DUMMYFUNCTION("JOIN("","",FILTER(Disciplinas!A:A, regexmatch(Disciplinas!D:D, B30)))"),"183457,183468,182277")</f>
        <v>183457,183468,182277</v>
      </c>
      <c r="D30" s="32" t="s">
        <v>1032</v>
      </c>
      <c r="E30" s="32" t="s">
        <v>1032</v>
      </c>
      <c r="F30" s="32" t="s">
        <v>1032</v>
      </c>
      <c r="G30" s="32" t="s">
        <v>1032</v>
      </c>
      <c r="H30" s="32" t="s">
        <v>1032</v>
      </c>
      <c r="I30" s="32" t="s">
        <v>1032</v>
      </c>
    </row>
    <row r="31" ht="14.25" customHeight="1">
      <c r="A31" s="14" t="s">
        <v>1061</v>
      </c>
      <c r="B31" s="33" t="s">
        <v>168</v>
      </c>
      <c r="C31" s="31" t="str">
        <f>IFERROR(__xludf.DUMMYFUNCTION("JOIN("","",FILTER(Disciplinas!A:A, regexmatch(Disciplinas!D:D, B31)))"),"183459,183470,182371")</f>
        <v>183459,183470,182371</v>
      </c>
      <c r="D31" s="32" t="s">
        <v>1032</v>
      </c>
      <c r="E31" s="32" t="s">
        <v>1032</v>
      </c>
      <c r="F31" s="32" t="s">
        <v>1032</v>
      </c>
      <c r="G31" s="32" t="s">
        <v>1032</v>
      </c>
      <c r="H31" s="32" t="s">
        <v>1032</v>
      </c>
      <c r="I31" s="32" t="s">
        <v>1032</v>
      </c>
    </row>
    <row r="32" ht="14.25" customHeight="1">
      <c r="A32" s="14" t="s">
        <v>1062</v>
      </c>
      <c r="B32" s="33" t="s">
        <v>171</v>
      </c>
      <c r="C32" s="31" t="str">
        <f>IFERROR(__xludf.DUMMYFUNCTION("JOIN("","",FILTER(Disciplinas!A:A, regexmatch(Disciplinas!D:D, B32)))"),"183461,183472,182533")</f>
        <v>183461,183472,182533</v>
      </c>
      <c r="D32" s="32" t="s">
        <v>1032</v>
      </c>
      <c r="E32" s="32" t="s">
        <v>1032</v>
      </c>
      <c r="F32" s="32" t="s">
        <v>1032</v>
      </c>
      <c r="G32" s="32" t="s">
        <v>1032</v>
      </c>
      <c r="H32" s="32" t="s">
        <v>1032</v>
      </c>
      <c r="I32" s="32" t="s">
        <v>1032</v>
      </c>
    </row>
    <row r="33" ht="14.25" customHeight="1">
      <c r="A33" s="14" t="s">
        <v>1063</v>
      </c>
      <c r="B33" s="33" t="s">
        <v>174</v>
      </c>
      <c r="C33" s="31" t="str">
        <f>IFERROR(__xludf.DUMMYFUNCTION("JOIN("","",FILTER(Disciplinas!A:A, regexmatch(Disciplinas!D:D, B33)))"),"183460,183471,182353,182366")</f>
        <v>183460,183471,182353,182366</v>
      </c>
      <c r="D33" s="32" t="s">
        <v>1032</v>
      </c>
      <c r="E33" s="32" t="s">
        <v>1032</v>
      </c>
      <c r="F33" s="32" t="s">
        <v>1032</v>
      </c>
      <c r="G33" s="32" t="s">
        <v>1032</v>
      </c>
      <c r="H33" s="32" t="s">
        <v>1032</v>
      </c>
      <c r="I33" s="32" t="s">
        <v>1032</v>
      </c>
    </row>
    <row r="34" ht="14.25" customHeight="1">
      <c r="A34" s="14" t="s">
        <v>1064</v>
      </c>
      <c r="B34" s="33" t="s">
        <v>177</v>
      </c>
      <c r="C34" s="31" t="str">
        <f>IFERROR(__xludf.DUMMYFUNCTION("JOIN("","",FILTER(Disciplinas!A:A, regexmatch(Disciplinas!D:D, B34)))"),"183462,183473,182266,183810")</f>
        <v>183462,183473,182266,183810</v>
      </c>
      <c r="D34" s="32" t="s">
        <v>1032</v>
      </c>
      <c r="E34" s="32" t="s">
        <v>1032</v>
      </c>
      <c r="F34" s="32" t="s">
        <v>1032</v>
      </c>
      <c r="G34" s="32" t="s">
        <v>1032</v>
      </c>
      <c r="H34" s="32" t="s">
        <v>1032</v>
      </c>
      <c r="I34" s="32" t="s">
        <v>1032</v>
      </c>
    </row>
    <row r="35" ht="14.25" customHeight="1">
      <c r="A35" s="14" t="s">
        <v>1065</v>
      </c>
      <c r="B35" s="33" t="s">
        <v>180</v>
      </c>
      <c r="C35" s="31" t="str">
        <f>IFERROR(__xludf.DUMMYFUNCTION("JOIN("","",FILTER(Disciplinas!A:A, regexmatch(Disciplinas!D:D, B35)))"),"183469,183855")</f>
        <v>183469,183855</v>
      </c>
      <c r="D35" s="32" t="s">
        <v>1032</v>
      </c>
      <c r="E35" s="32" t="s">
        <v>1032</v>
      </c>
      <c r="F35" s="32" t="s">
        <v>1032</v>
      </c>
      <c r="G35" s="32" t="s">
        <v>1032</v>
      </c>
      <c r="H35" s="32" t="s">
        <v>1032</v>
      </c>
      <c r="I35" s="32" t="s">
        <v>1032</v>
      </c>
    </row>
    <row r="36" ht="14.25" customHeight="1">
      <c r="A36" s="14" t="s">
        <v>1066</v>
      </c>
      <c r="B36" s="33" t="s">
        <v>183</v>
      </c>
      <c r="C36" s="31" t="str">
        <f>IFERROR(__xludf.DUMMYFUNCTION("JOIN("","",FILTER(Disciplinas!A:A, regexmatch(Disciplinas!D:D, B36)))"),"183792,182255,182284")</f>
        <v>183792,182255,182284</v>
      </c>
      <c r="D36" s="32" t="s">
        <v>1032</v>
      </c>
      <c r="E36" s="32" t="s">
        <v>1032</v>
      </c>
      <c r="F36" s="32" t="s">
        <v>1032</v>
      </c>
      <c r="G36" s="32" t="s">
        <v>1032</v>
      </c>
      <c r="H36" s="32" t="s">
        <v>1032</v>
      </c>
      <c r="I36" s="32" t="s">
        <v>1032</v>
      </c>
    </row>
    <row r="37" ht="14.25" customHeight="1">
      <c r="A37" s="14" t="s">
        <v>1067</v>
      </c>
      <c r="B37" s="33" t="s">
        <v>187</v>
      </c>
      <c r="C37" s="31" t="str">
        <f>IFERROR(__xludf.DUMMYFUNCTION("JOIN("","",FILTER(Disciplinas!A:A, regexmatch(Disciplinas!D:D, B37)))"),"183821,183808")</f>
        <v>183821,183808</v>
      </c>
      <c r="D37" s="32" t="s">
        <v>1032</v>
      </c>
      <c r="E37" s="32" t="s">
        <v>1032</v>
      </c>
      <c r="F37" s="32" t="s">
        <v>1032</v>
      </c>
      <c r="G37" s="32" t="s">
        <v>1032</v>
      </c>
      <c r="H37" s="32" t="s">
        <v>1032</v>
      </c>
      <c r="I37" s="32" t="s">
        <v>1032</v>
      </c>
    </row>
    <row r="38" ht="14.25" customHeight="1">
      <c r="A38" s="14" t="s">
        <v>1068</v>
      </c>
      <c r="B38" s="33" t="s">
        <v>190</v>
      </c>
      <c r="C38" s="31" t="str">
        <f>IFERROR(__xludf.DUMMYFUNCTION("JOIN("","",FILTER(Disciplinas!A:A, regexmatch(Disciplinas!D:D, B38)))"),"183791,182281,182283,183790")</f>
        <v>183791,182281,182283,183790</v>
      </c>
      <c r="D38" s="32" t="s">
        <v>1032</v>
      </c>
      <c r="E38" s="32" t="s">
        <v>1032</v>
      </c>
      <c r="F38" s="32" t="s">
        <v>1032</v>
      </c>
      <c r="G38" s="32" t="s">
        <v>1032</v>
      </c>
      <c r="H38" s="32" t="s">
        <v>1032</v>
      </c>
      <c r="I38" s="32" t="s">
        <v>1032</v>
      </c>
    </row>
    <row r="39" ht="14.25" customHeight="1">
      <c r="A39" s="14" t="s">
        <v>1069</v>
      </c>
      <c r="B39" s="33" t="s">
        <v>195</v>
      </c>
      <c r="C39" s="31" t="str">
        <f>IFERROR(__xludf.DUMMYFUNCTION("JOIN("","",FILTER(Disciplinas!A:A, regexmatch(Disciplinas!D:D, B39)))"),"182247,183411,182274,183486")</f>
        <v>182247,183411,182274,183486</v>
      </c>
      <c r="D39" s="32" t="s">
        <v>1032</v>
      </c>
      <c r="E39" s="32" t="s">
        <v>1032</v>
      </c>
      <c r="F39" s="32" t="s">
        <v>1032</v>
      </c>
      <c r="G39" s="32" t="s">
        <v>1032</v>
      </c>
      <c r="H39" s="32" t="s">
        <v>1032</v>
      </c>
      <c r="I39" s="32" t="s">
        <v>1032</v>
      </c>
    </row>
    <row r="40" ht="14.25" customHeight="1">
      <c r="A40" s="14" t="s">
        <v>1070</v>
      </c>
      <c r="B40" s="33" t="s">
        <v>201</v>
      </c>
      <c r="C40" s="31" t="str">
        <f>IFERROR(__xludf.DUMMYFUNCTION("JOIN("","",FILTER(Disciplinas!A:A, regexmatch(Disciplinas!D:D, B40)))"),"182249,183409,183882,183516,182504,182505")</f>
        <v>182249,183409,183882,183516,182504,182505</v>
      </c>
      <c r="D40" s="32" t="s">
        <v>1032</v>
      </c>
      <c r="E40" s="32" t="s">
        <v>1032</v>
      </c>
      <c r="F40" s="32" t="s">
        <v>1032</v>
      </c>
      <c r="G40" s="32" t="s">
        <v>1032</v>
      </c>
      <c r="H40" s="32" t="s">
        <v>1032</v>
      </c>
      <c r="I40" s="32" t="s">
        <v>1032</v>
      </c>
    </row>
    <row r="41" ht="14.25" customHeight="1">
      <c r="A41" s="14" t="s">
        <v>1071</v>
      </c>
      <c r="B41" s="33" t="s">
        <v>204</v>
      </c>
      <c r="C41" s="31" t="str">
        <f>IFERROR(__xludf.DUMMYFUNCTION("JOIN("","",FILTER(Disciplinas!A:A, regexmatch(Disciplinas!D:D, B41)))"),"182250,182573,182364,182373,182384,182397")</f>
        <v>182250,182573,182364,182373,182384,182397</v>
      </c>
      <c r="D41" s="32" t="s">
        <v>1032</v>
      </c>
      <c r="E41" s="32" t="s">
        <v>1032</v>
      </c>
      <c r="F41" s="32" t="s">
        <v>1032</v>
      </c>
      <c r="G41" s="32" t="s">
        <v>1032</v>
      </c>
      <c r="H41" s="32" t="s">
        <v>1032</v>
      </c>
      <c r="I41" s="32" t="s">
        <v>1032</v>
      </c>
    </row>
    <row r="42" ht="14.25" customHeight="1">
      <c r="A42" s="14" t="s">
        <v>1072</v>
      </c>
      <c r="B42" s="33" t="s">
        <v>207</v>
      </c>
      <c r="C42" s="31" t="str">
        <f>IFERROR(__xludf.DUMMYFUNCTION("JOIN("","",FILTER(Disciplinas!A:A, regexmatch(Disciplinas!D:D, B42)))"),"182251,183858")</f>
        <v>182251,183858</v>
      </c>
      <c r="D42" s="32" t="s">
        <v>1032</v>
      </c>
      <c r="E42" s="32" t="s">
        <v>1032</v>
      </c>
      <c r="F42" s="32" t="s">
        <v>1032</v>
      </c>
      <c r="G42" s="32" t="s">
        <v>1032</v>
      </c>
      <c r="H42" s="32" t="s">
        <v>1032</v>
      </c>
      <c r="I42" s="32" t="s">
        <v>1032</v>
      </c>
    </row>
    <row r="43" ht="14.25" customHeight="1">
      <c r="A43" s="14" t="s">
        <v>1073</v>
      </c>
      <c r="B43" s="33" t="s">
        <v>210</v>
      </c>
      <c r="C43" s="31" t="str">
        <f>IFERROR(__xludf.DUMMYFUNCTION("JOIN("","",FILTER(Disciplinas!A:A, regexmatch(Disciplinas!D:D, B43)))"),"182252,182268,183856,182360")</f>
        <v>182252,182268,183856,182360</v>
      </c>
      <c r="D43" s="32" t="s">
        <v>1032</v>
      </c>
      <c r="E43" s="32" t="s">
        <v>1032</v>
      </c>
      <c r="F43" s="32" t="s">
        <v>1032</v>
      </c>
      <c r="G43" s="32" t="s">
        <v>1032</v>
      </c>
      <c r="H43" s="32" t="s">
        <v>1032</v>
      </c>
      <c r="I43" s="32" t="s">
        <v>1032</v>
      </c>
    </row>
    <row r="44" ht="14.25" customHeight="1">
      <c r="A44" s="14" t="s">
        <v>1074</v>
      </c>
      <c r="B44" s="33" t="s">
        <v>219</v>
      </c>
      <c r="C44" s="31" t="str">
        <f>IFERROR(__xludf.DUMMYFUNCTION("JOIN("","",FILTER(Disciplinas!A:A, regexmatch(Disciplinas!D:D, B44)))"),"182254,182458,182357,183518,183911")</f>
        <v>182254,182458,182357,183518,183911</v>
      </c>
      <c r="D44" s="32" t="s">
        <v>1032</v>
      </c>
      <c r="E44" s="32" t="s">
        <v>1032</v>
      </c>
      <c r="F44" s="32" t="s">
        <v>1032</v>
      </c>
      <c r="G44" s="32" t="s">
        <v>1032</v>
      </c>
      <c r="H44" s="32" t="s">
        <v>1032</v>
      </c>
      <c r="I44" s="32" t="s">
        <v>1032</v>
      </c>
    </row>
    <row r="45" ht="14.25" customHeight="1">
      <c r="A45" s="14" t="s">
        <v>1075</v>
      </c>
      <c r="B45" s="33" t="s">
        <v>224</v>
      </c>
      <c r="C45" s="31" t="str">
        <f>IFERROR(__xludf.DUMMYFUNCTION("JOIN("","",FILTER(Disciplinas!A:A, regexmatch(Disciplinas!D:D, B45)))"),"182256,182264")</f>
        <v>182256,182264</v>
      </c>
      <c r="D45" s="32" t="s">
        <v>1032</v>
      </c>
      <c r="E45" s="32" t="s">
        <v>1032</v>
      </c>
      <c r="F45" s="32" t="s">
        <v>1032</v>
      </c>
      <c r="G45" s="32" t="s">
        <v>1032</v>
      </c>
      <c r="H45" s="32" t="s">
        <v>1032</v>
      </c>
      <c r="I45" s="32" t="s">
        <v>1032</v>
      </c>
    </row>
    <row r="46" ht="14.25" customHeight="1">
      <c r="A46" s="14" t="s">
        <v>1076</v>
      </c>
      <c r="B46" s="33" t="s">
        <v>227</v>
      </c>
      <c r="C46" s="31" t="str">
        <f>IFERROR(__xludf.DUMMYFUNCTION("JOIN("","",FILTER(Disciplinas!A:A, regexmatch(Disciplinas!D:D, B46)))"),"182257,182569,182348,182354")</f>
        <v>182257,182569,182348,182354</v>
      </c>
      <c r="D46" s="32" t="s">
        <v>1032</v>
      </c>
      <c r="E46" s="32" t="s">
        <v>1032</v>
      </c>
      <c r="F46" s="32" t="s">
        <v>1032</v>
      </c>
      <c r="G46" s="32" t="s">
        <v>1032</v>
      </c>
      <c r="H46" s="32" t="s">
        <v>1032</v>
      </c>
      <c r="I46" s="32" t="s">
        <v>1032</v>
      </c>
    </row>
    <row r="47" ht="14.25" customHeight="1">
      <c r="A47" s="14" t="s">
        <v>1077</v>
      </c>
      <c r="B47" s="33" t="s">
        <v>230</v>
      </c>
      <c r="C47" s="31" t="str">
        <f>IFERROR(__xludf.DUMMYFUNCTION("JOIN("","",FILTER(Disciplinas!A:A, regexmatch(Disciplinas!D:D, B47)))"),"182258,182598")</f>
        <v>182258,182598</v>
      </c>
      <c r="D47" s="32" t="s">
        <v>1032</v>
      </c>
      <c r="E47" s="32" t="s">
        <v>1032</v>
      </c>
      <c r="F47" s="32" t="s">
        <v>1032</v>
      </c>
      <c r="G47" s="32" t="s">
        <v>1032</v>
      </c>
      <c r="H47" s="32" t="s">
        <v>1032</v>
      </c>
      <c r="I47" s="32" t="s">
        <v>1032</v>
      </c>
    </row>
    <row r="48" ht="14.25" customHeight="1">
      <c r="A48" s="14" t="s">
        <v>1078</v>
      </c>
      <c r="B48" s="33" t="s">
        <v>233</v>
      </c>
      <c r="C48" s="31" t="str">
        <f>IFERROR(__xludf.DUMMYFUNCTION("JOIN("","",FILTER(Disciplinas!A:A, regexmatch(Disciplinas!D:D, B48)))"),"182259,183888,182557,182579,182355")</f>
        <v>182259,183888,182557,182579,182355</v>
      </c>
      <c r="D48" s="32" t="s">
        <v>1032</v>
      </c>
      <c r="E48" s="32" t="s">
        <v>1032</v>
      </c>
      <c r="F48" s="32" t="s">
        <v>1032</v>
      </c>
      <c r="G48" s="32" t="s">
        <v>1032</v>
      </c>
      <c r="H48" s="32" t="s">
        <v>1032</v>
      </c>
      <c r="I48" s="32" t="s">
        <v>1032</v>
      </c>
    </row>
    <row r="49" ht="14.25" customHeight="1">
      <c r="A49" s="14" t="s">
        <v>1079</v>
      </c>
      <c r="B49" s="33" t="s">
        <v>237</v>
      </c>
      <c r="C49" s="31" t="str">
        <f>IFERROR(__xludf.DUMMYFUNCTION("JOIN("","",FILTER(Disciplinas!A:A, regexmatch(Disciplinas!D:D, B49)))"),"182261")</f>
        <v>182261</v>
      </c>
      <c r="D49" s="32" t="s">
        <v>1032</v>
      </c>
      <c r="E49" s="32" t="s">
        <v>1032</v>
      </c>
      <c r="F49" s="32" t="s">
        <v>1032</v>
      </c>
      <c r="G49" s="32" t="s">
        <v>1032</v>
      </c>
      <c r="H49" s="32" t="s">
        <v>1032</v>
      </c>
      <c r="I49" s="32" t="s">
        <v>1032</v>
      </c>
    </row>
    <row r="50" ht="14.25" customHeight="1">
      <c r="A50" s="14" t="s">
        <v>1080</v>
      </c>
      <c r="B50" s="33" t="s">
        <v>240</v>
      </c>
      <c r="C50" s="31" t="str">
        <f>IFERROR(__xludf.DUMMYFUNCTION("JOIN("","",FILTER(Disciplinas!A:A, regexmatch(Disciplinas!D:D, B50)))"),"182263,182333,182335")</f>
        <v>182263,182333,182335</v>
      </c>
      <c r="D50" s="32" t="s">
        <v>1032</v>
      </c>
      <c r="E50" s="32" t="s">
        <v>1032</v>
      </c>
      <c r="F50" s="32" t="s">
        <v>1032</v>
      </c>
      <c r="G50" s="32" t="s">
        <v>1032</v>
      </c>
      <c r="H50" s="32" t="s">
        <v>1032</v>
      </c>
      <c r="I50" s="32" t="s">
        <v>1032</v>
      </c>
    </row>
    <row r="51" ht="14.25" customHeight="1">
      <c r="A51" s="14" t="s">
        <v>1081</v>
      </c>
      <c r="B51" s="33" t="s">
        <v>243</v>
      </c>
      <c r="C51" s="31" t="str">
        <f>IFERROR(__xludf.DUMMYFUNCTION("JOIN("","",FILTER(Disciplinas!A:A, regexmatch(Disciplinas!D:D, B51)))"),"182262,183806,182271,182513")</f>
        <v>182262,183806,182271,182513</v>
      </c>
      <c r="D51" s="32" t="s">
        <v>1032</v>
      </c>
      <c r="E51" s="32" t="s">
        <v>1032</v>
      </c>
      <c r="F51" s="32" t="s">
        <v>1032</v>
      </c>
      <c r="G51" s="32" t="s">
        <v>1032</v>
      </c>
      <c r="H51" s="32" t="s">
        <v>1032</v>
      </c>
      <c r="I51" s="32" t="s">
        <v>1032</v>
      </c>
    </row>
    <row r="52" ht="14.25" customHeight="1">
      <c r="A52" s="14" t="s">
        <v>1082</v>
      </c>
      <c r="B52" s="33" t="s">
        <v>252</v>
      </c>
      <c r="C52" s="31" t="str">
        <f>IFERROR(__xludf.DUMMYFUNCTION("JOIN("","",FILTER(Disciplinas!A:A, regexmatch(Disciplinas!D:D, B52)))"),"182267,182563,182332,182362,182495,183521")</f>
        <v>182267,182563,182332,182362,182495,183521</v>
      </c>
      <c r="D52" s="32" t="s">
        <v>1032</v>
      </c>
      <c r="E52" s="32" t="s">
        <v>1032</v>
      </c>
      <c r="F52" s="32" t="s">
        <v>1032</v>
      </c>
      <c r="G52" s="32" t="s">
        <v>1032</v>
      </c>
      <c r="H52" s="32" t="s">
        <v>1032</v>
      </c>
      <c r="I52" s="32" t="s">
        <v>1032</v>
      </c>
    </row>
    <row r="53" ht="14.25" customHeight="1">
      <c r="A53" s="14" t="s">
        <v>1083</v>
      </c>
      <c r="B53" s="33" t="s">
        <v>258</v>
      </c>
      <c r="C53" s="31" t="str">
        <f>IFERROR(__xludf.DUMMYFUNCTION("JOIN("","",FILTER(Disciplinas!A:A, regexmatch(Disciplinas!D:D, B53)))"),"183807")</f>
        <v>183807</v>
      </c>
      <c r="D53" s="32" t="s">
        <v>1032</v>
      </c>
      <c r="E53" s="32" t="s">
        <v>1032</v>
      </c>
      <c r="F53" s="32" t="s">
        <v>1032</v>
      </c>
      <c r="G53" s="32" t="s">
        <v>1032</v>
      </c>
      <c r="H53" s="32" t="s">
        <v>1032</v>
      </c>
      <c r="I53" s="32" t="s">
        <v>1032</v>
      </c>
    </row>
    <row r="54" ht="14.25" customHeight="1">
      <c r="A54" s="14" t="s">
        <v>1084</v>
      </c>
      <c r="B54" s="33" t="s">
        <v>263</v>
      </c>
      <c r="C54" s="31" t="str">
        <f>IFERROR(__xludf.DUMMYFUNCTION("JOIN("","",FILTER(Disciplinas!A:A, regexmatch(Disciplinas!D:D, B54)))"),"183809,183851,182511")</f>
        <v>183809,183851,182511</v>
      </c>
      <c r="D54" s="32" t="s">
        <v>1032</v>
      </c>
      <c r="E54" s="32" t="s">
        <v>1032</v>
      </c>
      <c r="F54" s="32" t="s">
        <v>1032</v>
      </c>
      <c r="G54" s="32" t="s">
        <v>1032</v>
      </c>
      <c r="H54" s="32" t="s">
        <v>1032</v>
      </c>
      <c r="I54" s="32" t="s">
        <v>1032</v>
      </c>
    </row>
    <row r="55" ht="14.25" customHeight="1">
      <c r="A55" s="14" t="s">
        <v>1085</v>
      </c>
      <c r="B55" s="33" t="s">
        <v>273</v>
      </c>
      <c r="C55" s="31" t="str">
        <f>IFERROR(__xludf.DUMMYFUNCTION("JOIN("","",FILTER(Disciplinas!A:A, regexmatch(Disciplinas!D:D, B55)))"),"182270,183496")</f>
        <v>182270,183496</v>
      </c>
      <c r="D55" s="32" t="s">
        <v>1032</v>
      </c>
      <c r="E55" s="32" t="s">
        <v>1032</v>
      </c>
      <c r="F55" s="32" t="s">
        <v>1032</v>
      </c>
      <c r="G55" s="32" t="s">
        <v>1032</v>
      </c>
      <c r="H55" s="32" t="s">
        <v>1032</v>
      </c>
      <c r="I55" s="32" t="s">
        <v>1032</v>
      </c>
    </row>
    <row r="56" ht="14.25" customHeight="1">
      <c r="A56" s="14" t="s">
        <v>1086</v>
      </c>
      <c r="B56" s="33" t="s">
        <v>276</v>
      </c>
      <c r="C56" s="31" t="str">
        <f>IFERROR(__xludf.DUMMYFUNCTION("JOIN("","",FILTER(Disciplinas!A:A, regexmatch(Disciplinas!D:D, B56)))"),"182269,182367,183899")</f>
        <v>182269,182367,183899</v>
      </c>
      <c r="D56" s="32" t="s">
        <v>1032</v>
      </c>
      <c r="E56" s="32" t="s">
        <v>1032</v>
      </c>
      <c r="F56" s="32" t="s">
        <v>1032</v>
      </c>
      <c r="G56" s="32" t="s">
        <v>1032</v>
      </c>
      <c r="H56" s="32" t="s">
        <v>1032</v>
      </c>
      <c r="I56" s="32" t="s">
        <v>1032</v>
      </c>
    </row>
    <row r="57" ht="14.25" customHeight="1">
      <c r="A57" s="14" t="s">
        <v>1087</v>
      </c>
      <c r="B57" s="33" t="s">
        <v>279</v>
      </c>
      <c r="C57" s="31" t="str">
        <f>IFERROR(__xludf.DUMMYFUNCTION("JOIN("","",FILTER(Disciplinas!A:A, regexmatch(Disciplinas!D:D, B57)))"),"182272,182568,182340")</f>
        <v>182272,182568,182340</v>
      </c>
      <c r="D57" s="32" t="s">
        <v>1032</v>
      </c>
      <c r="E57" s="32" t="s">
        <v>1032</v>
      </c>
      <c r="F57" s="32" t="s">
        <v>1032</v>
      </c>
      <c r="G57" s="32" t="s">
        <v>1032</v>
      </c>
      <c r="H57" s="32" t="s">
        <v>1032</v>
      </c>
      <c r="I57" s="32" t="s">
        <v>1032</v>
      </c>
    </row>
    <row r="58" ht="14.25" customHeight="1">
      <c r="A58" s="14" t="s">
        <v>1088</v>
      </c>
      <c r="B58" s="33" t="s">
        <v>283</v>
      </c>
      <c r="C58" s="31" t="str">
        <f>IFERROR(__xludf.DUMMYFUNCTION("JOIN("","",FILTER(Disciplinas!A:A, regexmatch(Disciplinas!D:D, B58)))"),"182273")</f>
        <v>182273</v>
      </c>
      <c r="D58" s="32" t="s">
        <v>1032</v>
      </c>
      <c r="E58" s="32" t="s">
        <v>1032</v>
      </c>
      <c r="F58" s="32" t="s">
        <v>1032</v>
      </c>
      <c r="G58" s="32" t="s">
        <v>1032</v>
      </c>
      <c r="H58" s="32" t="s">
        <v>1032</v>
      </c>
      <c r="I58" s="32" t="s">
        <v>1032</v>
      </c>
    </row>
    <row r="59" ht="14.25" customHeight="1">
      <c r="A59" s="14" t="s">
        <v>1089</v>
      </c>
      <c r="B59" s="33" t="s">
        <v>289</v>
      </c>
      <c r="C59" s="31" t="str">
        <f>IFERROR(__xludf.DUMMYFUNCTION("JOIN("","",FILTER(Disciplinas!A:A, regexmatch(Disciplinas!D:D, B59)))"),"182275,183818,182453")</f>
        <v>182275,183818,182453</v>
      </c>
      <c r="D59" s="32" t="s">
        <v>1032</v>
      </c>
      <c r="E59" s="32" t="s">
        <v>1032</v>
      </c>
      <c r="F59" s="32" t="s">
        <v>1032</v>
      </c>
      <c r="G59" s="32" t="s">
        <v>1032</v>
      </c>
      <c r="H59" s="32" t="s">
        <v>1032</v>
      </c>
      <c r="I59" s="32" t="s">
        <v>1032</v>
      </c>
    </row>
    <row r="60" ht="14.25" customHeight="1">
      <c r="A60" s="14" t="s">
        <v>1090</v>
      </c>
      <c r="B60" s="33" t="s">
        <v>292</v>
      </c>
      <c r="C60" s="31" t="str">
        <f>IFERROR(__xludf.DUMMYFUNCTION("JOIN("","",FILTER(Disciplinas!A:A, regexmatch(Disciplinas!D:D, B60)))"),"182276,182517")</f>
        <v>182276,182517</v>
      </c>
      <c r="D60" s="32" t="s">
        <v>1032</v>
      </c>
      <c r="E60" s="32" t="s">
        <v>1032</v>
      </c>
      <c r="F60" s="32" t="s">
        <v>1032</v>
      </c>
      <c r="G60" s="32" t="s">
        <v>1032</v>
      </c>
      <c r="H60" s="32" t="s">
        <v>1032</v>
      </c>
      <c r="I60" s="32" t="s">
        <v>1032</v>
      </c>
    </row>
    <row r="61" ht="14.25" customHeight="1">
      <c r="A61" s="14" t="s">
        <v>1091</v>
      </c>
      <c r="B61" s="33" t="s">
        <v>297</v>
      </c>
      <c r="C61" s="31" t="str">
        <f>IFERROR(__xludf.DUMMYFUNCTION("JOIN("","",FILTER(Disciplinas!A:A, regexmatch(Disciplinas!D:D, B61)))"),"182278")</f>
        <v>182278</v>
      </c>
      <c r="D61" s="32" t="s">
        <v>1032</v>
      </c>
      <c r="E61" s="32" t="s">
        <v>1032</v>
      </c>
      <c r="F61" s="32" t="s">
        <v>1032</v>
      </c>
      <c r="G61" s="32" t="s">
        <v>1032</v>
      </c>
      <c r="H61" s="32" t="s">
        <v>1032</v>
      </c>
      <c r="I61" s="32" t="s">
        <v>1032</v>
      </c>
    </row>
    <row r="62" ht="14.25" customHeight="1">
      <c r="A62" s="14" t="s">
        <v>1092</v>
      </c>
      <c r="B62" s="33" t="s">
        <v>300</v>
      </c>
      <c r="C62" s="31" t="str">
        <f>IFERROR(__xludf.DUMMYFUNCTION("JOIN("","",FILTER(Disciplinas!A:A, regexmatch(Disciplinas!D:D, B62)))"),"182280,182343")</f>
        <v>182280,182343</v>
      </c>
      <c r="D62" s="32" t="s">
        <v>1032</v>
      </c>
      <c r="E62" s="32" t="s">
        <v>1032</v>
      </c>
      <c r="F62" s="32" t="s">
        <v>1032</v>
      </c>
      <c r="G62" s="32" t="s">
        <v>1032</v>
      </c>
      <c r="H62" s="32" t="s">
        <v>1032</v>
      </c>
      <c r="I62" s="32" t="s">
        <v>1032</v>
      </c>
    </row>
    <row r="63" ht="14.25" customHeight="1">
      <c r="A63" s="14" t="s">
        <v>1093</v>
      </c>
      <c r="B63" s="33" t="s">
        <v>312</v>
      </c>
      <c r="C63" s="31" t="str">
        <f>IFERROR(__xludf.DUMMYFUNCTION("JOIN("","",FILTER(Disciplinas!A:A, regexmatch(Disciplinas!D:D, B63)))"),"182285,183496")</f>
        <v>182285,183496</v>
      </c>
      <c r="D63" s="32" t="s">
        <v>1032</v>
      </c>
      <c r="E63" s="32" t="s">
        <v>1032</v>
      </c>
      <c r="F63" s="32" t="s">
        <v>1032</v>
      </c>
      <c r="G63" s="32" t="s">
        <v>1032</v>
      </c>
      <c r="H63" s="32" t="s">
        <v>1032</v>
      </c>
      <c r="I63" s="32" t="s">
        <v>1032</v>
      </c>
    </row>
    <row r="64" ht="14.25" customHeight="1">
      <c r="A64" s="14" t="s">
        <v>1094</v>
      </c>
      <c r="B64" s="33" t="s">
        <v>315</v>
      </c>
      <c r="C64" s="31" t="str">
        <f>IFERROR(__xludf.DUMMYFUNCTION("JOIN("","",FILTER(Disciplinas!A:A, regexmatch(Disciplinas!D:D, B64)))"),"182286,183490")</f>
        <v>182286,183490</v>
      </c>
      <c r="D64" s="32" t="s">
        <v>1032</v>
      </c>
      <c r="E64" s="32" t="s">
        <v>1032</v>
      </c>
      <c r="F64" s="32" t="s">
        <v>1032</v>
      </c>
      <c r="G64" s="32" t="s">
        <v>1032</v>
      </c>
      <c r="H64" s="32" t="s">
        <v>1032</v>
      </c>
      <c r="I64" s="32" t="s">
        <v>1032</v>
      </c>
    </row>
    <row r="65" ht="14.25" customHeight="1">
      <c r="A65" s="14" t="s">
        <v>1095</v>
      </c>
      <c r="B65" s="33" t="s">
        <v>318</v>
      </c>
      <c r="C65" s="31" t="str">
        <f>IFERROR(__xludf.DUMMYFUNCTION("JOIN("","",FILTER(Disciplinas!A:A, regexmatch(Disciplinas!D:D, B65)))"),"182287")</f>
        <v>182287</v>
      </c>
      <c r="D65" s="32" t="s">
        <v>1032</v>
      </c>
      <c r="E65" s="32" t="s">
        <v>1032</v>
      </c>
      <c r="F65" s="32" t="s">
        <v>1032</v>
      </c>
      <c r="G65" s="32" t="s">
        <v>1032</v>
      </c>
      <c r="H65" s="32" t="s">
        <v>1032</v>
      </c>
      <c r="I65" s="32" t="s">
        <v>1032</v>
      </c>
    </row>
    <row r="66" ht="14.25" customHeight="1">
      <c r="A66" s="14" t="s">
        <v>1096</v>
      </c>
      <c r="B66" s="33" t="s">
        <v>323</v>
      </c>
      <c r="C66" s="31" t="str">
        <f>IFERROR(__xludf.DUMMYFUNCTION("JOIN("","",FILTER(Disciplinas!A:A, regexmatch(Disciplinas!D:D, B66)))"),"182289,182564,182338,182344")</f>
        <v>182289,182564,182338,182344</v>
      </c>
      <c r="D66" s="32" t="s">
        <v>1032</v>
      </c>
      <c r="E66" s="32" t="s">
        <v>1032</v>
      </c>
      <c r="F66" s="32" t="s">
        <v>1032</v>
      </c>
      <c r="G66" s="32" t="s">
        <v>1032</v>
      </c>
      <c r="H66" s="32" t="s">
        <v>1032</v>
      </c>
      <c r="I66" s="32" t="s">
        <v>1032</v>
      </c>
    </row>
    <row r="67" ht="14.25" customHeight="1">
      <c r="A67" s="14" t="s">
        <v>1097</v>
      </c>
      <c r="B67" s="33" t="s">
        <v>335</v>
      </c>
      <c r="C67" s="31" t="str">
        <f>IFERROR(__xludf.DUMMYFUNCTION("JOIN("","",FILTER(Disciplinas!A:A, regexmatch(Disciplinas!D:D, B67)))"),"183852,182518")</f>
        <v>183852,182518</v>
      </c>
      <c r="D67" s="32" t="s">
        <v>1032</v>
      </c>
      <c r="E67" s="32" t="s">
        <v>1032</v>
      </c>
      <c r="F67" s="32" t="s">
        <v>1032</v>
      </c>
      <c r="G67" s="32" t="s">
        <v>1032</v>
      </c>
      <c r="H67" s="32" t="s">
        <v>1032</v>
      </c>
      <c r="I67" s="32" t="s">
        <v>1032</v>
      </c>
    </row>
    <row r="68" ht="14.25" customHeight="1">
      <c r="A68" s="14" t="s">
        <v>1098</v>
      </c>
      <c r="B68" s="33" t="s">
        <v>344</v>
      </c>
      <c r="C68" s="31" t="str">
        <f>IFERROR(__xludf.DUMMYFUNCTION("JOIN("","",FILTER(Disciplinas!A:A, regexmatch(Disciplinas!D:D, B68)))"),"183857,183509,183675,183527")</f>
        <v>183857,183509,183675,183527</v>
      </c>
      <c r="D68" s="32" t="s">
        <v>1032</v>
      </c>
      <c r="E68" s="32" t="s">
        <v>1032</v>
      </c>
      <c r="F68" s="32" t="s">
        <v>1032</v>
      </c>
      <c r="G68" s="32" t="s">
        <v>1032</v>
      </c>
      <c r="H68" s="32" t="s">
        <v>1032</v>
      </c>
      <c r="I68" s="32" t="s">
        <v>1032</v>
      </c>
    </row>
    <row r="69" ht="14.25" customHeight="1">
      <c r="A69" s="14" t="s">
        <v>1099</v>
      </c>
      <c r="B69" s="33" t="s">
        <v>350</v>
      </c>
      <c r="C69" s="31" t="str">
        <f>IFERROR(__xludf.DUMMYFUNCTION("JOIN("","",FILTER(Disciplinas!A:A, regexmatch(Disciplinas!D:D, B69)))"),"183478,183480,183476,183482,182473")</f>
        <v>183478,183480,183476,183482,182473</v>
      </c>
      <c r="D69" s="32" t="s">
        <v>1032</v>
      </c>
      <c r="E69" s="32" t="s">
        <v>1032</v>
      </c>
      <c r="F69" s="32" t="s">
        <v>1032</v>
      </c>
      <c r="G69" s="32" t="s">
        <v>1032</v>
      </c>
      <c r="H69" s="32" t="s">
        <v>1032</v>
      </c>
      <c r="I69" s="32" t="s">
        <v>1032</v>
      </c>
    </row>
    <row r="70" ht="14.25" customHeight="1">
      <c r="A70" s="14" t="s">
        <v>1100</v>
      </c>
      <c r="B70" s="33" t="s">
        <v>353</v>
      </c>
      <c r="C70" s="31" t="str">
        <f>IFERROR(__xludf.DUMMYFUNCTION("JOIN("","",FILTER(Disciplinas!A:A, regexmatch(Disciplinas!D:D, B70)))"),"183479,183477,182462")</f>
        <v>183479,183477,182462</v>
      </c>
      <c r="D70" s="32" t="s">
        <v>1032</v>
      </c>
      <c r="E70" s="32" t="s">
        <v>1032</v>
      </c>
      <c r="F70" s="32" t="s">
        <v>1032</v>
      </c>
      <c r="G70" s="32" t="s">
        <v>1032</v>
      </c>
      <c r="H70" s="32" t="s">
        <v>1032</v>
      </c>
      <c r="I70" s="32" t="s">
        <v>1032</v>
      </c>
    </row>
    <row r="71" ht="14.25" customHeight="1">
      <c r="A71" s="14" t="s">
        <v>1101</v>
      </c>
      <c r="B71" s="33" t="s">
        <v>362</v>
      </c>
      <c r="C71" s="31" t="str">
        <f>IFERROR(__xludf.DUMMYFUNCTION("JOIN("","",FILTER(Disciplinas!A:A, regexmatch(Disciplinas!D:D, B71)))"),"183477")</f>
        <v>183477</v>
      </c>
      <c r="D71" s="32" t="s">
        <v>1032</v>
      </c>
      <c r="E71" s="32" t="s">
        <v>1032</v>
      </c>
      <c r="F71" s="32" t="s">
        <v>1032</v>
      </c>
      <c r="G71" s="32" t="s">
        <v>1032</v>
      </c>
      <c r="H71" s="32" t="s">
        <v>1032</v>
      </c>
      <c r="I71" s="32" t="s">
        <v>1032</v>
      </c>
    </row>
    <row r="72" ht="14.25" customHeight="1">
      <c r="A72" s="14" t="s">
        <v>1102</v>
      </c>
      <c r="B72" s="33" t="s">
        <v>366</v>
      </c>
      <c r="C72" s="31" t="str">
        <f>IFERROR(__xludf.DUMMYFUNCTION("JOIN("","",FILTER(Disciplinas!A:A, regexmatch(Disciplinas!D:D, B72)))"),"183485,182465,182472,182474")</f>
        <v>183485,182465,182472,182474</v>
      </c>
      <c r="D72" s="32" t="s">
        <v>1032</v>
      </c>
      <c r="E72" s="32" t="s">
        <v>1032</v>
      </c>
      <c r="F72" s="32" t="s">
        <v>1032</v>
      </c>
      <c r="G72" s="32" t="s">
        <v>1032</v>
      </c>
      <c r="H72" s="32" t="s">
        <v>1032</v>
      </c>
      <c r="I72" s="32" t="s">
        <v>1032</v>
      </c>
    </row>
    <row r="73" ht="14.25" customHeight="1">
      <c r="A73" s="14" t="s">
        <v>1103</v>
      </c>
      <c r="B73" s="33" t="s">
        <v>369</v>
      </c>
      <c r="C73" s="31" t="str">
        <f>IFERROR(__xludf.DUMMYFUNCTION("JOIN("","",FILTER(Disciplinas!A:A, regexmatch(Disciplinas!D:D, B73)))"),"183483,182467,182478")</f>
        <v>183483,182467,182478</v>
      </c>
      <c r="D73" s="32" t="s">
        <v>1032</v>
      </c>
      <c r="E73" s="32" t="s">
        <v>1032</v>
      </c>
      <c r="F73" s="32" t="s">
        <v>1032</v>
      </c>
      <c r="G73" s="32" t="s">
        <v>1032</v>
      </c>
      <c r="H73" s="32" t="s">
        <v>1032</v>
      </c>
      <c r="I73" s="32" t="s">
        <v>1032</v>
      </c>
    </row>
    <row r="74" ht="14.25" customHeight="1">
      <c r="A74" s="14" t="s">
        <v>1104</v>
      </c>
      <c r="B74" s="33" t="s">
        <v>374</v>
      </c>
      <c r="C74" s="31" t="str">
        <f>IFERROR(__xludf.DUMMYFUNCTION("JOIN("","",FILTER(Disciplinas!A:A, regexmatch(Disciplinas!D:D, B74)))"),"183484,182470,182471,183491")</f>
        <v>183484,182470,182471,183491</v>
      </c>
      <c r="D74" s="32" t="s">
        <v>1032</v>
      </c>
      <c r="E74" s="32" t="s">
        <v>1032</v>
      </c>
      <c r="F74" s="32" t="s">
        <v>1032</v>
      </c>
      <c r="G74" s="32" t="s">
        <v>1032</v>
      </c>
      <c r="H74" s="32" t="s">
        <v>1032</v>
      </c>
      <c r="I74" s="32" t="s">
        <v>1032</v>
      </c>
    </row>
    <row r="75" ht="14.25" customHeight="1">
      <c r="A75" s="14" t="s">
        <v>1105</v>
      </c>
      <c r="B75" s="33" t="s">
        <v>376</v>
      </c>
      <c r="C75" s="31" t="str">
        <f>IFERROR(__xludf.DUMMYFUNCTION("JOIN("","",FILTER(Disciplinas!A:A, regexmatch(Disciplinas!D:D, B75)))"),"183481,182579,182336,183587")</f>
        <v>183481,182579,182336,183587</v>
      </c>
      <c r="D75" s="32" t="s">
        <v>1032</v>
      </c>
      <c r="E75" s="32" t="s">
        <v>1032</v>
      </c>
      <c r="F75" s="32" t="s">
        <v>1032</v>
      </c>
      <c r="G75" s="32" t="s">
        <v>1032</v>
      </c>
      <c r="H75" s="32" t="s">
        <v>1032</v>
      </c>
      <c r="I75" s="32" t="s">
        <v>1032</v>
      </c>
    </row>
    <row r="76" ht="14.25" customHeight="1">
      <c r="A76" s="14" t="s">
        <v>1106</v>
      </c>
      <c r="B76" s="33" t="s">
        <v>380</v>
      </c>
      <c r="C76" s="31" t="str">
        <f>IFERROR(__xludf.DUMMYFUNCTION("JOIN("","",FILTER(Disciplinas!A:A, regexmatch(Disciplinas!D:D, B76)))"),"183477,182449,182464")</f>
        <v>183477,182449,182464</v>
      </c>
      <c r="D76" s="32" t="s">
        <v>1032</v>
      </c>
      <c r="E76" s="32" t="s">
        <v>1032</v>
      </c>
      <c r="F76" s="32" t="s">
        <v>1032</v>
      </c>
      <c r="G76" s="32" t="s">
        <v>1032</v>
      </c>
      <c r="H76" s="32" t="s">
        <v>1032</v>
      </c>
      <c r="I76" s="32" t="s">
        <v>1032</v>
      </c>
    </row>
    <row r="77" ht="14.25" customHeight="1">
      <c r="A77" s="14" t="s">
        <v>1107</v>
      </c>
      <c r="B77" s="33" t="s">
        <v>388</v>
      </c>
      <c r="C77" s="31" t="str">
        <f>IFERROR(__xludf.DUMMYFUNCTION("JOIN("","",FILTER(Disciplinas!A:A, regexmatch(Disciplinas!D:D, B77)))"),"182456,183545,182521")</f>
        <v>182456,183545,182521</v>
      </c>
      <c r="D77" s="32" t="s">
        <v>1032</v>
      </c>
      <c r="E77" s="32" t="s">
        <v>1032</v>
      </c>
      <c r="F77" s="32" t="s">
        <v>1032</v>
      </c>
      <c r="G77" s="32" t="s">
        <v>1032</v>
      </c>
      <c r="H77" s="32" t="s">
        <v>1032</v>
      </c>
      <c r="I77" s="32" t="s">
        <v>1032</v>
      </c>
    </row>
    <row r="78" ht="14.25" customHeight="1">
      <c r="A78" s="14" t="s">
        <v>1108</v>
      </c>
      <c r="B78" s="33" t="s">
        <v>393</v>
      </c>
      <c r="C78" s="31" t="str">
        <f>IFERROR(__xludf.DUMMYFUNCTION("JOIN("","",FILTER(Disciplinas!A:A, regexmatch(Disciplinas!D:D, B78)))"),"182459,182497,182591")</f>
        <v>182459,182497,182591</v>
      </c>
      <c r="D78" s="32" t="s">
        <v>1032</v>
      </c>
      <c r="E78" s="32" t="s">
        <v>1032</v>
      </c>
      <c r="F78" s="32" t="s">
        <v>1032</v>
      </c>
      <c r="G78" s="32" t="s">
        <v>1032</v>
      </c>
      <c r="H78" s="32" t="s">
        <v>1032</v>
      </c>
      <c r="I78" s="32" t="s">
        <v>1032</v>
      </c>
    </row>
    <row r="79" ht="14.25" customHeight="1">
      <c r="A79" s="14" t="s">
        <v>1109</v>
      </c>
      <c r="B79" s="33" t="s">
        <v>396</v>
      </c>
      <c r="C79" s="31" t="str">
        <f>IFERROR(__xludf.DUMMYFUNCTION("JOIN("","",FILTER(Disciplinas!A:A, regexmatch(Disciplinas!D:D, B79)))"),"182460,182486,182493,183544")</f>
        <v>182460,182486,182493,183544</v>
      </c>
      <c r="D79" s="32" t="s">
        <v>1032</v>
      </c>
      <c r="E79" s="32" t="s">
        <v>1032</v>
      </c>
      <c r="F79" s="32" t="s">
        <v>1032</v>
      </c>
      <c r="G79" s="32" t="s">
        <v>1032</v>
      </c>
      <c r="H79" s="32" t="s">
        <v>1032</v>
      </c>
      <c r="I79" s="32" t="s">
        <v>1032</v>
      </c>
    </row>
    <row r="80" ht="14.25" customHeight="1">
      <c r="A80" s="14" t="s">
        <v>1110</v>
      </c>
      <c r="B80" s="33" t="s">
        <v>399</v>
      </c>
      <c r="C80" s="31" t="str">
        <f>IFERROR(__xludf.DUMMYFUNCTION("JOIN("","",FILTER(Disciplinas!A:A, regexmatch(Disciplinas!D:D, B80)))"),"182461,182417,183505,182365")</f>
        <v>182461,182417,183505,182365</v>
      </c>
      <c r="D80" s="32" t="s">
        <v>1032</v>
      </c>
      <c r="E80" s="32" t="s">
        <v>1032</v>
      </c>
      <c r="F80" s="32" t="s">
        <v>1032</v>
      </c>
      <c r="G80" s="32" t="s">
        <v>1032</v>
      </c>
      <c r="H80" s="32" t="s">
        <v>1032</v>
      </c>
      <c r="I80" s="32" t="s">
        <v>1032</v>
      </c>
    </row>
    <row r="81" ht="14.25" customHeight="1">
      <c r="A81" s="14" t="s">
        <v>1111</v>
      </c>
      <c r="B81" s="33" t="s">
        <v>405</v>
      </c>
      <c r="C81" s="31" t="str">
        <f>IFERROR(__xludf.DUMMYFUNCTION("JOIN("","",FILTER(Disciplinas!A:A, regexmatch(Disciplinas!D:D, B81)))"),"182463,182469,182499")</f>
        <v>182463,182469,182499</v>
      </c>
      <c r="D81" s="32" t="s">
        <v>1032</v>
      </c>
      <c r="E81" s="32" t="s">
        <v>1032</v>
      </c>
      <c r="F81" s="32" t="s">
        <v>1032</v>
      </c>
      <c r="G81" s="32" t="s">
        <v>1032</v>
      </c>
      <c r="H81" s="32" t="s">
        <v>1032</v>
      </c>
      <c r="I81" s="32" t="s">
        <v>1032</v>
      </c>
    </row>
    <row r="82" ht="14.25" customHeight="1">
      <c r="A82" s="14" t="s">
        <v>1112</v>
      </c>
      <c r="B82" s="33" t="s">
        <v>410</v>
      </c>
      <c r="C82" s="31" t="str">
        <f>IFERROR(__xludf.DUMMYFUNCTION("JOIN("","",FILTER(Disciplinas!A:A, regexmatch(Disciplinas!D:D, B82)))"),"182466,182368,182501")</f>
        <v>182466,182368,182501</v>
      </c>
      <c r="D82" s="32" t="s">
        <v>1032</v>
      </c>
      <c r="E82" s="32" t="s">
        <v>1032</v>
      </c>
      <c r="F82" s="32" t="s">
        <v>1032</v>
      </c>
      <c r="G82" s="32" t="s">
        <v>1032</v>
      </c>
      <c r="H82" s="32" t="s">
        <v>1032</v>
      </c>
      <c r="I82" s="32" t="s">
        <v>1032</v>
      </c>
    </row>
    <row r="83" ht="14.25" customHeight="1">
      <c r="A83" s="14" t="s">
        <v>1113</v>
      </c>
      <c r="B83" s="33" t="s">
        <v>430</v>
      </c>
      <c r="C83" s="31" t="str">
        <f>IFERROR(__xludf.DUMMYFUNCTION("JOIN("","",FILTER(Disciplinas!A:A, regexmatch(Disciplinas!D:D, B83)))"),"182475,182480")</f>
        <v>182475,182480</v>
      </c>
      <c r="D83" s="32" t="s">
        <v>1032</v>
      </c>
      <c r="E83" s="32" t="s">
        <v>1032</v>
      </c>
      <c r="F83" s="32" t="s">
        <v>1032</v>
      </c>
      <c r="G83" s="32" t="s">
        <v>1032</v>
      </c>
      <c r="H83" s="32" t="s">
        <v>1032</v>
      </c>
      <c r="I83" s="32" t="s">
        <v>1032</v>
      </c>
    </row>
    <row r="84" ht="14.25" customHeight="1">
      <c r="A84" s="14" t="s">
        <v>1114</v>
      </c>
      <c r="B84" s="33" t="s">
        <v>437</v>
      </c>
      <c r="C84" s="31" t="str">
        <f>IFERROR(__xludf.DUMMYFUNCTION("JOIN("","",FILTER(Disciplinas!A:A, regexmatch(Disciplinas!D:D, B84)))"),"182481,182441,183898,183900,183901,183904")</f>
        <v>182481,182441,183898,183900,183901,183904</v>
      </c>
      <c r="D84" s="32" t="s">
        <v>1032</v>
      </c>
      <c r="E84" s="32" t="s">
        <v>1032</v>
      </c>
      <c r="F84" s="32" t="s">
        <v>1032</v>
      </c>
      <c r="G84" s="32" t="s">
        <v>1032</v>
      </c>
      <c r="H84" s="32" t="s">
        <v>1032</v>
      </c>
      <c r="I84" s="32" t="s">
        <v>1032</v>
      </c>
    </row>
    <row r="85" ht="14.25" customHeight="1">
      <c r="A85" s="14" t="s">
        <v>1115</v>
      </c>
      <c r="B85" s="33" t="s">
        <v>439</v>
      </c>
      <c r="C85" s="31" t="str">
        <f>IFERROR(__xludf.DUMMYFUNCTION("JOIN("","",FILTER(Disciplinas!A:A, regexmatch(Disciplinas!D:D, B85)))"),"182482,182502,182601,182602")</f>
        <v>182482,182502,182601,182602</v>
      </c>
      <c r="D85" s="32" t="s">
        <v>1032</v>
      </c>
      <c r="E85" s="32" t="s">
        <v>1032</v>
      </c>
      <c r="F85" s="32" t="s">
        <v>1032</v>
      </c>
      <c r="G85" s="32" t="s">
        <v>1032</v>
      </c>
      <c r="H85" s="32" t="s">
        <v>1032</v>
      </c>
      <c r="I85" s="32" t="s">
        <v>1032</v>
      </c>
    </row>
    <row r="86" ht="14.25" customHeight="1">
      <c r="A86" s="14" t="s">
        <v>1116</v>
      </c>
      <c r="B86" s="33" t="s">
        <v>444</v>
      </c>
      <c r="C86" s="31" t="str">
        <f>IFERROR(__xludf.DUMMYFUNCTION("JOIN("","",FILTER(Disciplinas!A:A, regexmatch(Disciplinas!D:D, B86)))"),"183586,182329,182358,182485,183536")</f>
        <v>183586,182329,182358,182485,183536</v>
      </c>
      <c r="D86" s="32" t="s">
        <v>1032</v>
      </c>
      <c r="E86" s="32" t="s">
        <v>1032</v>
      </c>
      <c r="F86" s="32" t="s">
        <v>1032</v>
      </c>
      <c r="G86" s="32" t="s">
        <v>1032</v>
      </c>
      <c r="H86" s="32" t="s">
        <v>1032</v>
      </c>
      <c r="I86" s="32" t="s">
        <v>1032</v>
      </c>
    </row>
    <row r="87" ht="14.25" customHeight="1">
      <c r="A87" s="14" t="s">
        <v>1117</v>
      </c>
      <c r="B87" s="33" t="s">
        <v>447</v>
      </c>
      <c r="C87" s="31" t="str">
        <f>IFERROR(__xludf.DUMMYFUNCTION("JOIN("","",FILTER(Disciplinas!A:A, regexmatch(Disciplinas!D:D, B87)))"),"182559,182330,183412,182408,182483,182484")</f>
        <v>182559,182330,183412,182408,182483,182484</v>
      </c>
      <c r="D87" s="32" t="s">
        <v>1032</v>
      </c>
      <c r="E87" s="32" t="s">
        <v>1032</v>
      </c>
      <c r="F87" s="32" t="s">
        <v>1032</v>
      </c>
      <c r="G87" s="32" t="s">
        <v>1032</v>
      </c>
      <c r="H87" s="32" t="s">
        <v>1032</v>
      </c>
      <c r="I87" s="32" t="s">
        <v>1032</v>
      </c>
    </row>
    <row r="88" ht="14.25" customHeight="1">
      <c r="A88" s="14" t="s">
        <v>1118</v>
      </c>
      <c r="B88" s="33" t="s">
        <v>450</v>
      </c>
      <c r="C88" s="31" t="str">
        <f>IFERROR(__xludf.DUMMYFUNCTION("JOIN("","",FILTER(Disciplinas!A:A, regexmatch(Disciplinas!D:D, B88)))"),"182558,182570,182580")</f>
        <v>182558,182570,182580</v>
      </c>
      <c r="D88" s="32" t="s">
        <v>1032</v>
      </c>
      <c r="E88" s="32" t="s">
        <v>1032</v>
      </c>
      <c r="F88" s="32" t="s">
        <v>1032</v>
      </c>
      <c r="G88" s="32" t="s">
        <v>1032</v>
      </c>
      <c r="H88" s="32" t="s">
        <v>1032</v>
      </c>
      <c r="I88" s="32" t="s">
        <v>1032</v>
      </c>
    </row>
    <row r="89" ht="14.25" customHeight="1">
      <c r="A89" s="14" t="s">
        <v>1119</v>
      </c>
      <c r="B89" s="33" t="s">
        <v>451</v>
      </c>
      <c r="C89" s="31" t="str">
        <f>IFERROR(__xludf.DUMMYFUNCTION("JOIN("","",FILTER(Disciplinas!A:A, regexmatch(Disciplinas!D:D, B89)))"),"182560,183508,182582")</f>
        <v>182560,183508,182582</v>
      </c>
      <c r="D89" s="32" t="s">
        <v>1032</v>
      </c>
      <c r="E89" s="32" t="s">
        <v>1032</v>
      </c>
      <c r="F89" s="32" t="s">
        <v>1032</v>
      </c>
      <c r="G89" s="32" t="s">
        <v>1032</v>
      </c>
      <c r="H89" s="32" t="s">
        <v>1032</v>
      </c>
      <c r="I89" s="32" t="s">
        <v>1032</v>
      </c>
    </row>
    <row r="90" ht="14.25" customHeight="1">
      <c r="A90" s="14" t="s">
        <v>1120</v>
      </c>
      <c r="B90" s="33" t="s">
        <v>452</v>
      </c>
      <c r="C90" s="31" t="str">
        <f>IFERROR(__xludf.DUMMYFUNCTION("JOIN("","",FILTER(Disciplinas!A:A, regexmatch(Disciplinas!D:D, B90)))"),"182561,182334")</f>
        <v>182561,182334</v>
      </c>
      <c r="D90" s="32" t="s">
        <v>1032</v>
      </c>
      <c r="E90" s="32" t="s">
        <v>1032</v>
      </c>
      <c r="F90" s="32" t="s">
        <v>1032</v>
      </c>
      <c r="G90" s="32" t="s">
        <v>1032</v>
      </c>
      <c r="H90" s="32" t="s">
        <v>1032</v>
      </c>
      <c r="I90" s="32" t="s">
        <v>1032</v>
      </c>
    </row>
    <row r="91" ht="14.25" customHeight="1">
      <c r="A91" s="14" t="s">
        <v>1121</v>
      </c>
      <c r="B91" s="33" t="s">
        <v>455</v>
      </c>
      <c r="C91" s="31" t="str">
        <f>IFERROR(__xludf.DUMMYFUNCTION("JOIN("","",FILTER(Disciplinas!A:A, regexmatch(Disciplinas!D:D, B91)))"),"182273,182562,182512,182519")</f>
        <v>182273,182562,182512,182519</v>
      </c>
      <c r="D91" s="32" t="s">
        <v>1032</v>
      </c>
      <c r="E91" s="32" t="s">
        <v>1032</v>
      </c>
      <c r="F91" s="32" t="s">
        <v>1032</v>
      </c>
      <c r="G91" s="32" t="s">
        <v>1032</v>
      </c>
      <c r="H91" s="32" t="s">
        <v>1032</v>
      </c>
      <c r="I91" s="32" t="s">
        <v>1032</v>
      </c>
    </row>
    <row r="92" ht="14.25" customHeight="1">
      <c r="A92" s="14" t="s">
        <v>1122</v>
      </c>
      <c r="B92" s="33" t="s">
        <v>463</v>
      </c>
      <c r="C92" s="31" t="str">
        <f>IFERROR(__xludf.DUMMYFUNCTION("JOIN("","",FILTER(Disciplinas!A:A, regexmatch(Disciplinas!D:D, B92)))"),"182565,183539")</f>
        <v>182565,183539</v>
      </c>
      <c r="D92" s="32" t="s">
        <v>1032</v>
      </c>
      <c r="E92" s="32" t="s">
        <v>1032</v>
      </c>
      <c r="F92" s="32" t="s">
        <v>1032</v>
      </c>
      <c r="G92" s="32" t="s">
        <v>1032</v>
      </c>
      <c r="H92" s="32" t="s">
        <v>1032</v>
      </c>
      <c r="I92" s="32" t="s">
        <v>1032</v>
      </c>
    </row>
    <row r="93" ht="14.25" customHeight="1">
      <c r="A93" s="14" t="s">
        <v>1123</v>
      </c>
      <c r="B93" s="33" t="s">
        <v>466</v>
      </c>
      <c r="C93" s="31" t="str">
        <f>IFERROR(__xludf.DUMMYFUNCTION("JOIN("","",FILTER(Disciplinas!A:A, regexmatch(Disciplinas!D:D, B93)))"),"182566,182341")</f>
        <v>182566,182341</v>
      </c>
      <c r="D93" s="32" t="s">
        <v>1032</v>
      </c>
      <c r="E93" s="32" t="s">
        <v>1032</v>
      </c>
      <c r="F93" s="32" t="s">
        <v>1032</v>
      </c>
      <c r="G93" s="32" t="s">
        <v>1032</v>
      </c>
      <c r="H93" s="32" t="s">
        <v>1032</v>
      </c>
      <c r="I93" s="32" t="s">
        <v>1032</v>
      </c>
    </row>
    <row r="94" ht="14.25" customHeight="1">
      <c r="A94" s="14" t="s">
        <v>1124</v>
      </c>
      <c r="B94" s="33" t="s">
        <v>469</v>
      </c>
      <c r="C94" s="31" t="str">
        <f>IFERROR(__xludf.DUMMYFUNCTION("JOIN("","",FILTER(Disciplinas!A:A, regexmatch(Disciplinas!D:D, B94)))"),"182567,182342,182352")</f>
        <v>182567,182342,182352</v>
      </c>
      <c r="D94" s="32" t="s">
        <v>1032</v>
      </c>
      <c r="E94" s="32" t="s">
        <v>1032</v>
      </c>
      <c r="F94" s="32" t="s">
        <v>1032</v>
      </c>
      <c r="G94" s="32" t="s">
        <v>1032</v>
      </c>
      <c r="H94" s="32" t="s">
        <v>1032</v>
      </c>
      <c r="I94" s="32" t="s">
        <v>1032</v>
      </c>
    </row>
    <row r="95" ht="14.25" customHeight="1">
      <c r="A95" s="14" t="s">
        <v>1125</v>
      </c>
      <c r="B95" s="33" t="s">
        <v>472</v>
      </c>
      <c r="C95" s="31" t="str">
        <f>IFERROR(__xludf.DUMMYFUNCTION("JOIN("","",FILTER(Disciplinas!A:A, regexmatch(Disciplinas!D:D, B95)))"),"182568")</f>
        <v>182568</v>
      </c>
      <c r="D95" s="32" t="s">
        <v>1032</v>
      </c>
      <c r="E95" s="32" t="s">
        <v>1032</v>
      </c>
      <c r="F95" s="32" t="s">
        <v>1032</v>
      </c>
      <c r="G95" s="32" t="s">
        <v>1032</v>
      </c>
      <c r="H95" s="32" t="s">
        <v>1032</v>
      </c>
      <c r="I95" s="32" t="s">
        <v>1032</v>
      </c>
    </row>
    <row r="96" ht="14.25" customHeight="1">
      <c r="A96" s="14" t="s">
        <v>1126</v>
      </c>
      <c r="B96" s="33" t="s">
        <v>479</v>
      </c>
      <c r="C96" s="31" t="str">
        <f>IFERROR(__xludf.DUMMYFUNCTION("JOIN("","",FILTER(Disciplinas!A:A, regexmatch(Disciplinas!D:D, B96)))"),"182572,182578")</f>
        <v>182572,182578</v>
      </c>
      <c r="D96" s="32" t="s">
        <v>1032</v>
      </c>
      <c r="E96" s="32" t="s">
        <v>1032</v>
      </c>
      <c r="F96" s="32" t="s">
        <v>1032</v>
      </c>
      <c r="G96" s="32" t="s">
        <v>1032</v>
      </c>
      <c r="H96" s="32" t="s">
        <v>1032</v>
      </c>
      <c r="I96" s="32" t="s">
        <v>1032</v>
      </c>
    </row>
    <row r="97" ht="14.25" customHeight="1">
      <c r="A97" s="14" t="s">
        <v>1127</v>
      </c>
      <c r="B97" s="33" t="s">
        <v>484</v>
      </c>
      <c r="C97" s="31" t="str">
        <f>IFERROR(__xludf.DUMMYFUNCTION("JOIN("","",FILTER(Disciplinas!A:A, regexmatch(Disciplinas!D:D, B97)))"),"182573")</f>
        <v>182573</v>
      </c>
      <c r="D97" s="32" t="s">
        <v>1032</v>
      </c>
      <c r="E97" s="32" t="s">
        <v>1032</v>
      </c>
      <c r="F97" s="32" t="s">
        <v>1032</v>
      </c>
      <c r="G97" s="32" t="s">
        <v>1032</v>
      </c>
      <c r="H97" s="32" t="s">
        <v>1032</v>
      </c>
      <c r="I97" s="32" t="s">
        <v>1032</v>
      </c>
    </row>
    <row r="98" ht="14.25" customHeight="1">
      <c r="A98" s="14" t="s">
        <v>1128</v>
      </c>
      <c r="B98" s="33" t="s">
        <v>490</v>
      </c>
      <c r="C98" s="31" t="str">
        <f>IFERROR(__xludf.DUMMYFUNCTION("JOIN("","",FILTER(Disciplinas!A:A, regexmatch(Disciplinas!D:D, B98)))"),"182575,182349,182353,182354")</f>
        <v>182575,182349,182353,182354</v>
      </c>
      <c r="D98" s="32" t="s">
        <v>1032</v>
      </c>
      <c r="E98" s="32" t="s">
        <v>1032</v>
      </c>
      <c r="F98" s="32" t="s">
        <v>1032</v>
      </c>
      <c r="G98" s="32" t="s">
        <v>1032</v>
      </c>
      <c r="H98" s="32" t="s">
        <v>1032</v>
      </c>
      <c r="I98" s="32" t="s">
        <v>1032</v>
      </c>
    </row>
    <row r="99" ht="14.25" customHeight="1">
      <c r="A99" s="14" t="s">
        <v>1129</v>
      </c>
      <c r="B99" s="33" t="s">
        <v>493</v>
      </c>
      <c r="C99" s="31" t="str">
        <f>IFERROR(__xludf.DUMMYFUNCTION("JOIN("","",FILTER(Disciplinas!A:A, regexmatch(Disciplinas!D:D, B99)))"),"182568,182576,183864")</f>
        <v>182568,182576,183864</v>
      </c>
      <c r="D99" s="32" t="s">
        <v>1032</v>
      </c>
      <c r="E99" s="32" t="s">
        <v>1032</v>
      </c>
      <c r="F99" s="32" t="s">
        <v>1032</v>
      </c>
      <c r="G99" s="32" t="s">
        <v>1032</v>
      </c>
      <c r="H99" s="32" t="s">
        <v>1032</v>
      </c>
      <c r="I99" s="32" t="s">
        <v>1032</v>
      </c>
    </row>
    <row r="100" ht="14.25" customHeight="1">
      <c r="A100" s="14" t="s">
        <v>1130</v>
      </c>
      <c r="B100" s="33" t="s">
        <v>496</v>
      </c>
      <c r="C100" s="31" t="str">
        <f>IFERROR(__xludf.DUMMYFUNCTION("JOIN("","",FILTER(Disciplinas!A:A, regexmatch(Disciplinas!D:D, B100)))"),"182577,182345,182443,182592")</f>
        <v>182577,182345,182443,182592</v>
      </c>
      <c r="D100" s="32" t="s">
        <v>1032</v>
      </c>
      <c r="E100" s="32" t="s">
        <v>1032</v>
      </c>
      <c r="F100" s="32" t="s">
        <v>1032</v>
      </c>
      <c r="G100" s="32" t="s">
        <v>1032</v>
      </c>
      <c r="H100" s="32" t="s">
        <v>1032</v>
      </c>
      <c r="I100" s="32" t="s">
        <v>1032</v>
      </c>
    </row>
    <row r="101" ht="14.25" customHeight="1">
      <c r="A101" s="14" t="s">
        <v>1131</v>
      </c>
      <c r="B101" s="33" t="s">
        <v>499</v>
      </c>
      <c r="C101" s="31" t="str">
        <f>IFERROR(__xludf.DUMMYFUNCTION("JOIN("","",FILTER(Disciplinas!A:A, regexmatch(Disciplinas!D:D, B101)))"),"182579")</f>
        <v>182579</v>
      </c>
      <c r="D101" s="32" t="s">
        <v>1032</v>
      </c>
      <c r="E101" s="32" t="s">
        <v>1032</v>
      </c>
      <c r="F101" s="32" t="s">
        <v>1032</v>
      </c>
      <c r="G101" s="32" t="s">
        <v>1032</v>
      </c>
      <c r="H101" s="32" t="s">
        <v>1032</v>
      </c>
      <c r="I101" s="32" t="s">
        <v>1032</v>
      </c>
    </row>
    <row r="102" ht="14.25" customHeight="1">
      <c r="A102" s="14" t="s">
        <v>1132</v>
      </c>
      <c r="B102" s="33" t="s">
        <v>513</v>
      </c>
      <c r="C102" s="31" t="str">
        <f>IFERROR(__xludf.DUMMYFUNCTION("JOIN("","",FILTER(Disciplinas!A:A, regexmatch(Disciplinas!D:D, B102)))"),"182337,182347,183495,182375,182495")</f>
        <v>182337,182347,183495,182375,182495</v>
      </c>
      <c r="D102" s="32" t="s">
        <v>1032</v>
      </c>
      <c r="E102" s="32" t="s">
        <v>1032</v>
      </c>
      <c r="F102" s="32" t="s">
        <v>1032</v>
      </c>
      <c r="G102" s="32" t="s">
        <v>1032</v>
      </c>
      <c r="H102" s="32" t="s">
        <v>1032</v>
      </c>
      <c r="I102" s="32" t="s">
        <v>1032</v>
      </c>
    </row>
    <row r="103" ht="14.25" customHeight="1">
      <c r="A103" s="14" t="s">
        <v>1133</v>
      </c>
      <c r="B103" s="33" t="s">
        <v>525</v>
      </c>
      <c r="C103" s="31" t="str">
        <f>IFERROR(__xludf.DUMMYFUNCTION("JOIN("","",FILTER(Disciplinas!A:A, regexmatch(Disciplinas!D:D, B103)))"),"182346,183488,183521")</f>
        <v>182346,183488,183521</v>
      </c>
      <c r="D103" s="32" t="s">
        <v>1032</v>
      </c>
      <c r="E103" s="32" t="s">
        <v>1032</v>
      </c>
      <c r="F103" s="32" t="s">
        <v>1032</v>
      </c>
      <c r="G103" s="32" t="s">
        <v>1032</v>
      </c>
      <c r="H103" s="32" t="s">
        <v>1032</v>
      </c>
      <c r="I103" s="32" t="s">
        <v>1032</v>
      </c>
    </row>
    <row r="104" ht="14.25" customHeight="1">
      <c r="A104" s="14" t="s">
        <v>1134</v>
      </c>
      <c r="B104" s="33" t="s">
        <v>534</v>
      </c>
      <c r="C104" s="31" t="str">
        <f>IFERROR(__xludf.DUMMYFUNCTION("JOIN("","",FILTER(Disciplinas!A:A, regexmatch(Disciplinas!D:D, B104)))"),"182350,183540")</f>
        <v>182350,183540</v>
      </c>
      <c r="D104" s="32" t="s">
        <v>1032</v>
      </c>
      <c r="E104" s="32" t="s">
        <v>1032</v>
      </c>
      <c r="F104" s="32" t="s">
        <v>1032</v>
      </c>
      <c r="G104" s="32" t="s">
        <v>1032</v>
      </c>
      <c r="H104" s="32" t="s">
        <v>1032</v>
      </c>
      <c r="I104" s="32" t="s">
        <v>1032</v>
      </c>
    </row>
    <row r="105" ht="14.25" customHeight="1">
      <c r="A105" s="14" t="s">
        <v>1135</v>
      </c>
      <c r="B105" s="33" t="s">
        <v>540</v>
      </c>
      <c r="C105" s="31" t="str">
        <f>IFERROR(__xludf.DUMMYFUNCTION("JOIN("","",FILTER(Disciplinas!A:A, regexmatch(Disciplinas!D:D, B105)))"),"182353")</f>
        <v>182353</v>
      </c>
      <c r="D105" s="32" t="s">
        <v>1032</v>
      </c>
      <c r="E105" s="32" t="s">
        <v>1032</v>
      </c>
      <c r="F105" s="32" t="s">
        <v>1032</v>
      </c>
      <c r="G105" s="32" t="s">
        <v>1032</v>
      </c>
      <c r="H105" s="32" t="s">
        <v>1032</v>
      </c>
      <c r="I105" s="32" t="s">
        <v>1032</v>
      </c>
    </row>
    <row r="106" ht="14.25" customHeight="1">
      <c r="A106" s="14" t="s">
        <v>1136</v>
      </c>
      <c r="B106" s="33" t="s">
        <v>543</v>
      </c>
      <c r="C106" s="31" t="str">
        <f>IFERROR(__xludf.DUMMYFUNCTION("JOIN("","",FILTER(Disciplinas!A:A, regexmatch(Disciplinas!D:D, B106)))"),"182354")</f>
        <v>182354</v>
      </c>
      <c r="D106" s="32" t="s">
        <v>1032</v>
      </c>
      <c r="E106" s="32" t="s">
        <v>1032</v>
      </c>
      <c r="F106" s="32" t="s">
        <v>1032</v>
      </c>
      <c r="G106" s="32" t="s">
        <v>1032</v>
      </c>
      <c r="H106" s="32" t="s">
        <v>1032</v>
      </c>
      <c r="I106" s="32" t="s">
        <v>1032</v>
      </c>
    </row>
    <row r="107" ht="14.25" customHeight="1">
      <c r="A107" s="14" t="s">
        <v>1137</v>
      </c>
      <c r="B107" s="33" t="s">
        <v>549</v>
      </c>
      <c r="C107" s="31" t="str">
        <f>IFERROR(__xludf.DUMMYFUNCTION("JOIN("","",FILTER(Disciplinas!A:A, regexmatch(Disciplinas!D:D, B107)))"),"183865,182362")</f>
        <v>183865,182362</v>
      </c>
      <c r="D107" s="32" t="s">
        <v>1032</v>
      </c>
      <c r="E107" s="32" t="s">
        <v>1032</v>
      </c>
      <c r="F107" s="32" t="s">
        <v>1032</v>
      </c>
      <c r="G107" s="32" t="s">
        <v>1032</v>
      </c>
      <c r="H107" s="32" t="s">
        <v>1032</v>
      </c>
      <c r="I107" s="32" t="s">
        <v>1032</v>
      </c>
    </row>
    <row r="108" ht="14.25" customHeight="1">
      <c r="A108" s="14" t="s">
        <v>1138</v>
      </c>
      <c r="B108" s="33" t="s">
        <v>552</v>
      </c>
      <c r="C108" s="31" t="str">
        <f>IFERROR(__xludf.DUMMYFUNCTION("JOIN("","",FILTER(Disciplinas!A:A, regexmatch(Disciplinas!D:D, B108)))"),"182566,182341,183863")</f>
        <v>182566,182341,183863</v>
      </c>
      <c r="D108" s="32" t="s">
        <v>1032</v>
      </c>
      <c r="E108" s="32" t="s">
        <v>1032</v>
      </c>
      <c r="F108" s="32" t="s">
        <v>1032</v>
      </c>
      <c r="G108" s="32" t="s">
        <v>1032</v>
      </c>
      <c r="H108" s="32" t="s">
        <v>1032</v>
      </c>
      <c r="I108" s="32" t="s">
        <v>1032</v>
      </c>
    </row>
    <row r="109" ht="14.25" customHeight="1">
      <c r="A109" s="14" t="s">
        <v>1139</v>
      </c>
      <c r="B109" s="33" t="s">
        <v>569</v>
      </c>
      <c r="C109" s="31" t="str">
        <f>IFERROR(__xludf.DUMMYFUNCTION("JOIN("","",FILTER(Disciplinas!A:A, regexmatch(Disciplinas!D:D, B109)))"),"183496")</f>
        <v>183496</v>
      </c>
      <c r="D109" s="32" t="s">
        <v>1032</v>
      </c>
      <c r="E109" s="32" t="s">
        <v>1032</v>
      </c>
      <c r="F109" s="32" t="s">
        <v>1032</v>
      </c>
      <c r="G109" s="32" t="s">
        <v>1032</v>
      </c>
      <c r="H109" s="32" t="s">
        <v>1032</v>
      </c>
      <c r="I109" s="32" t="s">
        <v>1032</v>
      </c>
    </row>
    <row r="110" ht="14.25" customHeight="1">
      <c r="A110" s="14" t="s">
        <v>1140</v>
      </c>
      <c r="B110" s="33" t="s">
        <v>572</v>
      </c>
      <c r="C110" s="31" t="str">
        <f>IFERROR(__xludf.DUMMYFUNCTION("JOIN("","",FILTER(Disciplinas!A:A, regexmatch(Disciplinas!D:D, B110)))"),"183493,183492,183533,182509")</f>
        <v>183493,183492,183533,182509</v>
      </c>
      <c r="D110" s="32" t="s">
        <v>1032</v>
      </c>
      <c r="E110" s="32" t="s">
        <v>1032</v>
      </c>
      <c r="F110" s="32" t="s">
        <v>1032</v>
      </c>
      <c r="G110" s="32" t="s">
        <v>1032</v>
      </c>
      <c r="H110" s="32" t="s">
        <v>1032</v>
      </c>
      <c r="I110" s="32" t="s">
        <v>1032</v>
      </c>
    </row>
    <row r="111" ht="14.25" customHeight="1">
      <c r="A111" s="14" t="s">
        <v>1141</v>
      </c>
      <c r="B111" s="33" t="s">
        <v>577</v>
      </c>
      <c r="C111" s="31" t="str">
        <f>IFERROR(__xludf.DUMMYFUNCTION("JOIN("","",FILTER(Disciplinas!A:A, regexmatch(Disciplinas!D:D, B111)))"),"183494,182312,182414")</f>
        <v>183494,182312,182414</v>
      </c>
      <c r="D111" s="32" t="s">
        <v>1032</v>
      </c>
      <c r="E111" s="32" t="s">
        <v>1032</v>
      </c>
      <c r="F111" s="32" t="s">
        <v>1032</v>
      </c>
      <c r="G111" s="32" t="s">
        <v>1032</v>
      </c>
      <c r="H111" s="32" t="s">
        <v>1032</v>
      </c>
      <c r="I111" s="32" t="s">
        <v>1032</v>
      </c>
    </row>
    <row r="112" ht="14.25" customHeight="1">
      <c r="A112" s="14" t="s">
        <v>1142</v>
      </c>
      <c r="B112" s="33" t="s">
        <v>581</v>
      </c>
      <c r="C112" s="31" t="str">
        <f>IFERROR(__xludf.DUMMYFUNCTION("JOIN("","",FILTER(Disciplinas!A:A, regexmatch(Disciplinas!D:D, B112)))"),"182310,182323,183867")</f>
        <v>182310,182323,183867</v>
      </c>
      <c r="D112" s="32" t="s">
        <v>1032</v>
      </c>
      <c r="E112" s="32" t="s">
        <v>1032</v>
      </c>
      <c r="F112" s="32" t="s">
        <v>1032</v>
      </c>
      <c r="G112" s="32" t="s">
        <v>1032</v>
      </c>
      <c r="H112" s="32" t="s">
        <v>1032</v>
      </c>
      <c r="I112" s="32" t="s">
        <v>1032</v>
      </c>
    </row>
    <row r="113" ht="14.25" customHeight="1">
      <c r="A113" s="14" t="s">
        <v>1143</v>
      </c>
      <c r="B113" s="33" t="s">
        <v>584</v>
      </c>
      <c r="C113" s="31" t="str">
        <f>IFERROR(__xludf.DUMMYFUNCTION("JOIN("","",FILTER(Disciplinas!A:A, regexmatch(Disciplinas!D:D, B113)))"),"182309")</f>
        <v>182309</v>
      </c>
      <c r="D113" s="32" t="s">
        <v>1032</v>
      </c>
      <c r="E113" s="32" t="s">
        <v>1032</v>
      </c>
      <c r="F113" s="32" t="s">
        <v>1032</v>
      </c>
      <c r="G113" s="32" t="s">
        <v>1032</v>
      </c>
      <c r="H113" s="32" t="s">
        <v>1032</v>
      </c>
      <c r="I113" s="32" t="s">
        <v>1032</v>
      </c>
    </row>
    <row r="114" ht="14.25" customHeight="1">
      <c r="A114" s="14" t="s">
        <v>1144</v>
      </c>
      <c r="B114" s="33" t="s">
        <v>587</v>
      </c>
      <c r="C114" s="31" t="str">
        <f>IFERROR(__xludf.DUMMYFUNCTION("JOIN("","",FILTER(Disciplinas!A:A, regexmatch(Disciplinas!D:D, B114)))"),"182311,182319,182326")</f>
        <v>182311,182319,182326</v>
      </c>
      <c r="D114" s="32" t="s">
        <v>1032</v>
      </c>
      <c r="E114" s="32" t="s">
        <v>1032</v>
      </c>
      <c r="F114" s="32" t="s">
        <v>1032</v>
      </c>
      <c r="G114" s="32" t="s">
        <v>1032</v>
      </c>
      <c r="H114" s="32" t="s">
        <v>1032</v>
      </c>
      <c r="I114" s="32" t="s">
        <v>1032</v>
      </c>
    </row>
    <row r="115" ht="14.25" customHeight="1">
      <c r="A115" s="14" t="s">
        <v>1145</v>
      </c>
      <c r="B115" s="33" t="s">
        <v>592</v>
      </c>
      <c r="C115" s="31" t="str">
        <f>IFERROR(__xludf.DUMMYFUNCTION("JOIN("","",FILTER(Disciplinas!A:A, regexmatch(Disciplinas!D:D, B115)))"),"182313,182322,183673")</f>
        <v>182313,182322,183673</v>
      </c>
      <c r="D115" s="32" t="s">
        <v>1032</v>
      </c>
      <c r="E115" s="32" t="s">
        <v>1032</v>
      </c>
      <c r="F115" s="32" t="s">
        <v>1032</v>
      </c>
      <c r="G115" s="32" t="s">
        <v>1032</v>
      </c>
      <c r="H115" s="32" t="s">
        <v>1032</v>
      </c>
      <c r="I115" s="32" t="s">
        <v>1032</v>
      </c>
    </row>
    <row r="116" ht="14.25" customHeight="1">
      <c r="A116" s="14" t="s">
        <v>1146</v>
      </c>
      <c r="B116" s="33" t="s">
        <v>597</v>
      </c>
      <c r="C116" s="31" t="str">
        <f>IFERROR(__xludf.DUMMYFUNCTION("JOIN("","",FILTER(Disciplinas!A:A, regexmatch(Disciplinas!D:D, B116)))"),"182315,183866,183667")</f>
        <v>182315,183866,183667</v>
      </c>
      <c r="D116" s="32" t="s">
        <v>1032</v>
      </c>
      <c r="E116" s="32" t="s">
        <v>1032</v>
      </c>
      <c r="F116" s="32" t="s">
        <v>1032</v>
      </c>
      <c r="G116" s="32" t="s">
        <v>1032</v>
      </c>
      <c r="H116" s="32" t="s">
        <v>1032</v>
      </c>
      <c r="I116" s="32" t="s">
        <v>1032</v>
      </c>
    </row>
    <row r="117" ht="14.25" customHeight="1">
      <c r="A117" s="14" t="s">
        <v>1147</v>
      </c>
      <c r="B117" s="33" t="s">
        <v>600</v>
      </c>
      <c r="C117" s="31" t="str">
        <f>IFERROR(__xludf.DUMMYFUNCTION("JOIN("","",FILTER(Disciplinas!A:A, regexmatch(Disciplinas!D:D, B117)))"),"182316,182372,183670")</f>
        <v>182316,182372,183670</v>
      </c>
      <c r="D117" s="32" t="s">
        <v>1032</v>
      </c>
      <c r="E117" s="32" t="s">
        <v>1032</v>
      </c>
      <c r="F117" s="32" t="s">
        <v>1032</v>
      </c>
      <c r="G117" s="32" t="s">
        <v>1032</v>
      </c>
      <c r="H117" s="32" t="s">
        <v>1032</v>
      </c>
      <c r="I117" s="32" t="s">
        <v>1032</v>
      </c>
    </row>
    <row r="118" ht="14.25" customHeight="1">
      <c r="A118" s="14" t="s">
        <v>1148</v>
      </c>
      <c r="B118" s="33" t="s">
        <v>603</v>
      </c>
      <c r="C118" s="31" t="str">
        <f>IFERROR(__xludf.DUMMYFUNCTION("JOIN("","",FILTER(Disciplinas!A:A, regexmatch(Disciplinas!D:D, B118)))"),"182317,182324,182498")</f>
        <v>182317,182324,182498</v>
      </c>
      <c r="D118" s="32" t="s">
        <v>1032</v>
      </c>
      <c r="E118" s="32" t="s">
        <v>1032</v>
      </c>
      <c r="F118" s="32" t="s">
        <v>1032</v>
      </c>
      <c r="G118" s="32" t="s">
        <v>1032</v>
      </c>
      <c r="H118" s="32" t="s">
        <v>1032</v>
      </c>
      <c r="I118" s="32" t="s">
        <v>1032</v>
      </c>
    </row>
    <row r="119" ht="14.25" customHeight="1">
      <c r="A119" s="14" t="s">
        <v>1149</v>
      </c>
      <c r="B119" s="33" t="s">
        <v>606</v>
      </c>
      <c r="C119" s="31" t="str">
        <f>IFERROR(__xludf.DUMMYFUNCTION("JOIN("","",FILTER(Disciplinas!A:A, regexmatch(Disciplinas!D:D, B119)))"),"182318,182320,183672")</f>
        <v>182318,182320,183672</v>
      </c>
      <c r="D119" s="32" t="s">
        <v>1032</v>
      </c>
      <c r="E119" s="32" t="s">
        <v>1032</v>
      </c>
      <c r="F119" s="32" t="s">
        <v>1032</v>
      </c>
      <c r="G119" s="32" t="s">
        <v>1032</v>
      </c>
      <c r="H119" s="32" t="s">
        <v>1032</v>
      </c>
      <c r="I119" s="32" t="s">
        <v>1032</v>
      </c>
    </row>
    <row r="120" ht="14.25" customHeight="1">
      <c r="A120" s="14" t="s">
        <v>1150</v>
      </c>
      <c r="B120" s="33" t="s">
        <v>616</v>
      </c>
      <c r="C120" s="31" t="str">
        <f>IFERROR(__xludf.DUMMYFUNCTION("JOIN("","",FILTER(Disciplinas!A:A, regexmatch(Disciplinas!D:D, B120)))"),"182321,182327,183669")</f>
        <v>182321,182327,183669</v>
      </c>
      <c r="D120" s="32" t="s">
        <v>1032</v>
      </c>
      <c r="E120" s="32" t="s">
        <v>1032</v>
      </c>
      <c r="F120" s="32" t="s">
        <v>1032</v>
      </c>
      <c r="G120" s="32" t="s">
        <v>1032</v>
      </c>
      <c r="H120" s="32" t="s">
        <v>1032</v>
      </c>
      <c r="I120" s="32" t="s">
        <v>1032</v>
      </c>
    </row>
    <row r="121" ht="14.25" customHeight="1">
      <c r="A121" s="14" t="s">
        <v>1151</v>
      </c>
      <c r="B121" s="33" t="s">
        <v>626</v>
      </c>
      <c r="C121" s="31" t="str">
        <f>IFERROR(__xludf.DUMMYFUNCTION("JOIN("","",FILTER(Disciplinas!A:A, regexmatch(Disciplinas!D:D, B121)))"),"182325")</f>
        <v>182325</v>
      </c>
      <c r="D121" s="32" t="s">
        <v>1032</v>
      </c>
      <c r="E121" s="32" t="s">
        <v>1032</v>
      </c>
      <c r="F121" s="32" t="s">
        <v>1032</v>
      </c>
      <c r="G121" s="32" t="s">
        <v>1032</v>
      </c>
      <c r="H121" s="32" t="s">
        <v>1032</v>
      </c>
      <c r="I121" s="32" t="s">
        <v>1032</v>
      </c>
    </row>
    <row r="122" ht="14.25" customHeight="1">
      <c r="A122" s="14" t="s">
        <v>1152</v>
      </c>
      <c r="B122" s="33" t="s">
        <v>636</v>
      </c>
      <c r="C122" s="31" t="str">
        <f>IFERROR(__xludf.DUMMYFUNCTION("JOIN("","",FILTER(Disciplinas!A:A, regexmatch(Disciplinas!D:D, B122)))"),"182406,182407,182412")</f>
        <v>182406,182407,182412</v>
      </c>
      <c r="D122" s="32" t="s">
        <v>1032</v>
      </c>
      <c r="E122" s="32" t="s">
        <v>1032</v>
      </c>
      <c r="F122" s="32" t="s">
        <v>1032</v>
      </c>
      <c r="G122" s="32" t="s">
        <v>1032</v>
      </c>
      <c r="H122" s="32" t="s">
        <v>1032</v>
      </c>
      <c r="I122" s="32" t="s">
        <v>1032</v>
      </c>
    </row>
    <row r="123" ht="14.25" customHeight="1">
      <c r="A123" s="14" t="s">
        <v>1153</v>
      </c>
      <c r="B123" s="33" t="s">
        <v>643</v>
      </c>
      <c r="C123" s="31" t="str">
        <f>IFERROR(__xludf.DUMMYFUNCTION("JOIN("","",FILTER(Disciplinas!A:A, regexmatch(Disciplinas!D:D, B123)))"),"182409,182430")</f>
        <v>182409,182430</v>
      </c>
      <c r="D123" s="32" t="s">
        <v>1032</v>
      </c>
      <c r="E123" s="32" t="s">
        <v>1032</v>
      </c>
      <c r="F123" s="32" t="s">
        <v>1032</v>
      </c>
      <c r="G123" s="32" t="s">
        <v>1032</v>
      </c>
      <c r="H123" s="32" t="s">
        <v>1032</v>
      </c>
      <c r="I123" s="32" t="s">
        <v>1032</v>
      </c>
    </row>
    <row r="124" ht="14.25" customHeight="1">
      <c r="A124" s="14" t="s">
        <v>1154</v>
      </c>
      <c r="B124" s="33" t="s">
        <v>647</v>
      </c>
      <c r="C124" s="31" t="str">
        <f>IFERROR(__xludf.DUMMYFUNCTION("JOIN("","",FILTER(Disciplinas!A:A, regexmatch(Disciplinas!D:D, B124)))"),"182411,182361,182500,182595")</f>
        <v>182411,182361,182500,182595</v>
      </c>
      <c r="D124" s="32" t="s">
        <v>1032</v>
      </c>
      <c r="E124" s="32" t="s">
        <v>1032</v>
      </c>
      <c r="F124" s="32" t="s">
        <v>1032</v>
      </c>
      <c r="G124" s="32" t="s">
        <v>1032</v>
      </c>
      <c r="H124" s="32" t="s">
        <v>1032</v>
      </c>
      <c r="I124" s="32" t="s">
        <v>1032</v>
      </c>
    </row>
    <row r="125" ht="14.25" customHeight="1">
      <c r="A125" s="14" t="s">
        <v>1155</v>
      </c>
      <c r="B125" s="33" t="s">
        <v>653</v>
      </c>
      <c r="C125" s="31" t="str">
        <f>IFERROR(__xludf.DUMMYFUNCTION("JOIN("","",FILTER(Disciplinas!A:A, regexmatch(Disciplinas!D:D, B125)))"),"182413,182415,182489,182492,182585")</f>
        <v>182413,182415,182489,182492,182585</v>
      </c>
      <c r="D125" s="32" t="s">
        <v>1032</v>
      </c>
      <c r="E125" s="32" t="s">
        <v>1032</v>
      </c>
      <c r="F125" s="32" t="s">
        <v>1032</v>
      </c>
      <c r="G125" s="32" t="s">
        <v>1032</v>
      </c>
      <c r="H125" s="32" t="s">
        <v>1032</v>
      </c>
      <c r="I125" s="32" t="s">
        <v>1032</v>
      </c>
    </row>
    <row r="126" ht="14.25" customHeight="1">
      <c r="A126" s="14" t="s">
        <v>1156</v>
      </c>
      <c r="B126" s="33" t="s">
        <v>658</v>
      </c>
      <c r="C126" s="31" t="str">
        <f>IFERROR(__xludf.DUMMYFUNCTION("JOIN("","",FILTER(Disciplinas!A:A, regexmatch(Disciplinas!D:D, B126)))"),"182416,182419,182369")</f>
        <v>182416,182419,182369</v>
      </c>
      <c r="D126" s="32" t="s">
        <v>1032</v>
      </c>
      <c r="E126" s="32" t="s">
        <v>1032</v>
      </c>
      <c r="F126" s="32" t="s">
        <v>1032</v>
      </c>
      <c r="G126" s="32" t="s">
        <v>1032</v>
      </c>
      <c r="H126" s="32" t="s">
        <v>1032</v>
      </c>
      <c r="I126" s="32" t="s">
        <v>1032</v>
      </c>
    </row>
    <row r="127" ht="14.25" customHeight="1">
      <c r="A127" s="14" t="s">
        <v>1157</v>
      </c>
      <c r="B127" s="33" t="s">
        <v>663</v>
      </c>
      <c r="C127" s="31" t="str">
        <f>IFERROR(__xludf.DUMMYFUNCTION("JOIN("","",FILTER(Disciplinas!A:A, regexmatch(Disciplinas!D:D, B127)))"),"182418,182374,182382,183511,183897")</f>
        <v>182418,182374,182382,183511,183897</v>
      </c>
      <c r="D127" s="32" t="s">
        <v>1032</v>
      </c>
      <c r="E127" s="32" t="s">
        <v>1032</v>
      </c>
      <c r="F127" s="32" t="s">
        <v>1032</v>
      </c>
      <c r="G127" s="32" t="s">
        <v>1032</v>
      </c>
      <c r="H127" s="32" t="s">
        <v>1032</v>
      </c>
      <c r="I127" s="32" t="s">
        <v>1032</v>
      </c>
    </row>
    <row r="128" ht="14.25" customHeight="1">
      <c r="A128" s="14" t="s">
        <v>1158</v>
      </c>
      <c r="B128" s="33" t="s">
        <v>669</v>
      </c>
      <c r="C128" s="31" t="str">
        <f>IFERROR(__xludf.DUMMYFUNCTION("JOIN("","",FILTER(Disciplinas!A:A, regexmatch(Disciplinas!D:D, B128)))"),"182420,182381,182392")</f>
        <v>182420,182381,182392</v>
      </c>
      <c r="D128" s="32" t="s">
        <v>1032</v>
      </c>
      <c r="E128" s="32" t="s">
        <v>1032</v>
      </c>
      <c r="F128" s="32" t="s">
        <v>1032</v>
      </c>
      <c r="G128" s="32" t="s">
        <v>1032</v>
      </c>
      <c r="H128" s="32" t="s">
        <v>1032</v>
      </c>
      <c r="I128" s="32" t="s">
        <v>1032</v>
      </c>
    </row>
    <row r="129" ht="14.25" customHeight="1">
      <c r="A129" s="14" t="s">
        <v>1159</v>
      </c>
      <c r="B129" s="33" t="s">
        <v>672</v>
      </c>
      <c r="C129" s="31" t="str">
        <f>IFERROR(__xludf.DUMMYFUNCTION("JOIN("","",FILTER(Disciplinas!A:A, regexmatch(Disciplinas!D:D, B129)))"),"182421,183879")</f>
        <v>182421,183879</v>
      </c>
      <c r="D129" s="32" t="s">
        <v>1032</v>
      </c>
      <c r="E129" s="32" t="s">
        <v>1032</v>
      </c>
      <c r="F129" s="32" t="s">
        <v>1032</v>
      </c>
      <c r="G129" s="32" t="s">
        <v>1032</v>
      </c>
      <c r="H129" s="32" t="s">
        <v>1032</v>
      </c>
      <c r="I129" s="32" t="s">
        <v>1032</v>
      </c>
    </row>
    <row r="130" ht="14.25" customHeight="1">
      <c r="A130" s="14" t="s">
        <v>1160</v>
      </c>
      <c r="B130" s="33" t="s">
        <v>675</v>
      </c>
      <c r="C130" s="31" t="str">
        <f>IFERROR(__xludf.DUMMYFUNCTION("JOIN("","",FILTER(Disciplinas!A:A, regexmatch(Disciplinas!D:D, B130)))"),"182422,182445,182446")</f>
        <v>182422,182445,182446</v>
      </c>
      <c r="D130" s="32" t="s">
        <v>1032</v>
      </c>
      <c r="E130" s="32" t="s">
        <v>1032</v>
      </c>
      <c r="F130" s="32" t="s">
        <v>1032</v>
      </c>
      <c r="G130" s="32" t="s">
        <v>1032</v>
      </c>
      <c r="H130" s="32" t="s">
        <v>1032</v>
      </c>
      <c r="I130" s="32" t="s">
        <v>1032</v>
      </c>
    </row>
    <row r="131" ht="14.25" customHeight="1">
      <c r="A131" s="14" t="s">
        <v>1161</v>
      </c>
      <c r="B131" s="33" t="s">
        <v>678</v>
      </c>
      <c r="C131" s="31" t="str">
        <f>IFERROR(__xludf.DUMMYFUNCTION("JOIN("","",FILTER(Disciplinas!A:A, regexmatch(Disciplinas!D:D, B131)))"),"182423,182426")</f>
        <v>182423,182426</v>
      </c>
      <c r="D131" s="32" t="s">
        <v>1032</v>
      </c>
      <c r="E131" s="32" t="s">
        <v>1032</v>
      </c>
      <c r="F131" s="32" t="s">
        <v>1032</v>
      </c>
      <c r="G131" s="32" t="s">
        <v>1032</v>
      </c>
      <c r="H131" s="32" t="s">
        <v>1032</v>
      </c>
      <c r="I131" s="32" t="s">
        <v>1032</v>
      </c>
    </row>
    <row r="132" ht="14.25" customHeight="1">
      <c r="A132" s="14" t="s">
        <v>1162</v>
      </c>
      <c r="B132" s="33" t="s">
        <v>681</v>
      </c>
      <c r="C132" s="31" t="str">
        <f>IFERROR(__xludf.DUMMYFUNCTION("JOIN("","",FILTER(Disciplinas!A:A, regexmatch(Disciplinas!D:D, B132)))"),"182424,182427")</f>
        <v>182424,182427</v>
      </c>
      <c r="D132" s="32" t="s">
        <v>1032</v>
      </c>
      <c r="E132" s="32" t="s">
        <v>1032</v>
      </c>
      <c r="F132" s="32" t="s">
        <v>1032</v>
      </c>
      <c r="G132" s="32" t="s">
        <v>1032</v>
      </c>
      <c r="H132" s="32" t="s">
        <v>1032</v>
      </c>
      <c r="I132" s="32" t="s">
        <v>1032</v>
      </c>
    </row>
    <row r="133" ht="14.25" customHeight="1">
      <c r="A133" s="14" t="s">
        <v>1163</v>
      </c>
      <c r="B133" s="33" t="s">
        <v>684</v>
      </c>
      <c r="C133" s="31" t="str">
        <f>IFERROR(__xludf.DUMMYFUNCTION("JOIN("","",FILTER(Disciplinas!A:A, regexmatch(Disciplinas!D:D, B133)))"),"182425,183512,183517")</f>
        <v>182425,183512,183517</v>
      </c>
      <c r="D133" s="32" t="s">
        <v>1032</v>
      </c>
      <c r="E133" s="32" t="s">
        <v>1032</v>
      </c>
      <c r="F133" s="32" t="s">
        <v>1032</v>
      </c>
      <c r="G133" s="32" t="s">
        <v>1032</v>
      </c>
      <c r="H133" s="32" t="s">
        <v>1032</v>
      </c>
      <c r="I133" s="32" t="s">
        <v>1032</v>
      </c>
    </row>
    <row r="134" ht="14.25" customHeight="1">
      <c r="A134" s="14" t="s">
        <v>1164</v>
      </c>
      <c r="B134" s="33" t="s">
        <v>692</v>
      </c>
      <c r="C134" s="31" t="str">
        <f>IFERROR(__xludf.DUMMYFUNCTION("JOIN("","",FILTER(Disciplinas!A:A, regexmatch(Disciplinas!D:D, B134)))"),"182428,182434,183513,183514,183515")</f>
        <v>182428,182434,183513,183514,183515</v>
      </c>
      <c r="D134" s="32" t="s">
        <v>1032</v>
      </c>
      <c r="E134" s="32" t="s">
        <v>1032</v>
      </c>
      <c r="F134" s="32" t="s">
        <v>1032</v>
      </c>
      <c r="G134" s="32" t="s">
        <v>1032</v>
      </c>
      <c r="H134" s="32" t="s">
        <v>1032</v>
      </c>
      <c r="I134" s="32" t="s">
        <v>1032</v>
      </c>
    </row>
    <row r="135" ht="14.25" customHeight="1">
      <c r="A135" s="14" t="s">
        <v>1165</v>
      </c>
      <c r="B135" s="33" t="s">
        <v>697</v>
      </c>
      <c r="C135" s="31" t="str">
        <f>IFERROR(__xludf.DUMMYFUNCTION("JOIN("","",FILTER(Disciplinas!A:A, regexmatch(Disciplinas!D:D, B135)))"),"182429,182376,182379,183896")</f>
        <v>182429,182376,182379,183896</v>
      </c>
      <c r="D135" s="32" t="s">
        <v>1032</v>
      </c>
      <c r="E135" s="32" t="s">
        <v>1032</v>
      </c>
      <c r="F135" s="32" t="s">
        <v>1032</v>
      </c>
      <c r="G135" s="32" t="s">
        <v>1032</v>
      </c>
      <c r="H135" s="32" t="s">
        <v>1032</v>
      </c>
      <c r="I135" s="32" t="s">
        <v>1032</v>
      </c>
    </row>
    <row r="136" ht="14.25" customHeight="1">
      <c r="A136" s="14" t="s">
        <v>1166</v>
      </c>
      <c r="B136" s="33" t="s">
        <v>705</v>
      </c>
      <c r="C136" s="31" t="str">
        <f>IFERROR(__xludf.DUMMYFUNCTION("JOIN("","",FILTER(Disciplinas!A:A, regexmatch(Disciplinas!D:D, B136)))"),"182437,183905,183535,183542,183543,183541")</f>
        <v>182437,183905,183535,183542,183543,183541</v>
      </c>
      <c r="D136" s="32" t="s">
        <v>1032</v>
      </c>
      <c r="E136" s="32" t="s">
        <v>1032</v>
      </c>
      <c r="F136" s="32" t="s">
        <v>1032</v>
      </c>
      <c r="G136" s="32" t="s">
        <v>1032</v>
      </c>
      <c r="H136" s="32" t="s">
        <v>1032</v>
      </c>
      <c r="I136" s="32" t="s">
        <v>1032</v>
      </c>
    </row>
    <row r="137" ht="14.25" customHeight="1">
      <c r="A137" s="14" t="s">
        <v>1167</v>
      </c>
      <c r="B137" s="33" t="s">
        <v>711</v>
      </c>
      <c r="C137" s="31" t="str">
        <f>IFERROR(__xludf.DUMMYFUNCTION("JOIN("","",FILTER(Disciplinas!A:A, regexmatch(Disciplinas!D:D, B137)))"),"182573,182444,182377,183526,182603")</f>
        <v>182573,182444,182377,183526,182603</v>
      </c>
      <c r="D137" s="32" t="s">
        <v>1032</v>
      </c>
      <c r="E137" s="32" t="s">
        <v>1032</v>
      </c>
      <c r="F137" s="32" t="s">
        <v>1032</v>
      </c>
      <c r="G137" s="32" t="s">
        <v>1032</v>
      </c>
      <c r="H137" s="32" t="s">
        <v>1032</v>
      </c>
      <c r="I137" s="32" t="s">
        <v>1032</v>
      </c>
    </row>
    <row r="138" ht="14.25" customHeight="1">
      <c r="A138" s="14" t="s">
        <v>1168</v>
      </c>
      <c r="B138" s="33" t="s">
        <v>719</v>
      </c>
      <c r="C138" s="31" t="str">
        <f>IFERROR(__xludf.DUMMYFUNCTION("JOIN("","",FILTER(Disciplinas!A:A, regexmatch(Disciplinas!D:D, B138)))"),"183502,183498")</f>
        <v>183502,183498</v>
      </c>
      <c r="D138" s="32" t="s">
        <v>1032</v>
      </c>
      <c r="E138" s="32" t="s">
        <v>1032</v>
      </c>
      <c r="F138" s="32" t="s">
        <v>1032</v>
      </c>
      <c r="G138" s="32" t="s">
        <v>1032</v>
      </c>
      <c r="H138" s="32" t="s">
        <v>1032</v>
      </c>
      <c r="I138" s="32" t="s">
        <v>1032</v>
      </c>
    </row>
    <row r="139" ht="14.25" customHeight="1">
      <c r="A139" s="14" t="s">
        <v>1169</v>
      </c>
      <c r="B139" s="33" t="s">
        <v>723</v>
      </c>
      <c r="C139" s="31" t="str">
        <f>IFERROR(__xludf.DUMMYFUNCTION("JOIN("","",FILTER(Disciplinas!A:A, regexmatch(Disciplinas!D:D, B139)))"),"183499,183500,183504")</f>
        <v>183499,183500,183504</v>
      </c>
      <c r="D139" s="32" t="s">
        <v>1032</v>
      </c>
      <c r="E139" s="32" t="s">
        <v>1032</v>
      </c>
      <c r="F139" s="32" t="s">
        <v>1032</v>
      </c>
      <c r="G139" s="32" t="s">
        <v>1032</v>
      </c>
      <c r="H139" s="32" t="s">
        <v>1032</v>
      </c>
      <c r="I139" s="32" t="s">
        <v>1032</v>
      </c>
    </row>
    <row r="140" ht="14.25" customHeight="1">
      <c r="A140" s="14" t="s">
        <v>1170</v>
      </c>
      <c r="B140" s="33" t="s">
        <v>741</v>
      </c>
      <c r="C140" s="31" t="str">
        <f>IFERROR(__xludf.DUMMYFUNCTION("JOIN("","",FILTER(Disciplinas!A:A, regexmatch(Disciplinas!D:D, B140)))"),"182359,182370,182378,183899")</f>
        <v>182359,182370,182378,183899</v>
      </c>
      <c r="D140" s="32" t="s">
        <v>1032</v>
      </c>
      <c r="E140" s="32" t="s">
        <v>1032</v>
      </c>
      <c r="F140" s="32" t="s">
        <v>1032</v>
      </c>
      <c r="G140" s="32" t="s">
        <v>1032</v>
      </c>
      <c r="H140" s="32" t="s">
        <v>1032</v>
      </c>
      <c r="I140" s="32" t="s">
        <v>1032</v>
      </c>
    </row>
    <row r="141" ht="14.25" customHeight="1">
      <c r="A141" s="14" t="s">
        <v>1171</v>
      </c>
      <c r="B141" s="33" t="s">
        <v>744</v>
      </c>
      <c r="C141" s="31" t="str">
        <f>IFERROR(__xludf.DUMMYFUNCTION("JOIN("","",FILTER(Disciplinas!A:A, regexmatch(Disciplinas!D:D, B141)))"),"182362")</f>
        <v>182362</v>
      </c>
      <c r="D141" s="32" t="s">
        <v>1032</v>
      </c>
      <c r="E141" s="32" t="s">
        <v>1032</v>
      </c>
      <c r="F141" s="32" t="s">
        <v>1032</v>
      </c>
      <c r="G141" s="32" t="s">
        <v>1032</v>
      </c>
      <c r="H141" s="32" t="s">
        <v>1032</v>
      </c>
      <c r="I141" s="32" t="s">
        <v>1032</v>
      </c>
    </row>
    <row r="142" ht="14.25" customHeight="1">
      <c r="A142" s="14" t="s">
        <v>1172</v>
      </c>
      <c r="B142" s="33" t="s">
        <v>748</v>
      </c>
      <c r="C142" s="31" t="str">
        <f>IFERROR(__xludf.DUMMYFUNCTION("JOIN("","",FILTER(Disciplinas!A:A, regexmatch(Disciplinas!D:D, B142)))"),"182363")</f>
        <v>182363</v>
      </c>
      <c r="D142" s="32" t="s">
        <v>1032</v>
      </c>
      <c r="E142" s="32" t="s">
        <v>1032</v>
      </c>
      <c r="F142" s="32" t="s">
        <v>1032</v>
      </c>
      <c r="G142" s="32" t="s">
        <v>1032</v>
      </c>
      <c r="H142" s="32" t="s">
        <v>1032</v>
      </c>
      <c r="I142" s="32" t="s">
        <v>1032</v>
      </c>
    </row>
    <row r="143" ht="14.25" customHeight="1">
      <c r="A143" s="14" t="s">
        <v>1173</v>
      </c>
      <c r="B143" s="33" t="s">
        <v>821</v>
      </c>
      <c r="C143" s="31" t="str">
        <f>IFERROR(__xludf.DUMMYFUNCTION("JOIN("","",FILTER(Disciplinas!A:A, regexmatch(Disciplinas!D:D, B143)))"),"183730,182597")</f>
        <v>183730,182597</v>
      </c>
      <c r="D143" s="32" t="s">
        <v>1032</v>
      </c>
      <c r="E143" s="32" t="s">
        <v>1032</v>
      </c>
      <c r="F143" s="32" t="s">
        <v>1032</v>
      </c>
      <c r="G143" s="32" t="s">
        <v>1032</v>
      </c>
      <c r="H143" s="32" t="s">
        <v>1032</v>
      </c>
      <c r="I143" s="32" t="s">
        <v>1032</v>
      </c>
    </row>
    <row r="144" ht="14.25" customHeight="1">
      <c r="A144" s="14" t="s">
        <v>1174</v>
      </c>
      <c r="B144" s="33" t="s">
        <v>836</v>
      </c>
      <c r="C144" s="31" t="str">
        <f>IFERROR(__xludf.DUMMYFUNCTION("JOIN("","",FILTER(Disciplinas!A:A, regexmatch(Disciplinas!D:D, B144)))"),"182488,182500,183528,183529,182588")</f>
        <v>182488,182500,183528,183529,182588</v>
      </c>
      <c r="D144" s="32" t="s">
        <v>1032</v>
      </c>
      <c r="E144" s="32" t="s">
        <v>1032</v>
      </c>
      <c r="F144" s="32" t="s">
        <v>1032</v>
      </c>
      <c r="G144" s="32" t="s">
        <v>1032</v>
      </c>
      <c r="H144" s="32" t="s">
        <v>1032</v>
      </c>
      <c r="I144" s="32" t="s">
        <v>1032</v>
      </c>
    </row>
    <row r="145" ht="14.25" customHeight="1">
      <c r="A145" s="14" t="s">
        <v>1175</v>
      </c>
      <c r="B145" s="33" t="s">
        <v>843</v>
      </c>
      <c r="C145" s="31" t="str">
        <f>IFERROR(__xludf.DUMMYFUNCTION("JOIN("","",FILTER(Disciplinas!A:A, regexmatch(Disciplinas!D:D, B145)))"),"182494,182589,182593")</f>
        <v>182494,182589,182593</v>
      </c>
      <c r="D145" s="32" t="s">
        <v>1032</v>
      </c>
      <c r="E145" s="32" t="s">
        <v>1032</v>
      </c>
      <c r="F145" s="32" t="s">
        <v>1032</v>
      </c>
      <c r="G145" s="32" t="s">
        <v>1032</v>
      </c>
      <c r="H145" s="32" t="s">
        <v>1032</v>
      </c>
      <c r="I145" s="32" t="s">
        <v>1032</v>
      </c>
    </row>
    <row r="146" ht="14.25" customHeight="1">
      <c r="A146" s="14" t="s">
        <v>1176</v>
      </c>
      <c r="B146" s="33" t="s">
        <v>845</v>
      </c>
      <c r="C146" s="31" t="str">
        <f>IFERROR(__xludf.DUMMYFUNCTION("JOIN("","",FILTER(Disciplinas!A:A, regexmatch(Disciplinas!D:D, B146)))"),"182495")</f>
        <v>182495</v>
      </c>
      <c r="D146" s="32" t="s">
        <v>1032</v>
      </c>
      <c r="E146" s="32" t="s">
        <v>1032</v>
      </c>
      <c r="F146" s="32" t="s">
        <v>1032</v>
      </c>
      <c r="G146" s="32" t="s">
        <v>1032</v>
      </c>
      <c r="H146" s="32" t="s">
        <v>1032</v>
      </c>
      <c r="I146" s="32" t="s">
        <v>1032</v>
      </c>
    </row>
    <row r="147" ht="14.25" customHeight="1">
      <c r="A147" s="14" t="s">
        <v>1177</v>
      </c>
      <c r="B147" s="33" t="s">
        <v>854</v>
      </c>
      <c r="C147" s="31" t="str">
        <f>IFERROR(__xludf.DUMMYFUNCTION("JOIN("","",FILTER(Disciplinas!A:A, regexmatch(Disciplinas!D:D, B147)))"),"182500")</f>
        <v>182500</v>
      </c>
      <c r="D147" s="32" t="s">
        <v>1032</v>
      </c>
      <c r="E147" s="32" t="s">
        <v>1032</v>
      </c>
      <c r="F147" s="32" t="s">
        <v>1032</v>
      </c>
      <c r="G147" s="32" t="s">
        <v>1032</v>
      </c>
      <c r="H147" s="32" t="s">
        <v>1032</v>
      </c>
      <c r="I147" s="32" t="s">
        <v>1032</v>
      </c>
    </row>
    <row r="148" ht="14.25" customHeight="1">
      <c r="A148" s="14" t="s">
        <v>1178</v>
      </c>
      <c r="B148" s="33" t="s">
        <v>880</v>
      </c>
      <c r="C148" s="31" t="str">
        <f>IFERROR(__xludf.DUMMYFUNCTION("JOIN("","",FILTER(Disciplinas!A:A, regexmatch(Disciplinas!D:D, B148)))"),"183521")</f>
        <v>183521</v>
      </c>
      <c r="D148" s="32" t="s">
        <v>1032</v>
      </c>
      <c r="E148" s="32" t="s">
        <v>1032</v>
      </c>
      <c r="F148" s="32" t="s">
        <v>1032</v>
      </c>
      <c r="G148" s="32" t="s">
        <v>1032</v>
      </c>
      <c r="H148" s="32" t="s">
        <v>1032</v>
      </c>
      <c r="I148" s="32" t="s">
        <v>1032</v>
      </c>
    </row>
    <row r="149" ht="15.75" customHeight="1">
      <c r="A149" s="14" t="s">
        <v>1179</v>
      </c>
      <c r="B149" s="34" t="s">
        <v>883</v>
      </c>
      <c r="C149" s="31" t="str">
        <f>IFERROR(__xludf.DUMMYFUNCTION("JOIN("","",FILTER(Disciplinas!A:A, regexmatch(Disciplinas!D:D, B149)))"),"183523,182581,182584")</f>
        <v>183523,182581,182584</v>
      </c>
      <c r="D149" s="32" t="s">
        <v>1032</v>
      </c>
      <c r="E149" s="32" t="s">
        <v>1032</v>
      </c>
      <c r="F149" s="32" t="s">
        <v>1032</v>
      </c>
      <c r="G149" s="32" t="s">
        <v>1032</v>
      </c>
      <c r="H149" s="32" t="s">
        <v>1032</v>
      </c>
      <c r="I149" s="32" t="s">
        <v>1032</v>
      </c>
    </row>
    <row r="150" ht="15.75" customHeight="1">
      <c r="A150" s="14" t="s">
        <v>1180</v>
      </c>
      <c r="B150" s="34" t="s">
        <v>893</v>
      </c>
      <c r="C150" s="31" t="str">
        <f>IFERROR(__xludf.DUMMYFUNCTION("JOIN("","",FILTER(Disciplinas!A:A, regexmatch(Disciplinas!D:D, B150)))"),"183532,182586,182587")</f>
        <v>183532,182586,182587</v>
      </c>
      <c r="D150" s="32" t="s">
        <v>1032</v>
      </c>
      <c r="E150" s="32" t="s">
        <v>1032</v>
      </c>
      <c r="F150" s="32" t="s">
        <v>1032</v>
      </c>
      <c r="G150" s="32" t="s">
        <v>1032</v>
      </c>
      <c r="H150" s="32" t="s">
        <v>1032</v>
      </c>
      <c r="I150" s="32" t="s">
        <v>1032</v>
      </c>
    </row>
    <row r="151" ht="15.75" customHeight="1">
      <c r="A151" s="14" t="s">
        <v>1181</v>
      </c>
      <c r="B151" s="34" t="s">
        <v>904</v>
      </c>
      <c r="C151" s="31" t="str">
        <f>IFERROR(__xludf.DUMMYFUNCTION("JOIN("","",FILTER(Disciplinas!A:A, regexmatch(Disciplinas!D:D, B151)))"),"182583")</f>
        <v>182583</v>
      </c>
      <c r="D151" s="32" t="s">
        <v>1032</v>
      </c>
      <c r="E151" s="32" t="s">
        <v>1032</v>
      </c>
      <c r="F151" s="32" t="s">
        <v>1032</v>
      </c>
      <c r="G151" s="32" t="s">
        <v>1032</v>
      </c>
      <c r="H151" s="32" t="s">
        <v>1032</v>
      </c>
      <c r="I151" s="32" t="s">
        <v>1032</v>
      </c>
    </row>
    <row r="152" ht="15.75" customHeight="1">
      <c r="A152" s="14" t="s">
        <v>1182</v>
      </c>
      <c r="B152" s="34" t="s">
        <v>939</v>
      </c>
      <c r="C152" s="31" t="str">
        <f>IFERROR(__xludf.DUMMYFUNCTION("JOIN("","",FILTER(Disciplinas!A:A, regexmatch(Disciplinas!D:D, B152)))"),"183899")</f>
        <v>183899</v>
      </c>
      <c r="D152" s="32" t="s">
        <v>1032</v>
      </c>
      <c r="E152" s="32" t="s">
        <v>1032</v>
      </c>
      <c r="F152" s="32" t="s">
        <v>1032</v>
      </c>
      <c r="G152" s="32" t="s">
        <v>1032</v>
      </c>
      <c r="H152" s="32" t="s">
        <v>1032</v>
      </c>
      <c r="I152" s="32" t="s">
        <v>1032</v>
      </c>
    </row>
    <row r="153" ht="15.75" customHeight="1">
      <c r="A153" s="14" t="s">
        <v>1183</v>
      </c>
      <c r="B153" s="34" t="s">
        <v>982</v>
      </c>
      <c r="C153" s="31" t="str">
        <f>IFERROR(__xludf.DUMMYFUNCTION("JOIN("","",FILTER(Disciplinas!A:A, regexmatch(Disciplinas!D:D, B153)))"),"183588,182522,182543")</f>
        <v>183588,182522,182543</v>
      </c>
      <c r="D153" s="32" t="s">
        <v>1032</v>
      </c>
      <c r="E153" s="32" t="s">
        <v>1032</v>
      </c>
      <c r="F153" s="32" t="s">
        <v>1032</v>
      </c>
      <c r="G153" s="32" t="s">
        <v>1032</v>
      </c>
      <c r="H153" s="32" t="s">
        <v>1032</v>
      </c>
      <c r="I153" s="32" t="s">
        <v>1032</v>
      </c>
    </row>
    <row r="154" ht="15.75" customHeight="1">
      <c r="A154" s="14" t="s">
        <v>1184</v>
      </c>
      <c r="B154" s="34" t="s">
        <v>983</v>
      </c>
      <c r="C154" s="31" t="str">
        <f>IFERROR(__xludf.DUMMYFUNCTION("JOIN("","",FILTER(Disciplinas!A:A, regexmatch(Disciplinas!D:D, B154)))"),"182508,182514")</f>
        <v>182508,182514</v>
      </c>
      <c r="D154" s="32" t="s">
        <v>1032</v>
      </c>
      <c r="E154" s="32" t="s">
        <v>1032</v>
      </c>
      <c r="F154" s="32" t="s">
        <v>1032</v>
      </c>
      <c r="G154" s="32" t="s">
        <v>1032</v>
      </c>
      <c r="H154" s="32" t="s">
        <v>1032</v>
      </c>
      <c r="I154" s="32" t="s">
        <v>1032</v>
      </c>
    </row>
    <row r="155" ht="15.75" customHeight="1">
      <c r="A155" s="14" t="s">
        <v>1185</v>
      </c>
      <c r="B155" s="34" t="s">
        <v>997</v>
      </c>
      <c r="C155" s="31" t="str">
        <f>IFERROR(__xludf.DUMMYFUNCTION("JOIN("","",FILTER(Disciplinas!A:A, regexmatch(Disciplinas!D:D, B155)))"),"182515")</f>
        <v>182515</v>
      </c>
      <c r="D155" s="32" t="s">
        <v>1032</v>
      </c>
      <c r="E155" s="32" t="s">
        <v>1032</v>
      </c>
      <c r="F155" s="32" t="s">
        <v>1032</v>
      </c>
      <c r="G155" s="32" t="s">
        <v>1032</v>
      </c>
      <c r="H155" s="32" t="s">
        <v>1032</v>
      </c>
      <c r="I155" s="32" t="s">
        <v>1032</v>
      </c>
    </row>
    <row r="156" ht="15.75" customHeight="1">
      <c r="A156" s="14" t="s">
        <v>1186</v>
      </c>
      <c r="B156" s="34" t="s">
        <v>1000</v>
      </c>
      <c r="C156" s="31" t="str">
        <f>IFERROR(__xludf.DUMMYFUNCTION("JOIN("","",FILTER(Disciplinas!A:A, regexmatch(Disciplinas!D:D, B156)))"),"182516,182524")</f>
        <v>182516,182524</v>
      </c>
      <c r="D156" s="32" t="s">
        <v>1032</v>
      </c>
      <c r="E156" s="32" t="s">
        <v>1032</v>
      </c>
      <c r="F156" s="32" t="s">
        <v>1032</v>
      </c>
      <c r="G156" s="32" t="s">
        <v>1032</v>
      </c>
      <c r="H156" s="32" t="s">
        <v>1032</v>
      </c>
      <c r="I156" s="32" t="s">
        <v>1032</v>
      </c>
    </row>
    <row r="157" ht="15.75" customHeight="1">
      <c r="A157" s="14" t="s">
        <v>1187</v>
      </c>
      <c r="B157" s="34" t="s">
        <v>1008</v>
      </c>
      <c r="C157" s="31" t="str">
        <f>IFERROR(__xludf.DUMMYFUNCTION("JOIN("","",FILTER(Disciplinas!A:A, regexmatch(Disciplinas!D:D, B157)))"),"182520,182523,182527")</f>
        <v>182520,182523,182527</v>
      </c>
      <c r="D157" s="32" t="s">
        <v>1032</v>
      </c>
      <c r="E157" s="32" t="s">
        <v>1032</v>
      </c>
      <c r="F157" s="32" t="s">
        <v>1032</v>
      </c>
      <c r="G157" s="32" t="s">
        <v>1032</v>
      </c>
      <c r="H157" s="32" t="s">
        <v>1032</v>
      </c>
      <c r="I157" s="32" t="s">
        <v>1032</v>
      </c>
    </row>
    <row r="158" ht="15.75" customHeight="1">
      <c r="A158" s="14" t="s">
        <v>1188</v>
      </c>
      <c r="B158" s="34" t="s">
        <v>1022</v>
      </c>
      <c r="C158" s="31" t="str">
        <f>IFERROR(__xludf.DUMMYFUNCTION("JOIN("","",FILTER(Disciplinas!A:A, regexmatch(Disciplinas!D:D, B158)))"),"182526")</f>
        <v>182526</v>
      </c>
      <c r="D158" s="32" t="s">
        <v>1032</v>
      </c>
      <c r="E158" s="32" t="s">
        <v>1032</v>
      </c>
      <c r="F158" s="32" t="s">
        <v>1032</v>
      </c>
      <c r="G158" s="32" t="s">
        <v>1032</v>
      </c>
      <c r="H158" s="32" t="s">
        <v>1032</v>
      </c>
      <c r="I158" s="32" t="s">
        <v>1032</v>
      </c>
    </row>
    <row r="159" ht="15.75" customHeight="1">
      <c r="A159" s="14" t="s">
        <v>1189</v>
      </c>
      <c r="B159" s="34" t="s">
        <v>213</v>
      </c>
      <c r="C159" s="31" t="str">
        <f>IFERROR(__xludf.DUMMYFUNCTION("JOIN("","",FILTER(Disciplinas!A:A, regexmatch(Disciplinas!D:D, B159)))"),"182253,183487,182410,182487,182507")</f>
        <v>182253,183487,182410,182487,182507</v>
      </c>
      <c r="D159" s="32" t="s">
        <v>1032</v>
      </c>
      <c r="E159" s="32" t="s">
        <v>1032</v>
      </c>
      <c r="F159" s="32" t="s">
        <v>1032</v>
      </c>
      <c r="G159" s="32" t="s">
        <v>1032</v>
      </c>
      <c r="H159" s="32" t="s">
        <v>1032</v>
      </c>
      <c r="I159" s="32" t="s">
        <v>1032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5" t="s">
        <v>0</v>
      </c>
      <c r="B1" s="36" t="s">
        <v>1190</v>
      </c>
      <c r="C1" s="28" t="s">
        <v>1191</v>
      </c>
      <c r="D1" s="29" t="s">
        <v>1192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16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1193</v>
      </c>
      <c r="B2" s="39" t="s">
        <v>1194</v>
      </c>
      <c r="C2" s="40" t="s">
        <v>1195</v>
      </c>
      <c r="D2" s="31" t="str">
        <f>IFERROR(__xludf.DUMMYFUNCTION("JOIN("","",FILTER(Turmas!A:A,Turmas!B:B=B2))"),"20221.02ADM20N.1N,20221.02ADM20N.3N,20221.02ADM20N.5N,20221.02ADM20N.7N")</f>
        <v>20221.02ADM20N.1N,20221.02ADM20N.3N,20221.02ADM20N.5N,20221.02ADM20N.7N</v>
      </c>
      <c r="E2" s="32" t="s">
        <v>1196</v>
      </c>
      <c r="F2" s="32" t="s">
        <v>1196</v>
      </c>
      <c r="G2" s="32" t="s">
        <v>1196</v>
      </c>
      <c r="H2" s="32" t="s">
        <v>1196</v>
      </c>
      <c r="I2" s="32" t="s">
        <v>1196</v>
      </c>
      <c r="J2" s="32" t="s">
        <v>1197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1" t="s">
        <v>1198</v>
      </c>
      <c r="B3" s="39" t="s">
        <v>1199</v>
      </c>
      <c r="C3" s="42" t="s">
        <v>1200</v>
      </c>
      <c r="D3" s="31" t="str">
        <f>IFERROR(__xludf.DUMMYFUNCTION("JOIN("","",FILTER(Turmas!A:A,Turmas!B:B=B3))"),"20221.02AGN21N.6N")</f>
        <v>20221.02AGN21N.6N</v>
      </c>
      <c r="E3" s="32" t="s">
        <v>1201</v>
      </c>
      <c r="F3" s="32" t="s">
        <v>1201</v>
      </c>
      <c r="G3" s="32" t="s">
        <v>1201</v>
      </c>
      <c r="H3" s="32" t="s">
        <v>1201</v>
      </c>
      <c r="I3" s="32" t="s">
        <v>1201</v>
      </c>
      <c r="J3" s="32" t="s">
        <v>1032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 t="s">
        <v>1202</v>
      </c>
      <c r="B4" s="39" t="s">
        <v>1203</v>
      </c>
      <c r="C4" s="40" t="s">
        <v>1195</v>
      </c>
      <c r="D4" s="31" t="str">
        <f>IFERROR(__xludf.DUMMYFUNCTION("JOIN("","",FILTER(Turmas!A:A,Turmas!B:B=B4))"),"20221.02AGR20I.10MV,20221.02AGR20I.1MV,20221.02AGR20I.2MV,20221.02AGR20I.3MV,20221.02AGR20I.4MV,20221.02AGR20I.5MV,20221.02AGR20I.7MV,20221.02AGR20I.9MV,20221.02AGR20I.TE.2MV,20221.02AGR20I.TE.7MV,20221.02AGR20I.TE-2010.MV,20221.02AGR20I.TE-2018.MV")</f>
        <v>20221.02AGR20I.10MV,20221.02AGR20I.1MV,20221.02AGR20I.2MV,20221.02AGR20I.3MV,20221.02AGR20I.4MV,20221.02AGR20I.5MV,20221.02AGR20I.7MV,20221.02AGR20I.9MV,20221.02AGR20I.TE.2MV,20221.02AGR20I.TE.7MV,20221.02AGR20I.TE-2010.MV,20221.02AGR20I.TE-2018.MV</v>
      </c>
      <c r="E4" s="32" t="s">
        <v>1196</v>
      </c>
      <c r="F4" s="32" t="s">
        <v>1196</v>
      </c>
      <c r="G4" s="32" t="s">
        <v>1196</v>
      </c>
      <c r="H4" s="32" t="s">
        <v>1196</v>
      </c>
      <c r="I4" s="32" t="s">
        <v>1196</v>
      </c>
      <c r="J4" s="32" t="s">
        <v>1197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1204</v>
      </c>
      <c r="B5" s="39" t="s">
        <v>1205</v>
      </c>
      <c r="C5" s="42" t="s">
        <v>1195</v>
      </c>
      <c r="D5" s="31" t="str">
        <f>IFERROR(__xludf.DUMMYFUNCTION("JOIN("","",FILTER(Turmas!A:A,Turmas!B:B=B5))"),"20221.02CDC20I.1MV,20221.02CDC20I.3MV,20221.02CDC20I.5MV,20221.02CDC20I.7MV")</f>
        <v>20221.02CDC20I.1MV,20221.02CDC20I.3MV,20221.02CDC20I.5MV,20221.02CDC20I.7MV</v>
      </c>
      <c r="E5" s="32" t="s">
        <v>1196</v>
      </c>
      <c r="F5" s="32" t="s">
        <v>1196</v>
      </c>
      <c r="G5" s="32" t="s">
        <v>1196</v>
      </c>
      <c r="H5" s="32" t="s">
        <v>1196</v>
      </c>
      <c r="I5" s="32" t="s">
        <v>1196</v>
      </c>
      <c r="J5" s="32" t="s">
        <v>1197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 t="s">
        <v>1206</v>
      </c>
      <c r="B6" s="39" t="s">
        <v>1207</v>
      </c>
      <c r="C6" s="40" t="s">
        <v>1195</v>
      </c>
      <c r="D6" s="31" t="str">
        <f>IFERROR(__xludf.DUMMYFUNCTION("JOIN("","",FILTER(Turmas!A:A,Turmas!B:B=B6))"),"20221.02BIO23I.1MV,20221.02BIO23I.3MV,20221.02BIO23I.5MV,20221.02BIO23I.7MV,20221.02BIO23I.8MV")</f>
        <v>20221.02BIO23I.1MV,20221.02BIO23I.3MV,20221.02BIO23I.5MV,20221.02BIO23I.7MV,20221.02BIO23I.8MV</v>
      </c>
      <c r="E6" s="32" t="s">
        <v>1196</v>
      </c>
      <c r="F6" s="32" t="s">
        <v>1196</v>
      </c>
      <c r="G6" s="32" t="s">
        <v>1196</v>
      </c>
      <c r="H6" s="32" t="s">
        <v>1196</v>
      </c>
      <c r="I6" s="32" t="s">
        <v>1196</v>
      </c>
      <c r="J6" s="32" t="s">
        <v>1197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41" t="s">
        <v>1208</v>
      </c>
      <c r="B7" s="39" t="s">
        <v>1209</v>
      </c>
      <c r="C7" s="42" t="s">
        <v>1210</v>
      </c>
      <c r="D7" s="31" t="str">
        <f>IFERROR(__xludf.DUMMYFUNCTION("JOIN("","",FILTER(Turmas!A:A,Turmas!B:B=B7))"),"20221.02BIO22N.1N,20221.02BIO22N.3N,20221.02BIO22N.5N,20221.02BIO22N.7N")</f>
        <v>20221.02BIO22N.1N,20221.02BIO22N.3N,20221.02BIO22N.5N,20221.02BIO22N.7N</v>
      </c>
      <c r="E7" s="32" t="s">
        <v>1201</v>
      </c>
      <c r="F7" s="32" t="s">
        <v>1201</v>
      </c>
      <c r="G7" s="32" t="s">
        <v>1201</v>
      </c>
      <c r="H7" s="32" t="s">
        <v>1201</v>
      </c>
      <c r="I7" s="32" t="s">
        <v>1201</v>
      </c>
      <c r="J7" s="32" t="s">
        <v>1032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 t="s">
        <v>1211</v>
      </c>
      <c r="B8" s="39" t="s">
        <v>1212</v>
      </c>
      <c r="C8" s="40" t="s">
        <v>1195</v>
      </c>
      <c r="D8" s="31" t="str">
        <f>IFERROR(__xludf.DUMMYFUNCTION("JOIN("","",FILTER(Turmas!A:A,Turmas!B:B=B8))"),"20221.02EAM20I.1MV,20221.02EAM20I.3MV,20221.02EAM20I.5MV,20221.02EAM20I.7MV,20221.02EAM20I.9MV,20221.02EAM20I.TE.MV")</f>
        <v>20221.02EAM20I.1MV,20221.02EAM20I.3MV,20221.02EAM20I.5MV,20221.02EAM20I.7MV,20221.02EAM20I.9MV,20221.02EAM20I.TE.MV</v>
      </c>
      <c r="E8" s="32" t="s">
        <v>1196</v>
      </c>
      <c r="F8" s="32" t="s">
        <v>1196</v>
      </c>
      <c r="G8" s="32" t="s">
        <v>1196</v>
      </c>
      <c r="H8" s="32" t="s">
        <v>1196</v>
      </c>
      <c r="I8" s="32" t="s">
        <v>1196</v>
      </c>
      <c r="J8" s="32" t="s">
        <v>1197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 t="s">
        <v>1213</v>
      </c>
      <c r="B9" s="39" t="s">
        <v>1214</v>
      </c>
      <c r="C9" s="42" t="s">
        <v>1195</v>
      </c>
      <c r="D9" s="31" t="str">
        <f>IFERROR(__xludf.DUMMYFUNCTION("JOIN("","",FILTER(Turmas!A:A,Turmas!B:B=B9))"),"20221.02ALI20I.1MV,20221.02ALI20I.3MV,20221.02ALI20I.5MV,20221.02ALI20I.7MV,20221.02ALI20I.9MV,20221.02ALI20I.TE.2MV")</f>
        <v>20221.02ALI20I.1MV,20221.02ALI20I.3MV,20221.02ALI20I.5MV,20221.02ALI20I.7MV,20221.02ALI20I.9MV,20221.02ALI20I.TE.2MV</v>
      </c>
      <c r="E9" s="32" t="s">
        <v>1196</v>
      </c>
      <c r="F9" s="32" t="s">
        <v>1196</v>
      </c>
      <c r="G9" s="32" t="s">
        <v>1196</v>
      </c>
      <c r="H9" s="32" t="s">
        <v>1196</v>
      </c>
      <c r="I9" s="32" t="s">
        <v>1196</v>
      </c>
      <c r="J9" s="32" t="s">
        <v>1197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 t="s">
        <v>1215</v>
      </c>
      <c r="B10" s="39" t="s">
        <v>1216</v>
      </c>
      <c r="C10" s="40" t="s">
        <v>1195</v>
      </c>
      <c r="D10" s="31" t="str">
        <f>IFERROR(__xludf.DUMMYFUNCTION("JOIN("","",FILTER(Turmas!A:A,Turmas!B:B=B10))"),"20221.02CIV20I.1MV,20221.02CIV20I.3MV,20221.02CIV20I.5MV,20221.02CIV20I.7MV,20221.02CIV20I.9MV")</f>
        <v>20221.02CIV20I.1MV,20221.02CIV20I.3MV,20221.02CIV20I.5MV,20221.02CIV20I.7MV,20221.02CIV20I.9MV</v>
      </c>
      <c r="E10" s="32" t="s">
        <v>1196</v>
      </c>
      <c r="F10" s="32" t="s">
        <v>1196</v>
      </c>
      <c r="G10" s="32" t="s">
        <v>1196</v>
      </c>
      <c r="H10" s="32" t="s">
        <v>1196</v>
      </c>
      <c r="I10" s="32" t="s">
        <v>1196</v>
      </c>
      <c r="J10" s="32" t="s">
        <v>1197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 t="s">
        <v>1217</v>
      </c>
      <c r="B11" s="39" t="s">
        <v>1218</v>
      </c>
      <c r="C11" s="42" t="s">
        <v>1195</v>
      </c>
      <c r="D11" s="31" t="str">
        <f>IFERROR(__xludf.DUMMYFUNCTION("JOIN("","",FILTER(Turmas!A:A,Turmas!B:B=B11))"),"20221.02ENQ20I.1MV,20221.02ENQ20I.3MV,20221.02ENQ20I.5MV,20221.02ENQ20I.TE.2MV")</f>
        <v>20221.02ENQ20I.1MV,20221.02ENQ20I.3MV,20221.02ENQ20I.5MV,20221.02ENQ20I.TE.2MV</v>
      </c>
      <c r="E11" s="32" t="s">
        <v>1196</v>
      </c>
      <c r="F11" s="32" t="s">
        <v>1196</v>
      </c>
      <c r="G11" s="32" t="s">
        <v>1196</v>
      </c>
      <c r="H11" s="32" t="s">
        <v>1196</v>
      </c>
      <c r="I11" s="32" t="s">
        <v>1196</v>
      </c>
      <c r="J11" s="32" t="s">
        <v>1197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3" t="s">
        <v>1219</v>
      </c>
      <c r="B12" s="39" t="s">
        <v>1220</v>
      </c>
      <c r="C12" s="44" t="s">
        <v>1210</v>
      </c>
      <c r="D12" s="31" t="str">
        <f>IFERROR(__xludf.DUMMYFUNCTION("JOIN("","",FILTER(Turmas!A:A,Turmas!B:B=B12))"),"20221.02QUI22N.1N,20221.02QUI22N.3N,20221.02QUI22N.5N,20221.02QUI22N.7N")</f>
        <v>20221.02QUI22N.1N,20221.02QUI22N.3N,20221.02QUI22N.5N,20221.02QUI22N.7N</v>
      </c>
      <c r="E12" s="32" t="s">
        <v>1201</v>
      </c>
      <c r="F12" s="32" t="s">
        <v>1201</v>
      </c>
      <c r="G12" s="32" t="s">
        <v>1201</v>
      </c>
      <c r="H12" s="32" t="s">
        <v>1201</v>
      </c>
      <c r="I12" s="32" t="s">
        <v>1201</v>
      </c>
      <c r="J12" s="32" t="s">
        <v>1032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41" t="s">
        <v>1221</v>
      </c>
      <c r="B13" s="39" t="s">
        <v>1222</v>
      </c>
      <c r="C13" s="42" t="s">
        <v>1200</v>
      </c>
      <c r="D13" s="31" t="str">
        <f>IFERROR(__xludf.DUMMYFUNCTION("JOIN("","",FILTER(Turmas!A:A,Turmas!B:B=B13))"),"20221.02SAM21N.5N,20221.02SAM21N.TE-2016.3N,20221.02SAM21N.TE-2018.3N")</f>
        <v>20221.02SAM21N.5N,20221.02SAM21N.TE-2016.3N,20221.02SAM21N.TE-2018.3N</v>
      </c>
      <c r="E13" s="32" t="s">
        <v>1201</v>
      </c>
      <c r="F13" s="32" t="s">
        <v>1201</v>
      </c>
      <c r="G13" s="32" t="s">
        <v>1201</v>
      </c>
      <c r="H13" s="32" t="s">
        <v>1201</v>
      </c>
      <c r="I13" s="32" t="s">
        <v>1201</v>
      </c>
      <c r="J13" s="32" t="s">
        <v>1032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41" t="s">
        <v>1223</v>
      </c>
      <c r="B14" s="39" t="s">
        <v>1224</v>
      </c>
      <c r="C14" s="45" t="s">
        <v>1195</v>
      </c>
      <c r="D14" s="31" t="str">
        <f>IFERROR(__xludf.DUMMYFUNCTION("JOIN("","",FILTER(Turmas!A:A,Turmas!B:B=B14))"),"20221.02ZOO20I.10MV,20221.02ZOO20I.1MV,20221.02ZOO20I.3MV,20221.02ZOO20I.5MV,20221.02ZOO20I.7MV,20221.02ZOO20I.9MV")</f>
        <v>20221.02ZOO20I.10MV,20221.02ZOO20I.1MV,20221.02ZOO20I.3MV,20221.02ZOO20I.5MV,20221.02ZOO20I.7MV,20221.02ZOO20I.9MV</v>
      </c>
      <c r="E14" s="32" t="s">
        <v>1196</v>
      </c>
      <c r="F14" s="32" t="s">
        <v>1196</v>
      </c>
      <c r="G14" s="32" t="s">
        <v>1196</v>
      </c>
      <c r="H14" s="32" t="s">
        <v>1196</v>
      </c>
      <c r="I14" s="32" t="s">
        <v>1196</v>
      </c>
      <c r="J14" s="32" t="s">
        <v>1197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 t="s">
        <v>1225</v>
      </c>
      <c r="B15" s="39" t="s">
        <v>1226</v>
      </c>
      <c r="C15" s="40" t="s">
        <v>1227</v>
      </c>
      <c r="D15" s="31" t="str">
        <f>IFERROR(__xludf.DUMMYFUNCTION("JOIN("","",FILTER(Turmas!A:A,Turmas!B:B=B15))"),"ID,20221.02ADM11N.1N,20221.02ADM11N.3N")</f>
        <v>ID,20221.02ADM11N.1N,20221.02ADM11N.3N</v>
      </c>
      <c r="E15" s="32" t="s">
        <v>1032</v>
      </c>
      <c r="F15" s="32" t="s">
        <v>1032</v>
      </c>
      <c r="G15" s="32" t="s">
        <v>1032</v>
      </c>
      <c r="H15" s="32" t="s">
        <v>1032</v>
      </c>
      <c r="I15" s="32" t="s">
        <v>1032</v>
      </c>
      <c r="J15" s="32" t="s">
        <v>1032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 t="s">
        <v>1228</v>
      </c>
      <c r="B16" s="46" t="s">
        <v>1229</v>
      </c>
      <c r="C16" s="40" t="s">
        <v>1227</v>
      </c>
      <c r="D16" s="31" t="str">
        <f>IFERROR(__xludf.DUMMYFUNCTION("JOIN("","",FILTER(Turmas!A:A,Turmas!B:B=B16))"),"20221.02AGP11M.1M,20221.02AGP11M.3M,20221.02AGP11V.1V,20221.02AGP11V.3V")</f>
        <v>20221.02AGP11M.1M,20221.02AGP11M.3M,20221.02AGP11V.1V,20221.02AGP11V.3V</v>
      </c>
      <c r="E16" s="32" t="s">
        <v>1196</v>
      </c>
      <c r="F16" s="32" t="s">
        <v>1196</v>
      </c>
      <c r="G16" s="32" t="s">
        <v>1196</v>
      </c>
      <c r="H16" s="32" t="s">
        <v>1196</v>
      </c>
      <c r="I16" s="32" t="s">
        <v>1196</v>
      </c>
      <c r="J16" s="32" t="s">
        <v>1197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 t="s">
        <v>1230</v>
      </c>
      <c r="B17" s="46" t="s">
        <v>1231</v>
      </c>
      <c r="C17" s="40" t="s">
        <v>1227</v>
      </c>
      <c r="D17" s="31" t="str">
        <f>IFERROR(__xludf.DUMMYFUNCTION("JOIN("","",FILTER(Turmas!A:A,Turmas!B:B=B17))"),"20221.02ALI11N.1N,20221.02ALI11N.3N")</f>
        <v>20221.02ALI11N.1N,20221.02ALI11N.3N</v>
      </c>
      <c r="E17" s="32" t="s">
        <v>1201</v>
      </c>
      <c r="F17" s="32" t="s">
        <v>1201</v>
      </c>
      <c r="G17" s="32" t="s">
        <v>1201</v>
      </c>
      <c r="H17" s="32" t="s">
        <v>1201</v>
      </c>
      <c r="I17" s="32" t="s">
        <v>1201</v>
      </c>
      <c r="J17" s="32" t="s">
        <v>1032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 t="s">
        <v>1232</v>
      </c>
      <c r="B18" s="46" t="s">
        <v>1233</v>
      </c>
      <c r="C18" s="40" t="s">
        <v>1227</v>
      </c>
      <c r="D18" s="31" t="str">
        <f>IFERROR(__xludf.DUMMYFUNCTION("JOIN("","",FILTER(Turmas!A:A,Turmas!B:B=B18))"),"20221.02BTC11N.1N,20221.02BTC11N.3N")</f>
        <v>20221.02BTC11N.1N,20221.02BTC11N.3N</v>
      </c>
      <c r="E18" s="32" t="s">
        <v>1201</v>
      </c>
      <c r="F18" s="32" t="s">
        <v>1201</v>
      </c>
      <c r="G18" s="32" t="s">
        <v>1201</v>
      </c>
      <c r="H18" s="32" t="s">
        <v>1201</v>
      </c>
      <c r="I18" s="32" t="s">
        <v>1201</v>
      </c>
      <c r="J18" s="32" t="s">
        <v>1032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 t="s">
        <v>1234</v>
      </c>
      <c r="B19" s="46" t="s">
        <v>1235</v>
      </c>
      <c r="C19" s="40" t="s">
        <v>1227</v>
      </c>
      <c r="D19" s="31" t="str">
        <f>IFERROR(__xludf.DUMMYFUNCTION("JOIN("","",FILTER(Turmas!A:A,Turmas!B:B=B19))"),"20221.02COT11N.1N,20221.02COT11N.3N")</f>
        <v>20221.02COT11N.1N,20221.02COT11N.3N</v>
      </c>
      <c r="E19" s="32" t="s">
        <v>1201</v>
      </c>
      <c r="F19" s="32" t="s">
        <v>1201</v>
      </c>
      <c r="G19" s="32" t="s">
        <v>1201</v>
      </c>
      <c r="H19" s="32" t="s">
        <v>1201</v>
      </c>
      <c r="I19" s="32" t="s">
        <v>1201</v>
      </c>
      <c r="J19" s="32" t="s">
        <v>1032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 t="s">
        <v>1236</v>
      </c>
      <c r="B20" s="46" t="s">
        <v>1237</v>
      </c>
      <c r="C20" s="40" t="s">
        <v>1227</v>
      </c>
      <c r="D20" s="31" t="str">
        <f>IFERROR(__xludf.DUMMYFUNCTION("JOIN("","",FILTER(Turmas!A:A,Turmas!B:B=B20))"),"20221.02EDI11N.1N,20221.02EDI11N.3N")</f>
        <v>20221.02EDI11N.1N,20221.02EDI11N.3N</v>
      </c>
      <c r="E20" s="32" t="s">
        <v>1201</v>
      </c>
      <c r="F20" s="32" t="s">
        <v>1201</v>
      </c>
      <c r="G20" s="32" t="s">
        <v>1201</v>
      </c>
      <c r="H20" s="32" t="s">
        <v>1201</v>
      </c>
      <c r="I20" s="32" t="s">
        <v>1201</v>
      </c>
      <c r="J20" s="32" t="s">
        <v>1032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 t="s">
        <v>1238</v>
      </c>
      <c r="B21" s="46" t="s">
        <v>1239</v>
      </c>
      <c r="C21" s="40" t="s">
        <v>1227</v>
      </c>
      <c r="D21" s="31" t="str">
        <f>IFERROR(__xludf.DUMMYFUNCTION("JOIN("","",FILTER(Turmas!A:A,Turmas!B:B=B21))"),"20221.02INF11N.3N,20221.02INF11N.4N")</f>
        <v>20221.02INF11N.3N,20221.02INF11N.4N</v>
      </c>
      <c r="E21" s="32" t="s">
        <v>1201</v>
      </c>
      <c r="F21" s="32" t="s">
        <v>1201</v>
      </c>
      <c r="G21" s="32" t="s">
        <v>1201</v>
      </c>
      <c r="H21" s="32" t="s">
        <v>1201</v>
      </c>
      <c r="I21" s="32" t="s">
        <v>1201</v>
      </c>
      <c r="J21" s="32" t="s">
        <v>1032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 t="s">
        <v>1240</v>
      </c>
      <c r="B22" s="46" t="s">
        <v>1241</v>
      </c>
      <c r="C22" s="40" t="s">
        <v>1227</v>
      </c>
      <c r="D22" s="31" t="str">
        <f>IFERROR(__xludf.DUMMYFUNCTION("JOIN("","",FILTER(Turmas!A:A,Turmas!B:B=B22))"),"20221.02QUI10N.1N,20221.02QUI10N.3N")</f>
        <v>20221.02QUI10N.1N,20221.02QUI10N.3N</v>
      </c>
      <c r="E22" s="32" t="s">
        <v>1201</v>
      </c>
      <c r="F22" s="32" t="s">
        <v>1201</v>
      </c>
      <c r="G22" s="32" t="s">
        <v>1201</v>
      </c>
      <c r="H22" s="32" t="s">
        <v>1201</v>
      </c>
      <c r="I22" s="32" t="s">
        <v>1201</v>
      </c>
      <c r="J22" s="32" t="s">
        <v>1032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 t="s">
        <v>1242</v>
      </c>
      <c r="B23" s="46" t="s">
        <v>1243</v>
      </c>
      <c r="C23" s="40" t="s">
        <v>1227</v>
      </c>
      <c r="D23" s="31" t="str">
        <f>IFERROR(__xludf.DUMMYFUNCTION("JOIN("","",FILTER(Turmas!A:A,Turmas!B:B=B23))"),"20221.02SGT11N.1N,20221.02SGT11N.3N")</f>
        <v>20221.02SGT11N.1N,20221.02SGT11N.3N</v>
      </c>
      <c r="E23" s="32" t="s">
        <v>1201</v>
      </c>
      <c r="F23" s="32" t="s">
        <v>1201</v>
      </c>
      <c r="G23" s="32" t="s">
        <v>1201</v>
      </c>
      <c r="H23" s="32" t="s">
        <v>1201</v>
      </c>
      <c r="I23" s="32" t="s">
        <v>1201</v>
      </c>
      <c r="J23" s="32" t="s">
        <v>1032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 t="s">
        <v>1244</v>
      </c>
      <c r="B24" s="39" t="s">
        <v>1245</v>
      </c>
      <c r="C24" s="40" t="s">
        <v>1246</v>
      </c>
      <c r="D24" s="31" t="str">
        <f>IFERROR(__xludf.DUMMYFUNCTION("JOIN("","",FILTER(Turmas!A:A,Turmas!B:B=B24))"),"20221.02ADM12N.1N,20221.02ADM12N.4N,20221.02ADM12N.5N,20221.02ADM12N.6N,20221.02ADM12N.7N")</f>
        <v>20221.02ADM12N.1N,20221.02ADM12N.4N,20221.02ADM12N.5N,20221.02ADM12N.6N,20221.02ADM12N.7N</v>
      </c>
      <c r="E24" s="32" t="s">
        <v>1201</v>
      </c>
      <c r="F24" s="32" t="s">
        <v>1201</v>
      </c>
      <c r="G24" s="32" t="s">
        <v>1201</v>
      </c>
      <c r="H24" s="32" t="s">
        <v>1201</v>
      </c>
      <c r="I24" s="32" t="s">
        <v>1201</v>
      </c>
      <c r="J24" s="32" t="s">
        <v>1032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 t="s">
        <v>1247</v>
      </c>
      <c r="B25" s="39" t="s">
        <v>1248</v>
      </c>
      <c r="C25" s="40" t="s">
        <v>1246</v>
      </c>
      <c r="D25" s="31" t="str">
        <f>IFERROR(__xludf.DUMMYFUNCTION("JOIN("","",FILTER(Turmas!A:A,Turmas!B:B=B25))"),"20221.02EDI12N.1N,20221.02EDI12N.4N,20221.02EDI12N.5N,20221.02EDI12N.6N")</f>
        <v>20221.02EDI12N.1N,20221.02EDI12N.4N,20221.02EDI12N.5N,20221.02EDI12N.6N</v>
      </c>
      <c r="E25" s="32" t="s">
        <v>1201</v>
      </c>
      <c r="F25" s="32" t="s">
        <v>1201</v>
      </c>
      <c r="G25" s="32" t="s">
        <v>1201</v>
      </c>
      <c r="H25" s="32" t="s">
        <v>1201</v>
      </c>
      <c r="I25" s="32" t="s">
        <v>1201</v>
      </c>
      <c r="J25" s="32" t="s">
        <v>1032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 t="s">
        <v>1249</v>
      </c>
      <c r="B26" s="39" t="s">
        <v>1250</v>
      </c>
      <c r="C26" s="40" t="s">
        <v>1195</v>
      </c>
      <c r="D26" s="31" t="str">
        <f>IFERROR(__xludf.DUMMYFUNCTION("JOIN("","",FILTER(Turmas!A:A,Turmas!B:B=B26))"),"#N/A")</f>
        <v>#N/A</v>
      </c>
      <c r="E26" s="32" t="s">
        <v>1032</v>
      </c>
      <c r="F26" s="32" t="s">
        <v>1032</v>
      </c>
      <c r="G26" s="32" t="s">
        <v>1032</v>
      </c>
      <c r="H26" s="32" t="s">
        <v>1032</v>
      </c>
      <c r="I26" s="32" t="s">
        <v>1032</v>
      </c>
      <c r="J26" s="32" t="s">
        <v>1032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</sheetData>
  <autoFilter ref="$B$1:$B$26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33.29"/>
    <col customWidth="1" min="3" max="3" width="58.14"/>
    <col customWidth="1" min="4" max="4" width="9.86"/>
    <col customWidth="1" min="5" max="5" width="121.14"/>
    <col customWidth="1" min="6" max="11" width="8.86"/>
    <col customWidth="1" min="12" max="26" width="9.0"/>
  </cols>
  <sheetData>
    <row r="1" ht="14.25" customHeight="1">
      <c r="A1" s="47" t="s">
        <v>0</v>
      </c>
      <c r="B1" s="48" t="s">
        <v>1226</v>
      </c>
      <c r="C1" s="49" t="s">
        <v>1251</v>
      </c>
      <c r="D1" s="50" t="s">
        <v>1252</v>
      </c>
      <c r="E1" s="51" t="s">
        <v>2</v>
      </c>
      <c r="F1" s="30" t="s">
        <v>11</v>
      </c>
      <c r="G1" s="30" t="s">
        <v>12</v>
      </c>
      <c r="H1" s="30" t="s">
        <v>13</v>
      </c>
      <c r="I1" s="30" t="s">
        <v>14</v>
      </c>
      <c r="J1" s="30" t="s">
        <v>15</v>
      </c>
      <c r="K1" s="30" t="s">
        <v>16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53" t="s">
        <v>20</v>
      </c>
      <c r="B2" s="48" t="s">
        <v>1226</v>
      </c>
      <c r="C2" s="48" t="s">
        <v>1253</v>
      </c>
      <c r="D2" s="13" t="s">
        <v>1254</v>
      </c>
      <c r="E2" s="31" t="str">
        <f>IFERROR(__xludf.DUMMYFUNCTION("JOIN("","",FILTER(Disciplinas!A:A, regexmatch(Disciplinas!E:E, A2)))"),"183444,183441,183439,183445,183442,183443,183440")</f>
        <v>183444,183441,183439,183445,183442,183443,183440</v>
      </c>
      <c r="F2" s="32" t="str">
        <f t="shared" ref="F2:F94" si="1">ifs(D2 = "Manhã", "7-16", D2 = "Tarde", "1-6,13-16", D2 = "Noite", "1-12", D2 = "Integral", "13-16")</f>
        <v>1-12</v>
      </c>
      <c r="G2" s="32" t="str">
        <f t="shared" ref="G2:G94" si="2">ifs(D2 = "Manhã", "7-16", D2 = "Tarde", "1-6,13-16", D2 = "Noite", "1-12", D2 = "Integral", "13-16")</f>
        <v>1-12</v>
      </c>
      <c r="H2" s="32" t="str">
        <f t="shared" ref="H2:H94" si="3">ifs(D2 = "Manhã", "7-16", D2 = "Tarde", "1-6,13-16", D2 = "Noite", "1-12", D2 = "Integral", "13-16")</f>
        <v>1-12</v>
      </c>
      <c r="I2" s="32" t="str">
        <f t="shared" ref="I2:I94" si="4">ifs(D2 = "Manhã", "7-16", D2 = "Tarde", "1-6,13-16", D2 = "Noite", "1-12", D2 = "Integral", "13-16")</f>
        <v>1-12</v>
      </c>
      <c r="J2" s="32" t="str">
        <f t="shared" ref="J2:J94" si="5">ifs(D2 = "Manhã", "7-16", D2 = "Tarde", "1-6,13-16", D2 = "Noite", "1-12", D2 = "Integral", "13-16")</f>
        <v>1-12</v>
      </c>
      <c r="K2" s="32" t="str">
        <f t="shared" ref="K2:K94" si="6">ifs(D2 = "Manhã", "1-16", D2 = "Tarde", "1-16", D2 = "Noite", "12-16", D2 = "Integral", "1-16")</f>
        <v>12-16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4.25" customHeight="1">
      <c r="A3" s="12" t="s">
        <v>41</v>
      </c>
      <c r="B3" s="48" t="s">
        <v>1226</v>
      </c>
      <c r="C3" s="48" t="s">
        <v>1255</v>
      </c>
      <c r="D3" s="13" t="s">
        <v>1254</v>
      </c>
      <c r="E3" s="31" t="str">
        <f>IFERROR(__xludf.DUMMYFUNCTION("JOIN("","",FILTER(Disciplinas!A:A, regexmatch(Disciplinas!E:E, A3)))"),"183447,183450,183448,184649,183451,183446,183449")</f>
        <v>183447,183450,183448,184649,183451,183446,183449</v>
      </c>
      <c r="F3" s="32" t="str">
        <f t="shared" si="1"/>
        <v>1-12</v>
      </c>
      <c r="G3" s="32" t="str">
        <f t="shared" si="2"/>
        <v>1-12</v>
      </c>
      <c r="H3" s="32" t="str">
        <f t="shared" si="3"/>
        <v>1-12</v>
      </c>
      <c r="I3" s="32" t="str">
        <f t="shared" si="4"/>
        <v>1-12</v>
      </c>
      <c r="J3" s="32" t="str">
        <f t="shared" si="5"/>
        <v>1-12</v>
      </c>
      <c r="K3" s="32" t="str">
        <f t="shared" si="6"/>
        <v>12-16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4.25" customHeight="1">
      <c r="A4" s="53" t="s">
        <v>60</v>
      </c>
      <c r="B4" s="48" t="s">
        <v>1245</v>
      </c>
      <c r="C4" s="48" t="s">
        <v>1256</v>
      </c>
      <c r="D4" s="13" t="s">
        <v>1254</v>
      </c>
      <c r="E4" s="31" t="str">
        <f>IFERROR(__xludf.DUMMYFUNCTION("JOIN("","",FILTER(Disciplinas!A:A, regexmatch(Disciplinas!E:E, A4)))"),"183676,183679,183680")</f>
        <v>183676,183679,183680</v>
      </c>
      <c r="F4" s="32" t="str">
        <f t="shared" si="1"/>
        <v>1-12</v>
      </c>
      <c r="G4" s="32" t="str">
        <f t="shared" si="2"/>
        <v>1-12</v>
      </c>
      <c r="H4" s="32" t="str">
        <f t="shared" si="3"/>
        <v>1-12</v>
      </c>
      <c r="I4" s="32" t="str">
        <f t="shared" si="4"/>
        <v>1-12</v>
      </c>
      <c r="J4" s="32" t="str">
        <f t="shared" si="5"/>
        <v>1-12</v>
      </c>
      <c r="K4" s="32" t="str">
        <f t="shared" si="6"/>
        <v>12-16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4.25" customHeight="1">
      <c r="A5" s="54" t="s">
        <v>68</v>
      </c>
      <c r="B5" s="48" t="s">
        <v>1245</v>
      </c>
      <c r="C5" s="48" t="s">
        <v>1257</v>
      </c>
      <c r="D5" s="13" t="s">
        <v>1254</v>
      </c>
      <c r="E5" s="31" t="str">
        <f>IFERROR(__xludf.DUMMYFUNCTION("JOIN("","",FILTER(Disciplinas!A:A, regexmatch(Disciplinas!E:E, A5)))"),"183686")</f>
        <v>183686</v>
      </c>
      <c r="F5" s="32" t="str">
        <f t="shared" si="1"/>
        <v>1-12</v>
      </c>
      <c r="G5" s="32" t="str">
        <f t="shared" si="2"/>
        <v>1-12</v>
      </c>
      <c r="H5" s="32" t="str">
        <f t="shared" si="3"/>
        <v>1-12</v>
      </c>
      <c r="I5" s="32" t="str">
        <f t="shared" si="4"/>
        <v>1-12</v>
      </c>
      <c r="J5" s="32" t="str">
        <f t="shared" si="5"/>
        <v>1-12</v>
      </c>
      <c r="K5" s="32" t="str">
        <f t="shared" si="6"/>
        <v>12-16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4.25" customHeight="1">
      <c r="A6" s="55" t="s">
        <v>72</v>
      </c>
      <c r="B6" s="48" t="s">
        <v>1245</v>
      </c>
      <c r="C6" s="48" t="s">
        <v>1258</v>
      </c>
      <c r="D6" s="56" t="s">
        <v>1254</v>
      </c>
      <c r="E6" s="31" t="str">
        <f>IFERROR(__xludf.DUMMYFUNCTION("JOIN("","",FILTER(Disciplinas!A:A, regexmatch(Disciplinas!E:E, A6)))"),"183712")</f>
        <v>183712</v>
      </c>
      <c r="F6" s="32" t="str">
        <f t="shared" si="1"/>
        <v>1-12</v>
      </c>
      <c r="G6" s="32" t="str">
        <f t="shared" si="2"/>
        <v>1-12</v>
      </c>
      <c r="H6" s="32" t="str">
        <f t="shared" si="3"/>
        <v>1-12</v>
      </c>
      <c r="I6" s="32" t="str">
        <f t="shared" si="4"/>
        <v>1-12</v>
      </c>
      <c r="J6" s="32" t="str">
        <f t="shared" si="5"/>
        <v>1-12</v>
      </c>
      <c r="K6" s="32" t="str">
        <f t="shared" si="6"/>
        <v>12-16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4.25" customHeight="1">
      <c r="A7" s="53" t="s">
        <v>75</v>
      </c>
      <c r="B7" s="48" t="s">
        <v>1245</v>
      </c>
      <c r="C7" s="48" t="s">
        <v>1259</v>
      </c>
      <c r="D7" s="56" t="s">
        <v>1254</v>
      </c>
      <c r="E7" s="31" t="str">
        <f>IFERROR(__xludf.DUMMYFUNCTION("JOIN("","",FILTER(Disciplinas!A:A, regexmatch(Disciplinas!E:E, A7)))"),"183699,183703,183705")</f>
        <v>183699,183703,183705</v>
      </c>
      <c r="F7" s="32" t="str">
        <f t="shared" si="1"/>
        <v>1-12</v>
      </c>
      <c r="G7" s="32" t="str">
        <f t="shared" si="2"/>
        <v>1-12</v>
      </c>
      <c r="H7" s="32" t="str">
        <f t="shared" si="3"/>
        <v>1-12</v>
      </c>
      <c r="I7" s="32" t="str">
        <f t="shared" si="4"/>
        <v>1-12</v>
      </c>
      <c r="J7" s="32" t="str">
        <f t="shared" si="5"/>
        <v>1-12</v>
      </c>
      <c r="K7" s="32" t="str">
        <f t="shared" si="6"/>
        <v>12-16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4.25" customHeight="1">
      <c r="A8" s="54" t="s">
        <v>84</v>
      </c>
      <c r="B8" s="48" t="s">
        <v>1245</v>
      </c>
      <c r="C8" s="48" t="s">
        <v>1260</v>
      </c>
      <c r="D8" s="56" t="s">
        <v>1254</v>
      </c>
      <c r="E8" s="31" t="str">
        <f>IFERROR(__xludf.DUMMYFUNCTION("JOIN("","",FILTER(Disciplinas!A:A, regexmatch(Disciplinas!E:E, A8)))"),"183711,183710")</f>
        <v>183711,183710</v>
      </c>
      <c r="F8" s="32" t="str">
        <f t="shared" si="1"/>
        <v>1-12</v>
      </c>
      <c r="G8" s="32" t="str">
        <f t="shared" si="2"/>
        <v>1-12</v>
      </c>
      <c r="H8" s="32" t="str">
        <f t="shared" si="3"/>
        <v>1-12</v>
      </c>
      <c r="I8" s="32" t="str">
        <f t="shared" si="4"/>
        <v>1-12</v>
      </c>
      <c r="J8" s="32" t="str">
        <f t="shared" si="5"/>
        <v>1-12</v>
      </c>
      <c r="K8" s="32" t="str">
        <f t="shared" si="6"/>
        <v>12-16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4.25" customHeight="1">
      <c r="A9" s="54" t="s">
        <v>90</v>
      </c>
      <c r="B9" s="57" t="s">
        <v>1194</v>
      </c>
      <c r="C9" s="57" t="s">
        <v>1261</v>
      </c>
      <c r="D9" s="56" t="s">
        <v>1254</v>
      </c>
      <c r="E9" s="31" t="str">
        <f>IFERROR(__xludf.DUMMYFUNCTION("JOIN("","",FILTER(Disciplinas!A:A, regexmatch(Disciplinas!E:E, A9)))"),"182290,182291,182292,182293,182294")</f>
        <v>182290,182291,182292,182293,182294</v>
      </c>
      <c r="F9" s="32" t="str">
        <f t="shared" si="1"/>
        <v>1-12</v>
      </c>
      <c r="G9" s="32" t="str">
        <f t="shared" si="2"/>
        <v>1-12</v>
      </c>
      <c r="H9" s="32" t="str">
        <f t="shared" si="3"/>
        <v>1-12</v>
      </c>
      <c r="I9" s="32" t="str">
        <f t="shared" si="4"/>
        <v>1-12</v>
      </c>
      <c r="J9" s="32" t="str">
        <f t="shared" si="5"/>
        <v>1-12</v>
      </c>
      <c r="K9" s="32" t="str">
        <f t="shared" si="6"/>
        <v>12-16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4.25" customHeight="1">
      <c r="A10" s="54" t="s">
        <v>102</v>
      </c>
      <c r="B10" s="57" t="s">
        <v>1194</v>
      </c>
      <c r="C10" s="57" t="s">
        <v>1262</v>
      </c>
      <c r="D10" s="56" t="s">
        <v>1254</v>
      </c>
      <c r="E10" s="31" t="str">
        <f>IFERROR(__xludf.DUMMYFUNCTION("JOIN("","",FILTER(Disciplinas!A:A, regexmatch(Disciplinas!E:E, A10)))"),"182295,182296,182298,182299,182297")</f>
        <v>182295,182296,182298,182299,182297</v>
      </c>
      <c r="F10" s="32" t="str">
        <f t="shared" si="1"/>
        <v>1-12</v>
      </c>
      <c r="G10" s="32" t="str">
        <f t="shared" si="2"/>
        <v>1-12</v>
      </c>
      <c r="H10" s="32" t="str">
        <f t="shared" si="3"/>
        <v>1-12</v>
      </c>
      <c r="I10" s="32" t="str">
        <f t="shared" si="4"/>
        <v>1-12</v>
      </c>
      <c r="J10" s="32" t="str">
        <f t="shared" si="5"/>
        <v>1-12</v>
      </c>
      <c r="K10" s="32" t="str">
        <f t="shared" si="6"/>
        <v>12-16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4.25" customHeight="1">
      <c r="A11" s="55" t="s">
        <v>117</v>
      </c>
      <c r="B11" s="57" t="s">
        <v>1194</v>
      </c>
      <c r="C11" s="57" t="s">
        <v>1263</v>
      </c>
      <c r="D11" s="56" t="s">
        <v>1254</v>
      </c>
      <c r="E11" s="31" t="str">
        <f>IFERROR(__xludf.DUMMYFUNCTION("JOIN("","",FILTER(Disciplinas!A:A, regexmatch(Disciplinas!E:E, A11)))"),"182300,182301,182303,182304,182302")</f>
        <v>182300,182301,182303,182304,182302</v>
      </c>
      <c r="F11" s="32" t="str">
        <f t="shared" si="1"/>
        <v>1-12</v>
      </c>
      <c r="G11" s="32" t="str">
        <f t="shared" si="2"/>
        <v>1-12</v>
      </c>
      <c r="H11" s="32" t="str">
        <f t="shared" si="3"/>
        <v>1-12</v>
      </c>
      <c r="I11" s="32" t="str">
        <f t="shared" si="4"/>
        <v>1-12</v>
      </c>
      <c r="J11" s="32" t="str">
        <f t="shared" si="5"/>
        <v>1-12</v>
      </c>
      <c r="K11" s="32" t="str">
        <f t="shared" si="6"/>
        <v>12-16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4.25" customHeight="1">
      <c r="A12" s="23" t="s">
        <v>129</v>
      </c>
      <c r="B12" s="57" t="s">
        <v>1194</v>
      </c>
      <c r="C12" s="57" t="s">
        <v>1264</v>
      </c>
      <c r="D12" s="58" t="s">
        <v>1254</v>
      </c>
      <c r="E12" s="31" t="str">
        <f>IFERROR(__xludf.DUMMYFUNCTION("JOIN("","",FILTER(Disciplinas!A:A, regexmatch(Disciplinas!E:E, A12)))"),"182306,182305,182307,182308,183789")</f>
        <v>182306,182305,182307,182308,183789</v>
      </c>
      <c r="F12" s="32" t="str">
        <f t="shared" si="1"/>
        <v>1-12</v>
      </c>
      <c r="G12" s="32" t="str">
        <f t="shared" si="2"/>
        <v>1-12</v>
      </c>
      <c r="H12" s="32" t="str">
        <f t="shared" si="3"/>
        <v>1-12</v>
      </c>
      <c r="I12" s="32" t="str">
        <f t="shared" si="4"/>
        <v>1-12</v>
      </c>
      <c r="J12" s="32" t="str">
        <f t="shared" si="5"/>
        <v>1-12</v>
      </c>
      <c r="K12" s="32" t="str">
        <f t="shared" si="6"/>
        <v>12-16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4.25" customHeight="1">
      <c r="A13" s="55" t="s">
        <v>141</v>
      </c>
      <c r="B13" s="59" t="s">
        <v>1199</v>
      </c>
      <c r="C13" s="59" t="s">
        <v>1265</v>
      </c>
      <c r="D13" s="58" t="s">
        <v>1254</v>
      </c>
      <c r="E13" s="31" t="str">
        <f>IFERROR(__xludf.DUMMYFUNCTION("JOIN("","",FILTER(Disciplinas!A:A, regexmatch(Disciplinas!E:E, A13)))"),"183914,183916")</f>
        <v>183914,183916</v>
      </c>
      <c r="F13" s="32" t="str">
        <f t="shared" si="1"/>
        <v>1-12</v>
      </c>
      <c r="G13" s="32" t="str">
        <f t="shared" si="2"/>
        <v>1-12</v>
      </c>
      <c r="H13" s="32" t="str">
        <f t="shared" si="3"/>
        <v>1-12</v>
      </c>
      <c r="I13" s="32" t="str">
        <f t="shared" si="4"/>
        <v>1-12</v>
      </c>
      <c r="J13" s="32" t="str">
        <f t="shared" si="5"/>
        <v>1-12</v>
      </c>
      <c r="K13" s="32" t="str">
        <f t="shared" si="6"/>
        <v>12-16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4.25" customHeight="1">
      <c r="A14" s="23" t="s">
        <v>147</v>
      </c>
      <c r="B14" s="59" t="s">
        <v>1229</v>
      </c>
      <c r="C14" s="59" t="s">
        <v>1266</v>
      </c>
      <c r="D14" s="58" t="s">
        <v>1267</v>
      </c>
      <c r="E14" s="31" t="str">
        <f>IFERROR(__xludf.DUMMYFUNCTION("JOIN("","",FILTER(Disciplinas!A:A, regexmatch(Disciplinas!E:E, A14)))"),"183454,183453,183456,183452,183455")</f>
        <v>183454,183453,183456,183452,183455</v>
      </c>
      <c r="F14" s="32" t="str">
        <f t="shared" si="1"/>
        <v>7-16</v>
      </c>
      <c r="G14" s="32" t="str">
        <f t="shared" si="2"/>
        <v>7-16</v>
      </c>
      <c r="H14" s="32" t="str">
        <f t="shared" si="3"/>
        <v>7-16</v>
      </c>
      <c r="I14" s="32" t="str">
        <f t="shared" si="4"/>
        <v>7-16</v>
      </c>
      <c r="J14" s="32" t="str">
        <f t="shared" si="5"/>
        <v>7-16</v>
      </c>
      <c r="K14" s="32" t="str">
        <f t="shared" si="6"/>
        <v>1-16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4.25" customHeight="1">
      <c r="A15" s="23" t="s">
        <v>163</v>
      </c>
      <c r="B15" s="59" t="s">
        <v>1229</v>
      </c>
      <c r="C15" s="59" t="s">
        <v>1268</v>
      </c>
      <c r="D15" s="58" t="s">
        <v>1267</v>
      </c>
      <c r="E15" s="31" t="str">
        <f>IFERROR(__xludf.DUMMYFUNCTION("JOIN("","",FILTER(Disciplinas!A:A, regexmatch(Disciplinas!E:E, A15)))"),"183457,183458,183459,183461,183460,183462")</f>
        <v>183457,183458,183459,183461,183460,183462</v>
      </c>
      <c r="F15" s="32" t="str">
        <f t="shared" si="1"/>
        <v>7-16</v>
      </c>
      <c r="G15" s="32" t="str">
        <f t="shared" si="2"/>
        <v>7-16</v>
      </c>
      <c r="H15" s="32" t="str">
        <f t="shared" si="3"/>
        <v>7-16</v>
      </c>
      <c r="I15" s="32" t="str">
        <f t="shared" si="4"/>
        <v>7-16</v>
      </c>
      <c r="J15" s="32" t="str">
        <f t="shared" si="5"/>
        <v>7-16</v>
      </c>
      <c r="K15" s="32" t="str">
        <f t="shared" si="6"/>
        <v>1-16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4.25" customHeight="1">
      <c r="A16" s="23" t="s">
        <v>178</v>
      </c>
      <c r="B16" s="59" t="s">
        <v>1229</v>
      </c>
      <c r="C16" s="59" t="s">
        <v>1266</v>
      </c>
      <c r="D16" s="58" t="s">
        <v>1269</v>
      </c>
      <c r="E16" s="31" t="str">
        <f>IFERROR(__xludf.DUMMYFUNCTION("JOIN("","",FILTER(Disciplinas!A:A, regexmatch(Disciplinas!E:E, A16)))"),"183465,183464,183467,183463,183466")</f>
        <v>183465,183464,183467,183463,183466</v>
      </c>
      <c r="F16" s="32" t="str">
        <f t="shared" si="1"/>
        <v>1-6,13-16</v>
      </c>
      <c r="G16" s="32" t="str">
        <f t="shared" si="2"/>
        <v>1-6,13-16</v>
      </c>
      <c r="H16" s="32" t="str">
        <f t="shared" si="3"/>
        <v>1-6,13-16</v>
      </c>
      <c r="I16" s="32" t="str">
        <f t="shared" si="4"/>
        <v>1-6,13-16</v>
      </c>
      <c r="J16" s="32" t="str">
        <f t="shared" si="5"/>
        <v>1-6,13-16</v>
      </c>
      <c r="K16" s="32" t="str">
        <f t="shared" si="6"/>
        <v>1-16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4.25" customHeight="1">
      <c r="A17" s="23" t="s">
        <v>179</v>
      </c>
      <c r="B17" s="59" t="s">
        <v>1229</v>
      </c>
      <c r="C17" s="59" t="s">
        <v>1268</v>
      </c>
      <c r="D17" s="58" t="s">
        <v>1269</v>
      </c>
      <c r="E17" s="31" t="str">
        <f>IFERROR(__xludf.DUMMYFUNCTION("JOIN("","",FILTER(Disciplinas!A:A, regexmatch(Disciplinas!E:E, A17)))"),"183468,183469,183470,183472,183471,183473")</f>
        <v>183468,183469,183470,183472,183471,183473</v>
      </c>
      <c r="F17" s="32" t="str">
        <f t="shared" si="1"/>
        <v>1-6,13-16</v>
      </c>
      <c r="G17" s="32" t="str">
        <f t="shared" si="2"/>
        <v>1-6,13-16</v>
      </c>
      <c r="H17" s="32" t="str">
        <f t="shared" si="3"/>
        <v>1-6,13-16</v>
      </c>
      <c r="I17" s="32" t="str">
        <f t="shared" si="4"/>
        <v>1-6,13-16</v>
      </c>
      <c r="J17" s="32" t="str">
        <f t="shared" si="5"/>
        <v>1-6,13-16</v>
      </c>
      <c r="K17" s="32" t="str">
        <f t="shared" si="6"/>
        <v>1-16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4.25" customHeight="1">
      <c r="A18" s="23" t="s">
        <v>184</v>
      </c>
      <c r="B18" s="59" t="s">
        <v>1203</v>
      </c>
      <c r="C18" s="59" t="s">
        <v>1270</v>
      </c>
      <c r="D18" s="58" t="s">
        <v>1267</v>
      </c>
      <c r="E18" s="31" t="str">
        <f>IFERROR(__xludf.DUMMYFUNCTION("JOIN("","",FILTER(Disciplinas!A:A, regexmatch(Disciplinas!E:E, A18)))"),"183792,183821,183791,183793")</f>
        <v>183792,183821,183791,183793</v>
      </c>
      <c r="F18" s="32" t="str">
        <f t="shared" si="1"/>
        <v>7-16</v>
      </c>
      <c r="G18" s="32" t="str">
        <f t="shared" si="2"/>
        <v>7-16</v>
      </c>
      <c r="H18" s="32" t="str">
        <f t="shared" si="3"/>
        <v>7-16</v>
      </c>
      <c r="I18" s="32" t="str">
        <f t="shared" si="4"/>
        <v>7-16</v>
      </c>
      <c r="J18" s="32" t="str">
        <f t="shared" si="5"/>
        <v>7-16</v>
      </c>
      <c r="K18" s="32" t="str">
        <f t="shared" si="6"/>
        <v>1-16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4.25" customHeight="1">
      <c r="A19" s="23" t="s">
        <v>196</v>
      </c>
      <c r="B19" s="59" t="s">
        <v>1203</v>
      </c>
      <c r="C19" s="59" t="s">
        <v>1271</v>
      </c>
      <c r="D19" s="58" t="s">
        <v>1269</v>
      </c>
      <c r="E19" s="31" t="str">
        <f>IFERROR(__xludf.DUMMYFUNCTION("JOIN("","",FILTER(Disciplinas!A:A, regexmatch(Disciplinas!E:E, A19)))"),"182247,183411,182248,182249,183409,182250,182251,182252,182253")</f>
        <v>182247,183411,182248,182249,183409,182250,182251,182252,182253</v>
      </c>
      <c r="F19" s="32" t="str">
        <f t="shared" si="1"/>
        <v>1-6,13-16</v>
      </c>
      <c r="G19" s="32" t="str">
        <f t="shared" si="2"/>
        <v>1-6,13-16</v>
      </c>
      <c r="H19" s="32" t="str">
        <f t="shared" si="3"/>
        <v>1-6,13-16</v>
      </c>
      <c r="I19" s="32" t="str">
        <f t="shared" si="4"/>
        <v>1-6,13-16</v>
      </c>
      <c r="J19" s="32" t="str">
        <f t="shared" si="5"/>
        <v>1-6,13-16</v>
      </c>
      <c r="K19" s="32" t="str">
        <f t="shared" si="6"/>
        <v>1-16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4.25" customHeight="1">
      <c r="A20" s="23" t="s">
        <v>216</v>
      </c>
      <c r="B20" s="59" t="s">
        <v>1203</v>
      </c>
      <c r="C20" s="59" t="s">
        <v>1272</v>
      </c>
      <c r="D20" s="58" t="s">
        <v>1269</v>
      </c>
      <c r="E20" s="31" t="str">
        <f>IFERROR(__xludf.DUMMYFUNCTION("JOIN("","",FILTER(Disciplinas!A:A, regexmatch(Disciplinas!E:E, A20)))"),"183410,182254,182255,182256,182257,182258")</f>
        <v>183410,182254,182255,182256,182257,182258</v>
      </c>
      <c r="F20" s="32" t="str">
        <f t="shared" si="1"/>
        <v>1-6,13-16</v>
      </c>
      <c r="G20" s="32" t="str">
        <f t="shared" si="2"/>
        <v>1-6,13-16</v>
      </c>
      <c r="H20" s="32" t="str">
        <f t="shared" si="3"/>
        <v>1-6,13-16</v>
      </c>
      <c r="I20" s="32" t="str">
        <f t="shared" si="4"/>
        <v>1-6,13-16</v>
      </c>
      <c r="J20" s="32" t="str">
        <f t="shared" si="5"/>
        <v>1-6,13-16</v>
      </c>
      <c r="K20" s="32" t="str">
        <f t="shared" si="6"/>
        <v>1-16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4.25" customHeight="1">
      <c r="A21" s="23" t="s">
        <v>234</v>
      </c>
      <c r="B21" s="59" t="s">
        <v>1203</v>
      </c>
      <c r="C21" s="59" t="s">
        <v>1273</v>
      </c>
      <c r="D21" s="58" t="s">
        <v>1267</v>
      </c>
      <c r="E21" s="31" t="str">
        <f>IFERROR(__xludf.DUMMYFUNCTION("JOIN("","",FILTER(Disciplinas!A:A, regexmatch(Disciplinas!E:E, A21)))"),"182259,182261,182263,182262,182264,182265,182266")</f>
        <v>182259,182261,182263,182262,182264,182265,182266</v>
      </c>
      <c r="F21" s="32" t="str">
        <f t="shared" si="1"/>
        <v>7-16</v>
      </c>
      <c r="G21" s="32" t="str">
        <f t="shared" si="2"/>
        <v>7-16</v>
      </c>
      <c r="H21" s="32" t="str">
        <f t="shared" si="3"/>
        <v>7-16</v>
      </c>
      <c r="I21" s="32" t="str">
        <f t="shared" si="4"/>
        <v>7-16</v>
      </c>
      <c r="J21" s="32" t="str">
        <f t="shared" si="5"/>
        <v>7-16</v>
      </c>
      <c r="K21" s="32" t="str">
        <f t="shared" si="6"/>
        <v>1-16</v>
      </c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4.25" customHeight="1">
      <c r="A22" s="23" t="s">
        <v>253</v>
      </c>
      <c r="B22" s="59" t="s">
        <v>1203</v>
      </c>
      <c r="C22" s="59" t="s">
        <v>1274</v>
      </c>
      <c r="D22" s="58" t="s">
        <v>1267</v>
      </c>
      <c r="E22" s="31" t="str">
        <f>IFERROR(__xludf.DUMMYFUNCTION("JOIN("","",FILTER(Disciplinas!A:A, regexmatch(Disciplinas!E:E, A22)))"),"182267,183806,183807,183808,183809,183810")</f>
        <v>182267,183806,183807,183808,183809,183810</v>
      </c>
      <c r="F22" s="32" t="str">
        <f t="shared" si="1"/>
        <v>7-16</v>
      </c>
      <c r="G22" s="32" t="str">
        <f t="shared" si="2"/>
        <v>7-16</v>
      </c>
      <c r="H22" s="32" t="str">
        <f t="shared" si="3"/>
        <v>7-16</v>
      </c>
      <c r="I22" s="32" t="str">
        <f t="shared" si="4"/>
        <v>7-16</v>
      </c>
      <c r="J22" s="32" t="str">
        <f t="shared" si="5"/>
        <v>7-16</v>
      </c>
      <c r="K22" s="32" t="str">
        <f t="shared" si="6"/>
        <v>1-16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4.25" customHeight="1">
      <c r="A23" s="23" t="s">
        <v>268</v>
      </c>
      <c r="B23" s="59" t="s">
        <v>1203</v>
      </c>
      <c r="C23" s="59" t="s">
        <v>1275</v>
      </c>
      <c r="D23" s="58" t="s">
        <v>1269</v>
      </c>
      <c r="E23" s="31" t="str">
        <f>IFERROR(__xludf.DUMMYFUNCTION("JOIN("","",FILTER(Disciplinas!A:A, regexmatch(Disciplinas!E:E, A23)))"),"183811,182268,182270,182269,182272,182271,182273")</f>
        <v>183811,182268,182270,182269,182272,182271,182273</v>
      </c>
      <c r="F23" s="32" t="str">
        <f t="shared" si="1"/>
        <v>1-6,13-16</v>
      </c>
      <c r="G23" s="32" t="str">
        <f t="shared" si="2"/>
        <v>1-6,13-16</v>
      </c>
      <c r="H23" s="32" t="str">
        <f t="shared" si="3"/>
        <v>1-6,13-16</v>
      </c>
      <c r="I23" s="32" t="str">
        <f t="shared" si="4"/>
        <v>1-6,13-16</v>
      </c>
      <c r="J23" s="32" t="str">
        <f t="shared" si="5"/>
        <v>1-6,13-16</v>
      </c>
      <c r="K23" s="32" t="str">
        <f t="shared" si="6"/>
        <v>1-16</v>
      </c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4.25" customHeight="1">
      <c r="A24" s="23" t="s">
        <v>286</v>
      </c>
      <c r="B24" s="59" t="s">
        <v>1203</v>
      </c>
      <c r="C24" s="59" t="s">
        <v>1276</v>
      </c>
      <c r="D24" s="58" t="s">
        <v>1267</v>
      </c>
      <c r="E24" s="31" t="str">
        <f>IFERROR(__xludf.DUMMYFUNCTION("JOIN("","",FILTER(Disciplinas!A:A, regexmatch(Disciplinas!E:E, A24)))"),"182274,182275,182276,182277,182278,182280")</f>
        <v>182274,182275,182276,182277,182278,182280</v>
      </c>
      <c r="F24" s="32" t="str">
        <f t="shared" si="1"/>
        <v>7-16</v>
      </c>
      <c r="G24" s="32" t="str">
        <f t="shared" si="2"/>
        <v>7-16</v>
      </c>
      <c r="H24" s="32" t="str">
        <f t="shared" si="3"/>
        <v>7-16</v>
      </c>
      <c r="I24" s="32" t="str">
        <f t="shared" si="4"/>
        <v>7-16</v>
      </c>
      <c r="J24" s="32" t="str">
        <f t="shared" si="5"/>
        <v>7-16</v>
      </c>
      <c r="K24" s="32" t="str">
        <f t="shared" si="6"/>
        <v>1-16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4.25" customHeight="1">
      <c r="A25" s="23" t="s">
        <v>303</v>
      </c>
      <c r="B25" s="59" t="s">
        <v>1203</v>
      </c>
      <c r="C25" s="59" t="s">
        <v>1277</v>
      </c>
      <c r="D25" s="58" t="s">
        <v>1269</v>
      </c>
      <c r="E25" s="31" t="str">
        <f>IFERROR(__xludf.DUMMYFUNCTION("JOIN("","",FILTER(Disciplinas!A:A, regexmatch(Disciplinas!E:E, A25)))"),"182281,182282,182283,182284,182285,182286,182287,182288")</f>
        <v>182281,182282,182283,182284,182285,182286,182287,182288</v>
      </c>
      <c r="F25" s="32" t="str">
        <f t="shared" si="1"/>
        <v>1-6,13-16</v>
      </c>
      <c r="G25" s="32" t="str">
        <f t="shared" si="2"/>
        <v>1-6,13-16</v>
      </c>
      <c r="H25" s="32" t="str">
        <f t="shared" si="3"/>
        <v>1-6,13-16</v>
      </c>
      <c r="I25" s="32" t="str">
        <f t="shared" si="4"/>
        <v>1-6,13-16</v>
      </c>
      <c r="J25" s="32" t="str">
        <f t="shared" si="5"/>
        <v>1-6,13-16</v>
      </c>
      <c r="K25" s="32" t="str">
        <f t="shared" si="6"/>
        <v>1-16</v>
      </c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4.25" customHeight="1">
      <c r="A26" s="23" t="s">
        <v>324</v>
      </c>
      <c r="B26" s="59" t="s">
        <v>1203</v>
      </c>
      <c r="C26" s="59" t="s">
        <v>1272</v>
      </c>
      <c r="D26" s="58" t="s">
        <v>1269</v>
      </c>
      <c r="E26" s="31" t="str">
        <f>IFERROR(__xludf.DUMMYFUNCTION("JOIN("","",FILTER(Disciplinas!A:A, regexmatch(Disciplinas!E:E, A26)))"),"182289")</f>
        <v>182289</v>
      </c>
      <c r="F26" s="32" t="str">
        <f t="shared" si="1"/>
        <v>1-6,13-16</v>
      </c>
      <c r="G26" s="32" t="str">
        <f t="shared" si="2"/>
        <v>1-6,13-16</v>
      </c>
      <c r="H26" s="32" t="str">
        <f t="shared" si="3"/>
        <v>1-6,13-16</v>
      </c>
      <c r="I26" s="32" t="str">
        <f t="shared" si="4"/>
        <v>1-6,13-16</v>
      </c>
      <c r="J26" s="32" t="str">
        <f t="shared" si="5"/>
        <v>1-6,13-16</v>
      </c>
      <c r="K26" s="32" t="str">
        <f t="shared" si="6"/>
        <v>1-16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4.25" customHeight="1">
      <c r="A27" s="23" t="s">
        <v>327</v>
      </c>
      <c r="B27" s="59" t="s">
        <v>1203</v>
      </c>
      <c r="C27" s="59" t="s">
        <v>1276</v>
      </c>
      <c r="D27" s="58" t="s">
        <v>1269</v>
      </c>
      <c r="E27" s="31" t="str">
        <f>IFERROR(__xludf.DUMMYFUNCTION("JOIN("","",FILTER(Disciplinas!A:A, regexmatch(Disciplinas!E:E, A27)))"),"183790")</f>
        <v>183790</v>
      </c>
      <c r="F27" s="32" t="str">
        <f t="shared" si="1"/>
        <v>1-6,13-16</v>
      </c>
      <c r="G27" s="32" t="str">
        <f t="shared" si="2"/>
        <v>1-6,13-16</v>
      </c>
      <c r="H27" s="32" t="str">
        <f t="shared" si="3"/>
        <v>1-6,13-16</v>
      </c>
      <c r="I27" s="32" t="str">
        <f t="shared" si="4"/>
        <v>1-6,13-16</v>
      </c>
      <c r="J27" s="32" t="str">
        <f t="shared" si="5"/>
        <v>1-6,13-16</v>
      </c>
      <c r="K27" s="32" t="str">
        <f t="shared" si="6"/>
        <v>1-16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4.25" customHeight="1">
      <c r="A28" s="24" t="s">
        <v>330</v>
      </c>
      <c r="B28" s="59" t="s">
        <v>1203</v>
      </c>
      <c r="C28" s="59" t="s">
        <v>1278</v>
      </c>
      <c r="D28" s="58" t="s">
        <v>1269</v>
      </c>
      <c r="E28" s="31" t="str">
        <f>IFERROR(__xludf.DUMMYFUNCTION("JOIN("","",FILTER(Disciplinas!A:A, regexmatch(Disciplinas!E:E, A28)))"),"183818,183851,183852")</f>
        <v>183818,183851,183852</v>
      </c>
      <c r="F28" s="32" t="str">
        <f t="shared" si="1"/>
        <v>1-6,13-16</v>
      </c>
      <c r="G28" s="32" t="str">
        <f t="shared" si="2"/>
        <v>1-6,13-16</v>
      </c>
      <c r="H28" s="32" t="str">
        <f t="shared" si="3"/>
        <v>1-6,13-16</v>
      </c>
      <c r="I28" s="32" t="str">
        <f t="shared" si="4"/>
        <v>1-6,13-16</v>
      </c>
      <c r="J28" s="32" t="str">
        <f t="shared" si="5"/>
        <v>1-6,13-16</v>
      </c>
      <c r="K28" s="32" t="str">
        <f t="shared" si="6"/>
        <v>1-16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4.25" customHeight="1">
      <c r="A29" s="24" t="s">
        <v>338</v>
      </c>
      <c r="B29" s="59" t="s">
        <v>1203</v>
      </c>
      <c r="C29" s="59" t="s">
        <v>1279</v>
      </c>
      <c r="D29" s="58" t="s">
        <v>1269</v>
      </c>
      <c r="E29" s="31" t="str">
        <f>IFERROR(__xludf.DUMMYFUNCTION("JOIN("","",FILTER(Disciplinas!A:A, regexmatch(Disciplinas!E:E, A29)))"),"183855,183858,183856")</f>
        <v>183855,183858,183856</v>
      </c>
      <c r="F29" s="32" t="str">
        <f t="shared" si="1"/>
        <v>1-6,13-16</v>
      </c>
      <c r="G29" s="32" t="str">
        <f t="shared" si="2"/>
        <v>1-6,13-16</v>
      </c>
      <c r="H29" s="32" t="str">
        <f t="shared" si="3"/>
        <v>1-6,13-16</v>
      </c>
      <c r="I29" s="32" t="str">
        <f t="shared" si="4"/>
        <v>1-6,13-16</v>
      </c>
      <c r="J29" s="32" t="str">
        <f t="shared" si="5"/>
        <v>1-6,13-16</v>
      </c>
      <c r="K29" s="32" t="str">
        <f t="shared" si="6"/>
        <v>1-16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4.25" customHeight="1">
      <c r="A30" s="23" t="s">
        <v>345</v>
      </c>
      <c r="B30" s="59" t="s">
        <v>1231</v>
      </c>
      <c r="C30" s="59" t="s">
        <v>1280</v>
      </c>
      <c r="D30" s="58" t="s">
        <v>1254</v>
      </c>
      <c r="E30" s="31" t="str">
        <f>IFERROR(__xludf.DUMMYFUNCTION("JOIN("","",FILTER(Disciplinas!A:A, regexmatch(Disciplinas!E:E, A30)))"),"183857,183475,183478,183479,183480,183474,183476")</f>
        <v>183857,183475,183478,183479,183480,183474,183476</v>
      </c>
      <c r="F30" s="32" t="str">
        <f t="shared" si="1"/>
        <v>1-12</v>
      </c>
      <c r="G30" s="32" t="str">
        <f t="shared" si="2"/>
        <v>1-12</v>
      </c>
      <c r="H30" s="32" t="str">
        <f t="shared" si="3"/>
        <v>1-12</v>
      </c>
      <c r="I30" s="32" t="str">
        <f t="shared" si="4"/>
        <v>1-12</v>
      </c>
      <c r="J30" s="32" t="str">
        <f t="shared" si="5"/>
        <v>1-12</v>
      </c>
      <c r="K30" s="32" t="str">
        <f t="shared" si="6"/>
        <v>12-16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4.25" customHeight="1">
      <c r="A31" s="23" t="s">
        <v>363</v>
      </c>
      <c r="B31" s="59" t="s">
        <v>1231</v>
      </c>
      <c r="C31" s="59" t="s">
        <v>1281</v>
      </c>
      <c r="D31" s="58" t="s">
        <v>1254</v>
      </c>
      <c r="E31" s="31" t="str">
        <f>IFERROR(__xludf.DUMMYFUNCTION("JOIN("","",FILTER(Disciplinas!A:A, regexmatch(Disciplinas!E:E, A31)))"),"183477,183485,183483,183482,183484")</f>
        <v>183477,183485,183483,183482,183484</v>
      </c>
      <c r="F31" s="32" t="str">
        <f t="shared" si="1"/>
        <v>1-12</v>
      </c>
      <c r="G31" s="32" t="str">
        <f t="shared" si="2"/>
        <v>1-12</v>
      </c>
      <c r="H31" s="32" t="str">
        <f t="shared" si="3"/>
        <v>1-12</v>
      </c>
      <c r="I31" s="32" t="str">
        <f t="shared" si="4"/>
        <v>1-12</v>
      </c>
      <c r="J31" s="32" t="str">
        <f t="shared" si="5"/>
        <v>1-12</v>
      </c>
      <c r="K31" s="32" t="str">
        <f t="shared" si="6"/>
        <v>12-16</v>
      </c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4.25" customHeight="1">
      <c r="A32" s="23" t="s">
        <v>377</v>
      </c>
      <c r="B32" s="59" t="s">
        <v>1214</v>
      </c>
      <c r="C32" s="59" t="s">
        <v>1282</v>
      </c>
      <c r="D32" s="58" t="s">
        <v>1269</v>
      </c>
      <c r="E32" s="31" t="str">
        <f>IFERROR(__xludf.DUMMYFUNCTION("JOIN("","",FILTER(Disciplinas!A:A, regexmatch(Disciplinas!E:E, A32)))"),"183481,182449,182453,182454")</f>
        <v>183481,182449,182453,182454</v>
      </c>
      <c r="F32" s="32" t="str">
        <f t="shared" si="1"/>
        <v>1-6,13-16</v>
      </c>
      <c r="G32" s="32" t="str">
        <f t="shared" si="2"/>
        <v>1-6,13-16</v>
      </c>
      <c r="H32" s="32" t="str">
        <f t="shared" si="3"/>
        <v>1-6,13-16</v>
      </c>
      <c r="I32" s="32" t="str">
        <f t="shared" si="4"/>
        <v>1-6,13-16</v>
      </c>
      <c r="J32" s="32" t="str">
        <f t="shared" si="5"/>
        <v>1-6,13-16</v>
      </c>
      <c r="K32" s="32" t="str">
        <f t="shared" si="6"/>
        <v>1-16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4.25" customHeight="1">
      <c r="A33" s="23" t="s">
        <v>386</v>
      </c>
      <c r="B33" s="59" t="s">
        <v>1214</v>
      </c>
      <c r="C33" s="59" t="s">
        <v>1283</v>
      </c>
      <c r="D33" s="58" t="s">
        <v>1267</v>
      </c>
      <c r="E33" s="31" t="str">
        <f>IFERROR(__xludf.DUMMYFUNCTION("JOIN("","",FILTER(Disciplinas!A:A, regexmatch(Disciplinas!E:E, A33)))"),"182455,182456,182458,182459,182460,182461")</f>
        <v>182455,182456,182458,182459,182460,182461</v>
      </c>
      <c r="F33" s="32" t="str">
        <f t="shared" si="1"/>
        <v>7-16</v>
      </c>
      <c r="G33" s="32" t="str">
        <f t="shared" si="2"/>
        <v>7-16</v>
      </c>
      <c r="H33" s="32" t="str">
        <f t="shared" si="3"/>
        <v>7-16</v>
      </c>
      <c r="I33" s="32" t="str">
        <f t="shared" si="4"/>
        <v>7-16</v>
      </c>
      <c r="J33" s="32" t="str">
        <f t="shared" si="5"/>
        <v>7-16</v>
      </c>
      <c r="K33" s="32" t="str">
        <f t="shared" si="6"/>
        <v>1-16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4.25" customHeight="1">
      <c r="A34" s="23" t="s">
        <v>402</v>
      </c>
      <c r="B34" s="59" t="s">
        <v>1214</v>
      </c>
      <c r="C34" s="59" t="s">
        <v>1284</v>
      </c>
      <c r="D34" s="58" t="s">
        <v>1269</v>
      </c>
      <c r="E34" s="31" t="str">
        <f>IFERROR(__xludf.DUMMYFUNCTION("JOIN("","",FILTER(Disciplinas!A:A, regexmatch(Disciplinas!E:E, A34)))"),"182462,182463,182464,182466,182465")</f>
        <v>182462,182463,182464,182466,182465</v>
      </c>
      <c r="F34" s="32" t="str">
        <f t="shared" si="1"/>
        <v>1-6,13-16</v>
      </c>
      <c r="G34" s="32" t="str">
        <f t="shared" si="2"/>
        <v>1-6,13-16</v>
      </c>
      <c r="H34" s="32" t="str">
        <f t="shared" si="3"/>
        <v>1-6,13-16</v>
      </c>
      <c r="I34" s="32" t="str">
        <f t="shared" si="4"/>
        <v>1-6,13-16</v>
      </c>
      <c r="J34" s="32" t="str">
        <f t="shared" si="5"/>
        <v>1-6,13-16</v>
      </c>
      <c r="K34" s="32" t="str">
        <f t="shared" si="6"/>
        <v>1-16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4.25" customHeight="1">
      <c r="A35" s="23" t="s">
        <v>415</v>
      </c>
      <c r="B35" s="59" t="s">
        <v>1214</v>
      </c>
      <c r="C35" s="59" t="s">
        <v>1285</v>
      </c>
      <c r="D35" s="58" t="s">
        <v>1267</v>
      </c>
      <c r="E35" s="31" t="str">
        <f>IFERROR(__xludf.DUMMYFUNCTION("JOIN("","",FILTER(Disciplinas!A:A, regexmatch(Disciplinas!E:E, A35)))"),"182467,182469,182470,182472")</f>
        <v>182467,182469,182470,182472</v>
      </c>
      <c r="F35" s="32" t="str">
        <f t="shared" si="1"/>
        <v>7-16</v>
      </c>
      <c r="G35" s="32" t="str">
        <f t="shared" si="2"/>
        <v>7-16</v>
      </c>
      <c r="H35" s="32" t="str">
        <f t="shared" si="3"/>
        <v>7-16</v>
      </c>
      <c r="I35" s="32" t="str">
        <f t="shared" si="4"/>
        <v>7-16</v>
      </c>
      <c r="J35" s="32" t="str">
        <f t="shared" si="5"/>
        <v>7-16</v>
      </c>
      <c r="K35" s="32" t="str">
        <f t="shared" si="6"/>
        <v>1-16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4.25" customHeight="1">
      <c r="A36" s="23" t="s">
        <v>424</v>
      </c>
      <c r="B36" s="59" t="s">
        <v>1214</v>
      </c>
      <c r="C36" s="59" t="s">
        <v>1286</v>
      </c>
      <c r="D36" s="58" t="s">
        <v>1269</v>
      </c>
      <c r="E36" s="31" t="str">
        <f>IFERROR(__xludf.DUMMYFUNCTION("JOIN("","",FILTER(Disciplinas!A:A, regexmatch(Disciplinas!E:E, A36)))"),"182471,182473,182474,182475,182478,182480,182481")</f>
        <v>182471,182473,182474,182475,182478,182480,182481</v>
      </c>
      <c r="F36" s="32" t="str">
        <f t="shared" si="1"/>
        <v>1-6,13-16</v>
      </c>
      <c r="G36" s="32" t="str">
        <f t="shared" si="2"/>
        <v>1-6,13-16</v>
      </c>
      <c r="H36" s="32" t="str">
        <f t="shared" si="3"/>
        <v>1-6,13-16</v>
      </c>
      <c r="I36" s="32" t="str">
        <f t="shared" si="4"/>
        <v>1-6,13-16</v>
      </c>
      <c r="J36" s="32" t="str">
        <f t="shared" si="5"/>
        <v>1-6,13-16</v>
      </c>
      <c r="K36" s="32" t="str">
        <f t="shared" si="6"/>
        <v>1-16</v>
      </c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4.25" customHeight="1">
      <c r="A37" s="23" t="s">
        <v>440</v>
      </c>
      <c r="B37" s="59" t="s">
        <v>1214</v>
      </c>
      <c r="C37" s="59" t="s">
        <v>1287</v>
      </c>
      <c r="D37" s="58" t="s">
        <v>1269</v>
      </c>
      <c r="E37" s="31" t="str">
        <f>IFERROR(__xludf.DUMMYFUNCTION("JOIN("","",FILTER(Disciplinas!A:A, regexmatch(Disciplinas!E:E, A37)))"),"182482")</f>
        <v>182482</v>
      </c>
      <c r="F37" s="32" t="str">
        <f t="shared" si="1"/>
        <v>1-6,13-16</v>
      </c>
      <c r="G37" s="32" t="str">
        <f t="shared" si="2"/>
        <v>1-6,13-16</v>
      </c>
      <c r="H37" s="32" t="str">
        <f t="shared" si="3"/>
        <v>1-6,13-16</v>
      </c>
      <c r="I37" s="32" t="str">
        <f t="shared" si="4"/>
        <v>1-6,13-16</v>
      </c>
      <c r="J37" s="32" t="str">
        <f t="shared" si="5"/>
        <v>1-6,13-16</v>
      </c>
      <c r="K37" s="32" t="str">
        <f t="shared" si="6"/>
        <v>1-16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4.25" customHeight="1">
      <c r="A38" s="23" t="s">
        <v>441</v>
      </c>
      <c r="B38" s="59" t="s">
        <v>1209</v>
      </c>
      <c r="C38" s="59" t="s">
        <v>1288</v>
      </c>
      <c r="D38" s="58" t="s">
        <v>1254</v>
      </c>
      <c r="E38" s="31" t="str">
        <f>IFERROR(__xludf.DUMMYFUNCTION("JOIN("","",FILTER(Disciplinas!A:A, regexmatch(Disciplinas!E:E, A38)))"),"183888,182557,183586,182559,182558,182560,182561")</f>
        <v>183888,182557,183586,182559,182558,182560,182561</v>
      </c>
      <c r="F38" s="32" t="str">
        <f t="shared" si="1"/>
        <v>1-12</v>
      </c>
      <c r="G38" s="32" t="str">
        <f t="shared" si="2"/>
        <v>1-12</v>
      </c>
      <c r="H38" s="32" t="str">
        <f t="shared" si="3"/>
        <v>1-12</v>
      </c>
      <c r="I38" s="32" t="str">
        <f t="shared" si="4"/>
        <v>1-12</v>
      </c>
      <c r="J38" s="32" t="str">
        <f t="shared" si="5"/>
        <v>1-12</v>
      </c>
      <c r="K38" s="32" t="str">
        <f t="shared" si="6"/>
        <v>12-16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4.25" customHeight="1">
      <c r="A39" s="23" t="s">
        <v>456</v>
      </c>
      <c r="B39" s="59" t="s">
        <v>1209</v>
      </c>
      <c r="C39" s="59" t="s">
        <v>1289</v>
      </c>
      <c r="D39" s="58" t="s">
        <v>1254</v>
      </c>
      <c r="E39" s="31" t="str">
        <f>IFERROR(__xludf.DUMMYFUNCTION("JOIN("","",FILTER(Disciplinas!A:A, regexmatch(Disciplinas!E:E, A39)))"),"182562,182563,182564,182565,182566")</f>
        <v>182562,182563,182564,182565,182566</v>
      </c>
      <c r="F39" s="32" t="str">
        <f t="shared" si="1"/>
        <v>1-12</v>
      </c>
      <c r="G39" s="32" t="str">
        <f t="shared" si="2"/>
        <v>1-12</v>
      </c>
      <c r="H39" s="32" t="str">
        <f t="shared" si="3"/>
        <v>1-12</v>
      </c>
      <c r="I39" s="32" t="str">
        <f t="shared" si="4"/>
        <v>1-12</v>
      </c>
      <c r="J39" s="32" t="str">
        <f t="shared" si="5"/>
        <v>1-12</v>
      </c>
      <c r="K39" s="32" t="str">
        <f t="shared" si="6"/>
        <v>12-16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4.25" customHeight="1">
      <c r="A40" s="23" t="s">
        <v>470</v>
      </c>
      <c r="B40" s="59" t="s">
        <v>1209</v>
      </c>
      <c r="C40" s="59" t="s">
        <v>1290</v>
      </c>
      <c r="D40" s="58" t="s">
        <v>1254</v>
      </c>
      <c r="E40" s="31" t="str">
        <f>IFERROR(__xludf.DUMMYFUNCTION("JOIN("","",FILTER(Disciplinas!A:A, regexmatch(Disciplinas!E:E, A40)))"),"182567,182568,182569,182570,182572,182571")</f>
        <v>182567,182568,182569,182570,182572,182571</v>
      </c>
      <c r="F40" s="32" t="str">
        <f t="shared" si="1"/>
        <v>1-12</v>
      </c>
      <c r="G40" s="32" t="str">
        <f t="shared" si="2"/>
        <v>1-12</v>
      </c>
      <c r="H40" s="32" t="str">
        <f t="shared" si="3"/>
        <v>1-12</v>
      </c>
      <c r="I40" s="32" t="str">
        <f t="shared" si="4"/>
        <v>1-12</v>
      </c>
      <c r="J40" s="32" t="str">
        <f t="shared" si="5"/>
        <v>1-12</v>
      </c>
      <c r="K40" s="32" t="str">
        <f t="shared" si="6"/>
        <v>12-16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4.25" customHeight="1">
      <c r="A41" s="23" t="s">
        <v>485</v>
      </c>
      <c r="B41" s="59" t="s">
        <v>1209</v>
      </c>
      <c r="C41" s="59" t="s">
        <v>1291</v>
      </c>
      <c r="D41" s="58" t="s">
        <v>1254</v>
      </c>
      <c r="E41" s="31" t="str">
        <f>IFERROR(__xludf.DUMMYFUNCTION("JOIN("","",FILTER(Disciplinas!A:A, regexmatch(Disciplinas!E:E, A41)))"),"182573,182574,182575,182576,182577,182578")</f>
        <v>182573,182574,182575,182576,182577,182578</v>
      </c>
      <c r="F41" s="32" t="str">
        <f t="shared" si="1"/>
        <v>1-12</v>
      </c>
      <c r="G41" s="32" t="str">
        <f t="shared" si="2"/>
        <v>1-12</v>
      </c>
      <c r="H41" s="32" t="str">
        <f t="shared" si="3"/>
        <v>1-12</v>
      </c>
      <c r="I41" s="32" t="str">
        <f t="shared" si="4"/>
        <v>1-12</v>
      </c>
      <c r="J41" s="32" t="str">
        <f t="shared" si="5"/>
        <v>1-12</v>
      </c>
      <c r="K41" s="32" t="str">
        <f t="shared" si="6"/>
        <v>12-16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4.25" customHeight="1">
      <c r="A42" s="23" t="s">
        <v>500</v>
      </c>
      <c r="B42" s="59" t="s">
        <v>1207</v>
      </c>
      <c r="C42" s="59" t="s">
        <v>1292</v>
      </c>
      <c r="D42" s="58" t="s">
        <v>1269</v>
      </c>
      <c r="E42" s="31" t="str">
        <f>IFERROR(__xludf.DUMMYFUNCTION("JOIN("","",FILTER(Disciplinas!A:A, regexmatch(Disciplinas!E:E, A42)))"),"182579,182329,182331,182330,182332,182333,182334,182335")</f>
        <v>182579,182329,182331,182330,182332,182333,182334,182335</v>
      </c>
      <c r="F42" s="32" t="str">
        <f t="shared" si="1"/>
        <v>1-6,13-16</v>
      </c>
      <c r="G42" s="32" t="str">
        <f t="shared" si="2"/>
        <v>1-6,13-16</v>
      </c>
      <c r="H42" s="32" t="str">
        <f t="shared" si="3"/>
        <v>1-6,13-16</v>
      </c>
      <c r="I42" s="32" t="str">
        <f t="shared" si="4"/>
        <v>1-6,13-16</v>
      </c>
      <c r="J42" s="32" t="str">
        <f t="shared" si="5"/>
        <v>1-6,13-16</v>
      </c>
      <c r="K42" s="32" t="str">
        <f t="shared" si="6"/>
        <v>1-16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4.25" customHeight="1">
      <c r="A43" s="23" t="s">
        <v>510</v>
      </c>
      <c r="B43" s="59" t="s">
        <v>1207</v>
      </c>
      <c r="C43" s="59" t="s">
        <v>1293</v>
      </c>
      <c r="D43" s="58" t="s">
        <v>1267</v>
      </c>
      <c r="E43" s="31" t="str">
        <f>IFERROR(__xludf.DUMMYFUNCTION("JOIN("","",FILTER(Disciplinas!A:A, regexmatch(Disciplinas!E:E, A43)))"),"182336,182337,182338,182340,182341")</f>
        <v>182336,182337,182338,182340,182341</v>
      </c>
      <c r="F43" s="32" t="str">
        <f t="shared" si="1"/>
        <v>7-16</v>
      </c>
      <c r="G43" s="32" t="str">
        <f t="shared" si="2"/>
        <v>7-16</v>
      </c>
      <c r="H43" s="32" t="str">
        <f t="shared" si="3"/>
        <v>7-16</v>
      </c>
      <c r="I43" s="32" t="str">
        <f t="shared" si="4"/>
        <v>7-16</v>
      </c>
      <c r="J43" s="32" t="str">
        <f t="shared" si="5"/>
        <v>7-16</v>
      </c>
      <c r="K43" s="32" t="str">
        <f t="shared" si="6"/>
        <v>1-16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4.25" customHeight="1">
      <c r="A44" s="23" t="s">
        <v>519</v>
      </c>
      <c r="B44" s="59" t="s">
        <v>1207</v>
      </c>
      <c r="C44" s="59" t="s">
        <v>1294</v>
      </c>
      <c r="D44" s="58" t="s">
        <v>1269</v>
      </c>
      <c r="E44" s="31" t="str">
        <f>IFERROR(__xludf.DUMMYFUNCTION("JOIN("","",FILTER(Disciplinas!A:A, regexmatch(Disciplinas!E:E, A44)))"),"182342,182343,182344,182345,182346,182347,182348,182349")</f>
        <v>182342,182343,182344,182345,182346,182347,182348,182349</v>
      </c>
      <c r="F44" s="32" t="str">
        <f t="shared" si="1"/>
        <v>1-6,13-16</v>
      </c>
      <c r="G44" s="32" t="str">
        <f t="shared" si="2"/>
        <v>1-6,13-16</v>
      </c>
      <c r="H44" s="32" t="str">
        <f t="shared" si="3"/>
        <v>1-6,13-16</v>
      </c>
      <c r="I44" s="32" t="str">
        <f t="shared" si="4"/>
        <v>1-6,13-16</v>
      </c>
      <c r="J44" s="32" t="str">
        <f t="shared" si="5"/>
        <v>1-6,13-16</v>
      </c>
      <c r="K44" s="32" t="str">
        <f t="shared" si="6"/>
        <v>1-16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4.25" customHeight="1">
      <c r="A45" s="23" t="s">
        <v>535</v>
      </c>
      <c r="B45" s="59" t="s">
        <v>1207</v>
      </c>
      <c r="C45" s="59" t="s">
        <v>1295</v>
      </c>
      <c r="D45" s="58" t="s">
        <v>1267</v>
      </c>
      <c r="E45" s="31" t="str">
        <f>IFERROR(__xludf.DUMMYFUNCTION("JOIN("","",FILTER(Disciplinas!A:A, regexmatch(Disciplinas!E:E, A45)))"),"182350,182351,182352,182353,182354")</f>
        <v>182350,182351,182352,182353,182354</v>
      </c>
      <c r="F45" s="32" t="str">
        <f t="shared" si="1"/>
        <v>7-16</v>
      </c>
      <c r="G45" s="32" t="str">
        <f t="shared" si="2"/>
        <v>7-16</v>
      </c>
      <c r="H45" s="32" t="str">
        <f t="shared" si="3"/>
        <v>7-16</v>
      </c>
      <c r="I45" s="32" t="str">
        <f t="shared" si="4"/>
        <v>7-16</v>
      </c>
      <c r="J45" s="32" t="str">
        <f t="shared" si="5"/>
        <v>7-16</v>
      </c>
      <c r="K45" s="32" t="str">
        <f t="shared" si="6"/>
        <v>1-16</v>
      </c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4.25" customHeight="1">
      <c r="A46" s="23" t="s">
        <v>546</v>
      </c>
      <c r="B46" s="59" t="s">
        <v>1207</v>
      </c>
      <c r="C46" s="59" t="s">
        <v>1296</v>
      </c>
      <c r="D46" s="58" t="s">
        <v>1269</v>
      </c>
      <c r="E46" s="31" t="str">
        <f>IFERROR(__xludf.DUMMYFUNCTION("JOIN("","",FILTER(Disciplinas!A:A, regexmatch(Disciplinas!E:E, A46)))"),"182355,183865,183863")</f>
        <v>182355,183865,183863</v>
      </c>
      <c r="F46" s="32" t="str">
        <f t="shared" si="1"/>
        <v>1-6,13-16</v>
      </c>
      <c r="G46" s="32" t="str">
        <f t="shared" si="2"/>
        <v>1-6,13-16</v>
      </c>
      <c r="H46" s="32" t="str">
        <f t="shared" si="3"/>
        <v>1-6,13-16</v>
      </c>
      <c r="I46" s="32" t="str">
        <f t="shared" si="4"/>
        <v>1-6,13-16</v>
      </c>
      <c r="J46" s="32" t="str">
        <f t="shared" si="5"/>
        <v>1-6,13-16</v>
      </c>
      <c r="K46" s="32" t="str">
        <f t="shared" si="6"/>
        <v>1-16</v>
      </c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4.25" customHeight="1">
      <c r="A47" s="23" t="s">
        <v>554</v>
      </c>
      <c r="B47" s="59" t="s">
        <v>1233</v>
      </c>
      <c r="C47" s="59" t="s">
        <v>1297</v>
      </c>
      <c r="D47" s="58" t="s">
        <v>1254</v>
      </c>
      <c r="E47" s="31" t="str">
        <f>IFERROR(__xludf.DUMMYFUNCTION("JOIN("","",FILTER(Disciplinas!A:A, regexmatch(Disciplinas!E:E, A47)))"),"183864,183486,183490,183487,183491,183489")</f>
        <v>183864,183486,183490,183487,183491,183489</v>
      </c>
      <c r="F47" s="32" t="str">
        <f t="shared" si="1"/>
        <v>1-12</v>
      </c>
      <c r="G47" s="32" t="str">
        <f t="shared" si="2"/>
        <v>1-12</v>
      </c>
      <c r="H47" s="32" t="str">
        <f t="shared" si="3"/>
        <v>1-12</v>
      </c>
      <c r="I47" s="32" t="str">
        <f t="shared" si="4"/>
        <v>1-12</v>
      </c>
      <c r="J47" s="32" t="str">
        <f t="shared" si="5"/>
        <v>1-12</v>
      </c>
      <c r="K47" s="32" t="str">
        <f t="shared" si="6"/>
        <v>12-16</v>
      </c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4.25" customHeight="1">
      <c r="A48" s="23" t="s">
        <v>565</v>
      </c>
      <c r="B48" s="59" t="s">
        <v>1233</v>
      </c>
      <c r="C48" s="59" t="s">
        <v>1298</v>
      </c>
      <c r="D48" s="58" t="s">
        <v>1254</v>
      </c>
      <c r="E48" s="31" t="str">
        <f>IFERROR(__xludf.DUMMYFUNCTION("JOIN("","",FILTER(Disciplinas!A:A, regexmatch(Disciplinas!E:E, A48)))"),"183488,183495,183496,183493,183492")</f>
        <v>183488,183495,183496,183493,183492</v>
      </c>
      <c r="F48" s="32" t="str">
        <f t="shared" si="1"/>
        <v>1-12</v>
      </c>
      <c r="G48" s="32" t="str">
        <f t="shared" si="2"/>
        <v>1-12</v>
      </c>
      <c r="H48" s="32" t="str">
        <f t="shared" si="3"/>
        <v>1-12</v>
      </c>
      <c r="I48" s="32" t="str">
        <f t="shared" si="4"/>
        <v>1-12</v>
      </c>
      <c r="J48" s="32" t="str">
        <f t="shared" si="5"/>
        <v>1-12</v>
      </c>
      <c r="K48" s="32" t="str">
        <f t="shared" si="6"/>
        <v>12-16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4.25" customHeight="1">
      <c r="A49" s="23" t="s">
        <v>578</v>
      </c>
      <c r="B49" s="59" t="s">
        <v>1205</v>
      </c>
      <c r="C49" s="59" t="s">
        <v>1299</v>
      </c>
      <c r="D49" s="58" t="s">
        <v>1269</v>
      </c>
      <c r="E49" s="31" t="str">
        <f>IFERROR(__xludf.DUMMYFUNCTION("JOIN("","",FILTER(Disciplinas!A:A, regexmatch(Disciplinas!E:E, A49)))"),"183494,182310,182309,182311,182312")</f>
        <v>183494,182310,182309,182311,182312</v>
      </c>
      <c r="F49" s="32" t="str">
        <f t="shared" si="1"/>
        <v>1-6,13-16</v>
      </c>
      <c r="G49" s="32" t="str">
        <f t="shared" si="2"/>
        <v>1-6,13-16</v>
      </c>
      <c r="H49" s="32" t="str">
        <f t="shared" si="3"/>
        <v>1-6,13-16</v>
      </c>
      <c r="I49" s="32" t="str">
        <f t="shared" si="4"/>
        <v>1-6,13-16</v>
      </c>
      <c r="J49" s="32" t="str">
        <f t="shared" si="5"/>
        <v>1-6,13-16</v>
      </c>
      <c r="K49" s="32" t="str">
        <f t="shared" si="6"/>
        <v>1-16</v>
      </c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4.25" customHeight="1">
      <c r="A50" s="23" t="s">
        <v>593</v>
      </c>
      <c r="B50" s="59" t="s">
        <v>1205</v>
      </c>
      <c r="C50" s="59" t="s">
        <v>1300</v>
      </c>
      <c r="D50" s="58" t="s">
        <v>1267</v>
      </c>
      <c r="E50" s="31" t="str">
        <f>IFERROR(__xludf.DUMMYFUNCTION("JOIN("","",FILTER(Disciplinas!A:A, regexmatch(Disciplinas!E:E, A50)))"),"182313,182314,182315,182316,182317,182318")</f>
        <v>182313,182314,182315,182316,182317,182318</v>
      </c>
      <c r="F50" s="32" t="str">
        <f t="shared" si="1"/>
        <v>7-16</v>
      </c>
      <c r="G50" s="32" t="str">
        <f t="shared" si="2"/>
        <v>7-16</v>
      </c>
      <c r="H50" s="32" t="str">
        <f t="shared" si="3"/>
        <v>7-16</v>
      </c>
      <c r="I50" s="32" t="str">
        <f t="shared" si="4"/>
        <v>7-16</v>
      </c>
      <c r="J50" s="32" t="str">
        <f t="shared" si="5"/>
        <v>7-16</v>
      </c>
      <c r="K50" s="32" t="str">
        <f t="shared" si="6"/>
        <v>1-16</v>
      </c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4.25" customHeight="1">
      <c r="A51" s="23" t="s">
        <v>609</v>
      </c>
      <c r="B51" s="59" t="s">
        <v>1205</v>
      </c>
      <c r="C51" s="59" t="s">
        <v>1301</v>
      </c>
      <c r="D51" s="58" t="s">
        <v>1269</v>
      </c>
      <c r="E51" s="31" t="str">
        <f>IFERROR(__xludf.DUMMYFUNCTION("JOIN("","",FILTER(Disciplinas!A:A, regexmatch(Disciplinas!E:E, A51)))"),"182319,182320,183866,182321,182322,182323")</f>
        <v>182319,182320,183866,182321,182322,182323</v>
      </c>
      <c r="F51" s="32" t="str">
        <f t="shared" si="1"/>
        <v>1-6,13-16</v>
      </c>
      <c r="G51" s="32" t="str">
        <f t="shared" si="2"/>
        <v>1-6,13-16</v>
      </c>
      <c r="H51" s="32" t="str">
        <f t="shared" si="3"/>
        <v>1-6,13-16</v>
      </c>
      <c r="I51" s="32" t="str">
        <f t="shared" si="4"/>
        <v>1-6,13-16</v>
      </c>
      <c r="J51" s="32" t="str">
        <f t="shared" si="5"/>
        <v>1-6,13-16</v>
      </c>
      <c r="K51" s="32" t="str">
        <f t="shared" si="6"/>
        <v>1-16</v>
      </c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4.25" customHeight="1">
      <c r="A52" s="23" t="s">
        <v>623</v>
      </c>
      <c r="B52" s="59" t="s">
        <v>1205</v>
      </c>
      <c r="C52" s="59" t="s">
        <v>1302</v>
      </c>
      <c r="D52" s="58" t="s">
        <v>1267</v>
      </c>
      <c r="E52" s="31" t="str">
        <f>IFERROR(__xludf.DUMMYFUNCTION("JOIN("","",FILTER(Disciplinas!A:A, regexmatch(Disciplinas!E:E, A52)))"),"182324,182325,183867,182326,182327")</f>
        <v>182324,182325,183867,182326,182327</v>
      </c>
      <c r="F52" s="32" t="str">
        <f t="shared" si="1"/>
        <v>7-16</v>
      </c>
      <c r="G52" s="32" t="str">
        <f t="shared" si="2"/>
        <v>7-16</v>
      </c>
      <c r="H52" s="32" t="str">
        <f t="shared" si="3"/>
        <v>7-16</v>
      </c>
      <c r="I52" s="32" t="str">
        <f t="shared" si="4"/>
        <v>7-16</v>
      </c>
      <c r="J52" s="32" t="str">
        <f t="shared" si="5"/>
        <v>7-16</v>
      </c>
      <c r="K52" s="32" t="str">
        <f t="shared" si="6"/>
        <v>1-16</v>
      </c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4.25" customHeight="1">
      <c r="A53" s="23" t="s">
        <v>634</v>
      </c>
      <c r="B53" s="59" t="s">
        <v>1216</v>
      </c>
      <c r="C53" s="59" t="s">
        <v>1303</v>
      </c>
      <c r="D53" s="58" t="s">
        <v>1269</v>
      </c>
      <c r="E53" s="31" t="str">
        <f>IFERROR(__xludf.DUMMYFUNCTION("JOIN("","",FILTER(Disciplinas!A:A, regexmatch(Disciplinas!E:E, A53)))"),"182328,182406,182407,183412,182408,182409,182410,182411")</f>
        <v>182328,182406,182407,183412,182408,182409,182410,182411</v>
      </c>
      <c r="F53" s="32" t="str">
        <f t="shared" si="1"/>
        <v>1-6,13-16</v>
      </c>
      <c r="G53" s="32" t="str">
        <f t="shared" si="2"/>
        <v>1-6,13-16</v>
      </c>
      <c r="H53" s="32" t="str">
        <f t="shared" si="3"/>
        <v>1-6,13-16</v>
      </c>
      <c r="I53" s="32" t="str">
        <f t="shared" si="4"/>
        <v>1-6,13-16</v>
      </c>
      <c r="J53" s="32" t="str">
        <f t="shared" si="5"/>
        <v>1-6,13-16</v>
      </c>
      <c r="K53" s="32" t="str">
        <f t="shared" si="6"/>
        <v>1-16</v>
      </c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4.25" customHeight="1">
      <c r="A54" s="23" t="s">
        <v>650</v>
      </c>
      <c r="B54" s="59" t="s">
        <v>1216</v>
      </c>
      <c r="C54" s="59" t="s">
        <v>1304</v>
      </c>
      <c r="D54" s="58" t="s">
        <v>1267</v>
      </c>
      <c r="E54" s="31" t="str">
        <f>IFERROR(__xludf.DUMMYFUNCTION("JOIN("","",FILTER(Disciplinas!A:A, regexmatch(Disciplinas!E:E, A54)))"),"182412,182413,182415,182416,182414,182417,182418")</f>
        <v>182412,182413,182415,182416,182414,182417,182418</v>
      </c>
      <c r="F54" s="32" t="str">
        <f t="shared" si="1"/>
        <v>7-16</v>
      </c>
      <c r="G54" s="32" t="str">
        <f t="shared" si="2"/>
        <v>7-16</v>
      </c>
      <c r="H54" s="32" t="str">
        <f t="shared" si="3"/>
        <v>7-16</v>
      </c>
      <c r="I54" s="32" t="str">
        <f t="shared" si="4"/>
        <v>7-16</v>
      </c>
      <c r="J54" s="32" t="str">
        <f t="shared" si="5"/>
        <v>7-16</v>
      </c>
      <c r="K54" s="32" t="str">
        <f t="shared" si="6"/>
        <v>1-16</v>
      </c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23" t="s">
        <v>666</v>
      </c>
      <c r="B55" s="59" t="s">
        <v>1216</v>
      </c>
      <c r="C55" s="59" t="s">
        <v>1305</v>
      </c>
      <c r="D55" s="58" t="s">
        <v>1269</v>
      </c>
      <c r="E55" s="31" t="str">
        <f>IFERROR(__xludf.DUMMYFUNCTION("JOIN("","",FILTER(Disciplinas!A:A, regexmatch(Disciplinas!E:E, A55)))"),"182419,182420,182421,182422,182423,182424")</f>
        <v>182419,182420,182421,182422,182423,182424</v>
      </c>
      <c r="F55" s="32" t="str">
        <f t="shared" si="1"/>
        <v>1-6,13-16</v>
      </c>
      <c r="G55" s="32" t="str">
        <f t="shared" si="2"/>
        <v>1-6,13-16</v>
      </c>
      <c r="H55" s="32" t="str">
        <f t="shared" si="3"/>
        <v>1-6,13-16</v>
      </c>
      <c r="I55" s="32" t="str">
        <f t="shared" si="4"/>
        <v>1-6,13-16</v>
      </c>
      <c r="J55" s="32" t="str">
        <f t="shared" si="5"/>
        <v>1-6,13-16</v>
      </c>
      <c r="K55" s="32" t="str">
        <f t="shared" si="6"/>
        <v>1-16</v>
      </c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23" t="s">
        <v>685</v>
      </c>
      <c r="B56" s="59" t="s">
        <v>1216</v>
      </c>
      <c r="C56" s="59" t="s">
        <v>1306</v>
      </c>
      <c r="D56" s="58" t="s">
        <v>1267</v>
      </c>
      <c r="E56" s="31" t="str">
        <f>IFERROR(__xludf.DUMMYFUNCTION("JOIN("","",FILTER(Disciplinas!A:A, regexmatch(Disciplinas!E:E, A56)))"),"182425,182426,182427,182428,182430,182429")</f>
        <v>182425,182426,182427,182428,182430,182429</v>
      </c>
      <c r="F56" s="32" t="str">
        <f t="shared" si="1"/>
        <v>7-16</v>
      </c>
      <c r="G56" s="32" t="str">
        <f t="shared" si="2"/>
        <v>7-16</v>
      </c>
      <c r="H56" s="32" t="str">
        <f t="shared" si="3"/>
        <v>7-16</v>
      </c>
      <c r="I56" s="32" t="str">
        <f t="shared" si="4"/>
        <v>7-16</v>
      </c>
      <c r="J56" s="32" t="str">
        <f t="shared" si="5"/>
        <v>7-16</v>
      </c>
      <c r="K56" s="32" t="str">
        <f t="shared" si="6"/>
        <v>1-16</v>
      </c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23" t="s">
        <v>700</v>
      </c>
      <c r="B57" s="59" t="s">
        <v>1216</v>
      </c>
      <c r="C57" s="59" t="s">
        <v>1307</v>
      </c>
      <c r="D57" s="58" t="s">
        <v>1269</v>
      </c>
      <c r="E57" s="31" t="str">
        <f>IFERROR(__xludf.DUMMYFUNCTION("JOIN("","",FILTER(Disciplinas!A:A, regexmatch(Disciplinas!E:E, A57)))"),"182431,182432,182434,182437,182441,182443,182444,182445,182446")</f>
        <v>182431,182432,182434,182437,182441,182443,182444,182445,182446</v>
      </c>
      <c r="F57" s="32" t="str">
        <f t="shared" si="1"/>
        <v>1-6,13-16</v>
      </c>
      <c r="G57" s="32" t="str">
        <f t="shared" si="2"/>
        <v>1-6,13-16</v>
      </c>
      <c r="H57" s="32" t="str">
        <f t="shared" si="3"/>
        <v>1-6,13-16</v>
      </c>
      <c r="I57" s="32" t="str">
        <f t="shared" si="4"/>
        <v>1-6,13-16</v>
      </c>
      <c r="J57" s="32" t="str">
        <f t="shared" si="5"/>
        <v>1-6,13-16</v>
      </c>
      <c r="K57" s="32" t="str">
        <f t="shared" si="6"/>
        <v>1-16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23" t="s">
        <v>716</v>
      </c>
      <c r="B58" s="59" t="s">
        <v>1235</v>
      </c>
      <c r="C58" s="59" t="s">
        <v>1308</v>
      </c>
      <c r="D58" s="58" t="s">
        <v>1254</v>
      </c>
      <c r="E58" s="31" t="str">
        <f>IFERROR(__xludf.DUMMYFUNCTION("JOIN("","",FILTER(Disciplinas!A:A, regexmatch(Disciplinas!E:E, A58)))"),"182447,183502,183497,183499,183501,183500")</f>
        <v>182447,183502,183497,183499,183501,183500</v>
      </c>
      <c r="F58" s="32" t="str">
        <f t="shared" si="1"/>
        <v>1-12</v>
      </c>
      <c r="G58" s="32" t="str">
        <f t="shared" si="2"/>
        <v>1-12</v>
      </c>
      <c r="H58" s="32" t="str">
        <f t="shared" si="3"/>
        <v>1-12</v>
      </c>
      <c r="I58" s="32" t="str">
        <f t="shared" si="4"/>
        <v>1-12</v>
      </c>
      <c r="J58" s="32" t="str">
        <f t="shared" si="5"/>
        <v>1-12</v>
      </c>
      <c r="K58" s="32" t="str">
        <f t="shared" si="6"/>
        <v>12-16</v>
      </c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23" t="s">
        <v>726</v>
      </c>
      <c r="B59" s="59" t="s">
        <v>1235</v>
      </c>
      <c r="C59" s="59" t="s">
        <v>1309</v>
      </c>
      <c r="D59" s="58" t="s">
        <v>1254</v>
      </c>
      <c r="E59" s="31" t="str">
        <f>IFERROR(__xludf.DUMMYFUNCTION("JOIN("","",FILTER(Disciplinas!A:A, regexmatch(Disciplinas!E:E, A59)))"),"183498,183504,183507,183506,183503")</f>
        <v>183498,183504,183507,183506,183503</v>
      </c>
      <c r="F59" s="32" t="str">
        <f t="shared" si="1"/>
        <v>1-12</v>
      </c>
      <c r="G59" s="32" t="str">
        <f t="shared" si="2"/>
        <v>1-12</v>
      </c>
      <c r="H59" s="32" t="str">
        <f t="shared" si="3"/>
        <v>1-12</v>
      </c>
      <c r="I59" s="32" t="str">
        <f t="shared" si="4"/>
        <v>1-12</v>
      </c>
      <c r="J59" s="32" t="str">
        <f t="shared" si="5"/>
        <v>1-12</v>
      </c>
      <c r="K59" s="32" t="str">
        <f t="shared" si="6"/>
        <v>12-16</v>
      </c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23" t="s">
        <v>735</v>
      </c>
      <c r="B60" s="59" t="s">
        <v>1212</v>
      </c>
      <c r="C60" s="59" t="s">
        <v>1310</v>
      </c>
      <c r="D60" s="58" t="s">
        <v>1269</v>
      </c>
      <c r="E60" s="31" t="str">
        <f>IFERROR(__xludf.DUMMYFUNCTION("JOIN("","",FILTER(Disciplinas!A:A, regexmatch(Disciplinas!E:E, A60)))"),"183505,182356,182357,182358,182359,182360,182361")</f>
        <v>183505,182356,182357,182358,182359,182360,182361</v>
      </c>
      <c r="F60" s="32" t="str">
        <f t="shared" si="1"/>
        <v>1-6,13-16</v>
      </c>
      <c r="G60" s="32" t="str">
        <f t="shared" si="2"/>
        <v>1-6,13-16</v>
      </c>
      <c r="H60" s="32" t="str">
        <f t="shared" si="3"/>
        <v>1-6,13-16</v>
      </c>
      <c r="I60" s="32" t="str">
        <f t="shared" si="4"/>
        <v>1-6,13-16</v>
      </c>
      <c r="J60" s="32" t="str">
        <f t="shared" si="5"/>
        <v>1-6,13-16</v>
      </c>
      <c r="K60" s="32" t="str">
        <f t="shared" si="6"/>
        <v>1-16</v>
      </c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23" t="s">
        <v>745</v>
      </c>
      <c r="B61" s="59" t="s">
        <v>1212</v>
      </c>
      <c r="C61" s="59" t="s">
        <v>1311</v>
      </c>
      <c r="D61" s="58" t="s">
        <v>1267</v>
      </c>
      <c r="E61" s="31" t="str">
        <f>IFERROR(__xludf.DUMMYFUNCTION("JOIN("","",FILTER(Disciplinas!A:A, regexmatch(Disciplinas!E:E, A61)))"),"182362,182363,182365,182364,182366,182367,182368")</f>
        <v>182362,182363,182365,182364,182366,182367,182368</v>
      </c>
      <c r="F61" s="32" t="str">
        <f t="shared" si="1"/>
        <v>7-16</v>
      </c>
      <c r="G61" s="32" t="str">
        <f t="shared" si="2"/>
        <v>7-16</v>
      </c>
      <c r="H61" s="32" t="str">
        <f t="shared" si="3"/>
        <v>7-16</v>
      </c>
      <c r="I61" s="32" t="str">
        <f t="shared" si="4"/>
        <v>7-16</v>
      </c>
      <c r="J61" s="32" t="str">
        <f t="shared" si="5"/>
        <v>7-16</v>
      </c>
      <c r="K61" s="32" t="str">
        <f t="shared" si="6"/>
        <v>1-16</v>
      </c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23" t="s">
        <v>761</v>
      </c>
      <c r="B62" s="59" t="s">
        <v>1212</v>
      </c>
      <c r="C62" s="59" t="s">
        <v>1312</v>
      </c>
      <c r="D62" s="58" t="s">
        <v>1269</v>
      </c>
      <c r="E62" s="31" t="str">
        <f>IFERROR(__xludf.DUMMYFUNCTION("JOIN("","",FILTER(Disciplinas!A:A, regexmatch(Disciplinas!E:E, A62)))"),"182369,182370,182371,182372,182373,182375,182374")</f>
        <v>182369,182370,182371,182372,182373,182375,182374</v>
      </c>
      <c r="F62" s="32" t="str">
        <f t="shared" si="1"/>
        <v>1-6,13-16</v>
      </c>
      <c r="G62" s="32" t="str">
        <f t="shared" si="2"/>
        <v>1-6,13-16</v>
      </c>
      <c r="H62" s="32" t="str">
        <f t="shared" si="3"/>
        <v>1-6,13-16</v>
      </c>
      <c r="I62" s="32" t="str">
        <f t="shared" si="4"/>
        <v>1-6,13-16</v>
      </c>
      <c r="J62" s="32" t="str">
        <f t="shared" si="5"/>
        <v>1-6,13-16</v>
      </c>
      <c r="K62" s="32" t="str">
        <f t="shared" si="6"/>
        <v>1-16</v>
      </c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23" t="s">
        <v>774</v>
      </c>
      <c r="B63" s="59" t="s">
        <v>1212</v>
      </c>
      <c r="C63" s="59" t="s">
        <v>1313</v>
      </c>
      <c r="D63" s="58" t="s">
        <v>1267</v>
      </c>
      <c r="E63" s="31" t="str">
        <f>IFERROR(__xludf.DUMMYFUNCTION("JOIN("","",FILTER(Disciplinas!A:A, regexmatch(Disciplinas!E:E, A63)))"),"182376,182377,182378,182379,182381,182382")</f>
        <v>182376,182377,182378,182379,182381,182382</v>
      </c>
      <c r="F63" s="32" t="str">
        <f t="shared" si="1"/>
        <v>7-16</v>
      </c>
      <c r="G63" s="32" t="str">
        <f t="shared" si="2"/>
        <v>7-16</v>
      </c>
      <c r="H63" s="32" t="str">
        <f t="shared" si="3"/>
        <v>7-16</v>
      </c>
      <c r="I63" s="32" t="str">
        <f t="shared" si="4"/>
        <v>7-16</v>
      </c>
      <c r="J63" s="32" t="str">
        <f t="shared" si="5"/>
        <v>7-16</v>
      </c>
      <c r="K63" s="32" t="str">
        <f t="shared" si="6"/>
        <v>1-16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23" t="s">
        <v>786</v>
      </c>
      <c r="B64" s="59" t="s">
        <v>1212</v>
      </c>
      <c r="C64" s="59" t="s">
        <v>1314</v>
      </c>
      <c r="D64" s="58" t="s">
        <v>1269</v>
      </c>
      <c r="E64" s="31" t="str">
        <f>IFERROR(__xludf.DUMMYFUNCTION("JOIN("","",FILTER(Disciplinas!A:A, regexmatch(Disciplinas!E:E, A64)))"),"182383,182384,182392")</f>
        <v>182383,182384,182392</v>
      </c>
      <c r="F64" s="32" t="str">
        <f t="shared" si="1"/>
        <v>1-6,13-16</v>
      </c>
      <c r="G64" s="32" t="str">
        <f t="shared" si="2"/>
        <v>1-6,13-16</v>
      </c>
      <c r="H64" s="32" t="str">
        <f t="shared" si="3"/>
        <v>1-6,13-16</v>
      </c>
      <c r="I64" s="32" t="str">
        <f t="shared" si="4"/>
        <v>1-6,13-16</v>
      </c>
      <c r="J64" s="32" t="str">
        <f t="shared" si="5"/>
        <v>1-6,13-16</v>
      </c>
      <c r="K64" s="32" t="str">
        <f t="shared" si="6"/>
        <v>1-16</v>
      </c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24" t="s">
        <v>792</v>
      </c>
      <c r="B65" s="59" t="s">
        <v>1212</v>
      </c>
      <c r="C65" s="59" t="s">
        <v>1315</v>
      </c>
      <c r="D65" s="58" t="s">
        <v>1267</v>
      </c>
      <c r="E65" s="31" t="str">
        <f>IFERROR(__xludf.DUMMYFUNCTION("JOIN("","",FILTER(Disciplinas!A:A, regexmatch(Disciplinas!E:E, A65)))"),"182397,183879")</f>
        <v>182397,183879</v>
      </c>
      <c r="F65" s="32" t="str">
        <f t="shared" si="1"/>
        <v>7-16</v>
      </c>
      <c r="G65" s="32" t="str">
        <f t="shared" si="2"/>
        <v>7-16</v>
      </c>
      <c r="H65" s="32" t="str">
        <f t="shared" si="3"/>
        <v>7-16</v>
      </c>
      <c r="I65" s="32" t="str">
        <f t="shared" si="4"/>
        <v>7-16</v>
      </c>
      <c r="J65" s="32" t="str">
        <f t="shared" si="5"/>
        <v>7-16</v>
      </c>
      <c r="K65" s="32" t="str">
        <f t="shared" si="6"/>
        <v>1-16</v>
      </c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23" t="s">
        <v>795</v>
      </c>
      <c r="B66" s="59" t="s">
        <v>1237</v>
      </c>
      <c r="C66" s="59" t="s">
        <v>1316</v>
      </c>
      <c r="D66" s="58" t="s">
        <v>1254</v>
      </c>
      <c r="E66" s="31" t="str">
        <f>IFERROR(__xludf.DUMMYFUNCTION("JOIN("","",FILTER(Disciplinas!A:A, regexmatch(Disciplinas!E:E, A66)))"),"183882,183508,183509,183510,183512,183511")</f>
        <v>183882,183508,183509,183510,183512,183511</v>
      </c>
      <c r="F66" s="32" t="str">
        <f t="shared" si="1"/>
        <v>1-12</v>
      </c>
      <c r="G66" s="32" t="str">
        <f t="shared" si="2"/>
        <v>1-12</v>
      </c>
      <c r="H66" s="32" t="str">
        <f t="shared" si="3"/>
        <v>1-12</v>
      </c>
      <c r="I66" s="32" t="str">
        <f t="shared" si="4"/>
        <v>1-12</v>
      </c>
      <c r="J66" s="32" t="str">
        <f t="shared" si="5"/>
        <v>1-12</v>
      </c>
      <c r="K66" s="32" t="str">
        <f t="shared" si="6"/>
        <v>12-16</v>
      </c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23" t="s">
        <v>805</v>
      </c>
      <c r="B67" s="59" t="s">
        <v>1237</v>
      </c>
      <c r="C67" s="59" t="s">
        <v>1317</v>
      </c>
      <c r="D67" s="58" t="s">
        <v>1254</v>
      </c>
      <c r="E67" s="31" t="str">
        <f>IFERROR(__xludf.DUMMYFUNCTION("JOIN("","",FILTER(Disciplinas!A:A, regexmatch(Disciplinas!E:E, A67)))"),"183513,183514,183515,183516,183517")</f>
        <v>183513,183514,183515,183516,183517</v>
      </c>
      <c r="F67" s="32" t="str">
        <f t="shared" si="1"/>
        <v>1-12</v>
      </c>
      <c r="G67" s="32" t="str">
        <f t="shared" si="2"/>
        <v>1-12</v>
      </c>
      <c r="H67" s="32" t="str">
        <f t="shared" si="3"/>
        <v>1-12</v>
      </c>
      <c r="I67" s="32" t="str">
        <f t="shared" si="4"/>
        <v>1-12</v>
      </c>
      <c r="J67" s="32" t="str">
        <f t="shared" si="5"/>
        <v>1-12</v>
      </c>
      <c r="K67" s="32" t="str">
        <f t="shared" si="6"/>
        <v>12-16</v>
      </c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23" t="s">
        <v>815</v>
      </c>
      <c r="B68" s="59" t="s">
        <v>1248</v>
      </c>
      <c r="C68" s="59" t="s">
        <v>1318</v>
      </c>
      <c r="D68" s="58" t="s">
        <v>1254</v>
      </c>
      <c r="E68" s="31" t="str">
        <f>IFERROR(__xludf.DUMMYFUNCTION("JOIN("","",FILTER(Disciplinas!A:A, regexmatch(Disciplinas!E:E, A68)))"),"183518")</f>
        <v>183518</v>
      </c>
      <c r="F68" s="32" t="str">
        <f t="shared" si="1"/>
        <v>1-12</v>
      </c>
      <c r="G68" s="32" t="str">
        <f t="shared" si="2"/>
        <v>1-12</v>
      </c>
      <c r="H68" s="32" t="str">
        <f t="shared" si="3"/>
        <v>1-12</v>
      </c>
      <c r="I68" s="32" t="str">
        <f t="shared" si="4"/>
        <v>1-12</v>
      </c>
      <c r="J68" s="32" t="str">
        <f t="shared" si="5"/>
        <v>1-12</v>
      </c>
      <c r="K68" s="32" t="str">
        <f t="shared" si="6"/>
        <v>12-16</v>
      </c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23" t="s">
        <v>818</v>
      </c>
      <c r="B69" s="59" t="s">
        <v>1248</v>
      </c>
      <c r="C69" s="59" t="s">
        <v>1319</v>
      </c>
      <c r="D69" s="58" t="s">
        <v>1254</v>
      </c>
      <c r="E69" s="31" t="str">
        <f>IFERROR(__xludf.DUMMYFUNCTION("JOIN("","",FILTER(Disciplinas!A:A, regexmatch(Disciplinas!E:E, A69)))"),"183723")</f>
        <v>183723</v>
      </c>
      <c r="F69" s="32" t="str">
        <f t="shared" si="1"/>
        <v>1-12</v>
      </c>
      <c r="G69" s="32" t="str">
        <f t="shared" si="2"/>
        <v>1-12</v>
      </c>
      <c r="H69" s="32" t="str">
        <f t="shared" si="3"/>
        <v>1-12</v>
      </c>
      <c r="I69" s="32" t="str">
        <f t="shared" si="4"/>
        <v>1-12</v>
      </c>
      <c r="J69" s="32" t="str">
        <f t="shared" si="5"/>
        <v>1-12</v>
      </c>
      <c r="K69" s="32" t="str">
        <f t="shared" si="6"/>
        <v>12-16</v>
      </c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23" t="s">
        <v>822</v>
      </c>
      <c r="B70" s="59" t="s">
        <v>1248</v>
      </c>
      <c r="C70" s="59" t="s">
        <v>1320</v>
      </c>
      <c r="D70" s="58" t="s">
        <v>1254</v>
      </c>
      <c r="E70" s="31" t="str">
        <f>IFERROR(__xludf.DUMMYFUNCTION("JOIN("","",FILTER(Disciplinas!A:A, regexmatch(Disciplinas!E:E, A70)))"),"183730")</f>
        <v>183730</v>
      </c>
      <c r="F70" s="32" t="str">
        <f t="shared" si="1"/>
        <v>1-12</v>
      </c>
      <c r="G70" s="32" t="str">
        <f t="shared" si="2"/>
        <v>1-12</v>
      </c>
      <c r="H70" s="32" t="str">
        <f t="shared" si="3"/>
        <v>1-12</v>
      </c>
      <c r="I70" s="32" t="str">
        <f t="shared" si="4"/>
        <v>1-12</v>
      </c>
      <c r="J70" s="32" t="str">
        <f t="shared" si="5"/>
        <v>1-12</v>
      </c>
      <c r="K70" s="32" t="str">
        <f t="shared" si="6"/>
        <v>12-16</v>
      </c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23" t="s">
        <v>825</v>
      </c>
      <c r="B71" s="59" t="s">
        <v>1248</v>
      </c>
      <c r="C71" s="59" t="s">
        <v>1321</v>
      </c>
      <c r="D71" s="58" t="s">
        <v>1254</v>
      </c>
      <c r="E71" s="31" t="str">
        <f>IFERROR(__xludf.DUMMYFUNCTION("JOIN("","",FILTER(Disciplinas!A:A, regexmatch(Disciplinas!E:E, A71)))"),"183736")</f>
        <v>183736</v>
      </c>
      <c r="F71" s="32" t="str">
        <f t="shared" si="1"/>
        <v>1-12</v>
      </c>
      <c r="G71" s="32" t="str">
        <f t="shared" si="2"/>
        <v>1-12</v>
      </c>
      <c r="H71" s="32" t="str">
        <f t="shared" si="3"/>
        <v>1-12</v>
      </c>
      <c r="I71" s="32" t="str">
        <f t="shared" si="4"/>
        <v>1-12</v>
      </c>
      <c r="J71" s="32" t="str">
        <f t="shared" si="5"/>
        <v>1-12</v>
      </c>
      <c r="K71" s="32" t="str">
        <f t="shared" si="6"/>
        <v>12-16</v>
      </c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23" t="s">
        <v>827</v>
      </c>
      <c r="B72" s="59" t="s">
        <v>1218</v>
      </c>
      <c r="C72" s="59" t="s">
        <v>1322</v>
      </c>
      <c r="D72" s="58" t="s">
        <v>1269</v>
      </c>
      <c r="E72" s="31" t="str">
        <f>IFERROR(__xludf.DUMMYFUNCTION("JOIN("","",FILTER(Disciplinas!A:A, regexmatch(Disciplinas!E:E, A72)))"),"183744,182483,182484,182485,182486,182487,182488")</f>
        <v>183744,182483,182484,182485,182486,182487,182488</v>
      </c>
      <c r="F72" s="32" t="str">
        <f t="shared" si="1"/>
        <v>1-6,13-16</v>
      </c>
      <c r="G72" s="32" t="str">
        <f t="shared" si="2"/>
        <v>1-6,13-16</v>
      </c>
      <c r="H72" s="32" t="str">
        <f t="shared" si="3"/>
        <v>1-6,13-16</v>
      </c>
      <c r="I72" s="32" t="str">
        <f t="shared" si="4"/>
        <v>1-6,13-16</v>
      </c>
      <c r="J72" s="32" t="str">
        <f t="shared" si="5"/>
        <v>1-6,13-16</v>
      </c>
      <c r="K72" s="32" t="str">
        <f t="shared" si="6"/>
        <v>1-16</v>
      </c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23" t="s">
        <v>838</v>
      </c>
      <c r="B73" s="59" t="s">
        <v>1218</v>
      </c>
      <c r="C73" s="59" t="s">
        <v>1323</v>
      </c>
      <c r="D73" s="58" t="s">
        <v>1267</v>
      </c>
      <c r="E73" s="31" t="str">
        <f>IFERROR(__xludf.DUMMYFUNCTION("JOIN("","",FILTER(Disciplinas!A:A, regexmatch(Disciplinas!E:E, A73)))"),"182489,182492,182493,182494")</f>
        <v>182489,182492,182493,182494</v>
      </c>
      <c r="F73" s="32" t="str">
        <f t="shared" si="1"/>
        <v>7-16</v>
      </c>
      <c r="G73" s="32" t="str">
        <f t="shared" si="2"/>
        <v>7-16</v>
      </c>
      <c r="H73" s="32" t="str">
        <f t="shared" si="3"/>
        <v>7-16</v>
      </c>
      <c r="I73" s="32" t="str">
        <f t="shared" si="4"/>
        <v>7-16</v>
      </c>
      <c r="J73" s="32" t="str">
        <f t="shared" si="5"/>
        <v>7-16</v>
      </c>
      <c r="K73" s="32" t="str">
        <f t="shared" si="6"/>
        <v>1-16</v>
      </c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23" t="s">
        <v>846</v>
      </c>
      <c r="B74" s="59" t="s">
        <v>1218</v>
      </c>
      <c r="C74" s="59" t="s">
        <v>1324</v>
      </c>
      <c r="D74" s="58" t="s">
        <v>1269</v>
      </c>
      <c r="E74" s="31" t="str">
        <f>IFERROR(__xludf.DUMMYFUNCTION("JOIN("","",FILTER(Disciplinas!A:A, regexmatch(Disciplinas!E:E, A74)))"),"182495,182497,182499,182498,182500,182501")</f>
        <v>182495,182497,182499,182498,182500,182501</v>
      </c>
      <c r="F74" s="32" t="str">
        <f t="shared" si="1"/>
        <v>1-6,13-16</v>
      </c>
      <c r="G74" s="32" t="str">
        <f t="shared" si="2"/>
        <v>1-6,13-16</v>
      </c>
      <c r="H74" s="32" t="str">
        <f t="shared" si="3"/>
        <v>1-6,13-16</v>
      </c>
      <c r="I74" s="32" t="str">
        <f t="shared" si="4"/>
        <v>1-6,13-16</v>
      </c>
      <c r="J74" s="32" t="str">
        <f t="shared" si="5"/>
        <v>1-6,13-16</v>
      </c>
      <c r="K74" s="32" t="str">
        <f t="shared" si="6"/>
        <v>1-16</v>
      </c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23" t="s">
        <v>859</v>
      </c>
      <c r="B75" s="59" t="s">
        <v>1218</v>
      </c>
      <c r="C75" s="59" t="s">
        <v>1325</v>
      </c>
      <c r="D75" s="58" t="s">
        <v>1267</v>
      </c>
      <c r="E75" s="31" t="str">
        <f>IFERROR(__xludf.DUMMYFUNCTION("JOIN("","",FILTER(Disciplinas!A:A, regexmatch(Disciplinas!E:E, A75)))"),"182502")</f>
        <v>182502</v>
      </c>
      <c r="F75" s="32" t="str">
        <f t="shared" si="1"/>
        <v>7-16</v>
      </c>
      <c r="G75" s="32" t="str">
        <f t="shared" si="2"/>
        <v>7-16</v>
      </c>
      <c r="H75" s="32" t="str">
        <f t="shared" si="3"/>
        <v>7-16</v>
      </c>
      <c r="I75" s="32" t="str">
        <f t="shared" si="4"/>
        <v>7-16</v>
      </c>
      <c r="J75" s="32" t="str">
        <f t="shared" si="5"/>
        <v>7-16</v>
      </c>
      <c r="K75" s="32" t="str">
        <f t="shared" si="6"/>
        <v>1-16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23" t="s">
        <v>862</v>
      </c>
      <c r="B76" s="59" t="s">
        <v>1239</v>
      </c>
      <c r="C76" s="59" t="s">
        <v>1326</v>
      </c>
      <c r="D76" s="58" t="s">
        <v>1254</v>
      </c>
      <c r="E76" s="31" t="str">
        <f>IFERROR(__xludf.DUMMYFUNCTION("JOIN("","",FILTER(Disciplinas!A:A, regexmatch(Disciplinas!E:E, A76)))"),"183895,183669,183667")</f>
        <v>183895,183669,183667</v>
      </c>
      <c r="F76" s="32" t="str">
        <f t="shared" si="1"/>
        <v>1-12</v>
      </c>
      <c r="G76" s="32" t="str">
        <f t="shared" si="2"/>
        <v>1-12</v>
      </c>
      <c r="H76" s="32" t="str">
        <f t="shared" si="3"/>
        <v>1-12</v>
      </c>
      <c r="I76" s="32" t="str">
        <f t="shared" si="4"/>
        <v>1-12</v>
      </c>
      <c r="J76" s="32" t="str">
        <f t="shared" si="5"/>
        <v>1-12</v>
      </c>
      <c r="K76" s="32" t="str">
        <f t="shared" si="6"/>
        <v>12-16</v>
      </c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23" t="s">
        <v>869</v>
      </c>
      <c r="B77" s="59" t="s">
        <v>1239</v>
      </c>
      <c r="C77" s="59" t="s">
        <v>1327</v>
      </c>
      <c r="D77" s="58" t="s">
        <v>1254</v>
      </c>
      <c r="E77" s="31" t="str">
        <f>IFERROR(__xludf.DUMMYFUNCTION("JOIN("","",FILTER(Disciplinas!A:A, regexmatch(Disciplinas!E:E, A77)))"),"183670,183672,183673")</f>
        <v>183670,183672,183673</v>
      </c>
      <c r="F77" s="32" t="str">
        <f t="shared" si="1"/>
        <v>1-12</v>
      </c>
      <c r="G77" s="32" t="str">
        <f t="shared" si="2"/>
        <v>1-12</v>
      </c>
      <c r="H77" s="32" t="str">
        <f t="shared" si="3"/>
        <v>1-12</v>
      </c>
      <c r="I77" s="32" t="str">
        <f t="shared" si="4"/>
        <v>1-12</v>
      </c>
      <c r="J77" s="32" t="str">
        <f t="shared" si="5"/>
        <v>1-12</v>
      </c>
      <c r="K77" s="32" t="str">
        <f t="shared" si="6"/>
        <v>12-16</v>
      </c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23" t="s">
        <v>873</v>
      </c>
      <c r="B78" s="59" t="s">
        <v>1241</v>
      </c>
      <c r="C78" s="59" t="s">
        <v>1328</v>
      </c>
      <c r="D78" s="58" t="s">
        <v>1254</v>
      </c>
      <c r="E78" s="31" t="str">
        <f>IFERROR(__xludf.DUMMYFUNCTION("JOIN("","",FILTER(Disciplinas!A:A, regexmatch(Disciplinas!E:E, A78)))"),"183675,183522,183519,183524,183521,183523,183525")</f>
        <v>183675,183522,183519,183524,183521,183523,183525</v>
      </c>
      <c r="F78" s="32" t="str">
        <f t="shared" si="1"/>
        <v>1-12</v>
      </c>
      <c r="G78" s="32" t="str">
        <f t="shared" si="2"/>
        <v>1-12</v>
      </c>
      <c r="H78" s="32" t="str">
        <f t="shared" si="3"/>
        <v>1-12</v>
      </c>
      <c r="I78" s="32" t="str">
        <f t="shared" si="4"/>
        <v>1-12</v>
      </c>
      <c r="J78" s="32" t="str">
        <f t="shared" si="5"/>
        <v>1-12</v>
      </c>
      <c r="K78" s="32" t="str">
        <f t="shared" si="6"/>
        <v>12-16</v>
      </c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23" t="s">
        <v>887</v>
      </c>
      <c r="B79" s="59" t="s">
        <v>1241</v>
      </c>
      <c r="C79" s="59" t="s">
        <v>1329</v>
      </c>
      <c r="D79" s="58" t="s">
        <v>1254</v>
      </c>
      <c r="E79" s="31" t="str">
        <f>IFERROR(__xludf.DUMMYFUNCTION("JOIN("","",FILTER(Disciplinas!A:A, regexmatch(Disciplinas!E:E, A79)))"),"183520,183528,183531,183532,183529,183526,183530")</f>
        <v>183520,183528,183531,183532,183529,183526,183530</v>
      </c>
      <c r="F79" s="32" t="str">
        <f t="shared" si="1"/>
        <v>1-12</v>
      </c>
      <c r="G79" s="32" t="str">
        <f t="shared" si="2"/>
        <v>1-12</v>
      </c>
      <c r="H79" s="32" t="str">
        <f t="shared" si="3"/>
        <v>1-12</v>
      </c>
      <c r="I79" s="32" t="str">
        <f t="shared" si="4"/>
        <v>1-12</v>
      </c>
      <c r="J79" s="32" t="str">
        <f t="shared" si="5"/>
        <v>1-12</v>
      </c>
      <c r="K79" s="32" t="str">
        <f t="shared" si="6"/>
        <v>12-16</v>
      </c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23" t="s">
        <v>899</v>
      </c>
      <c r="B80" s="59" t="s">
        <v>1220</v>
      </c>
      <c r="C80" s="59" t="s">
        <v>1330</v>
      </c>
      <c r="D80" s="58" t="s">
        <v>1254</v>
      </c>
      <c r="E80" s="31" t="str">
        <f>IFERROR(__xludf.DUMMYFUNCTION("JOIN("","",FILTER(Disciplinas!A:A, regexmatch(Disciplinas!E:E, A80)))"),"183527,182580,182581,182582,182583,182584")</f>
        <v>183527,182580,182581,182582,182583,182584</v>
      </c>
      <c r="F80" s="32" t="str">
        <f t="shared" si="1"/>
        <v>1-12</v>
      </c>
      <c r="G80" s="32" t="str">
        <f t="shared" si="2"/>
        <v>1-12</v>
      </c>
      <c r="H80" s="32" t="str">
        <f t="shared" si="3"/>
        <v>1-12</v>
      </c>
      <c r="I80" s="32" t="str">
        <f t="shared" si="4"/>
        <v>1-12</v>
      </c>
      <c r="J80" s="32" t="str">
        <f t="shared" si="5"/>
        <v>1-12</v>
      </c>
      <c r="K80" s="32" t="str">
        <f t="shared" si="6"/>
        <v>12-16</v>
      </c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23" t="s">
        <v>909</v>
      </c>
      <c r="B81" s="59" t="s">
        <v>1220</v>
      </c>
      <c r="C81" s="59" t="s">
        <v>1331</v>
      </c>
      <c r="D81" s="58" t="s">
        <v>1254</v>
      </c>
      <c r="E81" s="31" t="str">
        <f>IFERROR(__xludf.DUMMYFUNCTION("JOIN("","",FILTER(Disciplinas!A:A, regexmatch(Disciplinas!E:E, A81)))"),"182585,182586,182587,182588,182589")</f>
        <v>182585,182586,182587,182588,182589</v>
      </c>
      <c r="F81" s="32" t="str">
        <f t="shared" si="1"/>
        <v>1-12</v>
      </c>
      <c r="G81" s="32" t="str">
        <f t="shared" si="2"/>
        <v>1-12</v>
      </c>
      <c r="H81" s="32" t="str">
        <f t="shared" si="3"/>
        <v>1-12</v>
      </c>
      <c r="I81" s="32" t="str">
        <f t="shared" si="4"/>
        <v>1-12</v>
      </c>
      <c r="J81" s="32" t="str">
        <f t="shared" si="5"/>
        <v>1-12</v>
      </c>
      <c r="K81" s="32" t="str">
        <f t="shared" si="6"/>
        <v>12-16</v>
      </c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23" t="s">
        <v>918</v>
      </c>
      <c r="B82" s="59" t="s">
        <v>1220</v>
      </c>
      <c r="C82" s="59" t="s">
        <v>1332</v>
      </c>
      <c r="D82" s="58" t="s">
        <v>1254</v>
      </c>
      <c r="E82" s="31" t="str">
        <f>IFERROR(__xludf.DUMMYFUNCTION("JOIN("","",FILTER(Disciplinas!A:A, regexmatch(Disciplinas!E:E, A82)))"),"182591,182592,182593,182595")</f>
        <v>182591,182592,182593,182595</v>
      </c>
      <c r="F82" s="32" t="str">
        <f t="shared" si="1"/>
        <v>1-12</v>
      </c>
      <c r="G82" s="32" t="str">
        <f t="shared" si="2"/>
        <v>1-12</v>
      </c>
      <c r="H82" s="32" t="str">
        <f t="shared" si="3"/>
        <v>1-12</v>
      </c>
      <c r="I82" s="32" t="str">
        <f t="shared" si="4"/>
        <v>1-12</v>
      </c>
      <c r="J82" s="32" t="str">
        <f t="shared" si="5"/>
        <v>1-12</v>
      </c>
      <c r="K82" s="32" t="str">
        <f t="shared" si="6"/>
        <v>12-16</v>
      </c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23" t="s">
        <v>923</v>
      </c>
      <c r="B83" s="59" t="s">
        <v>1220</v>
      </c>
      <c r="C83" s="59" t="s">
        <v>1333</v>
      </c>
      <c r="D83" s="58" t="s">
        <v>1254</v>
      </c>
      <c r="E83" s="31" t="str">
        <f>IFERROR(__xludf.DUMMYFUNCTION("JOIN("","",FILTER(Disciplinas!A:A, regexmatch(Disciplinas!E:E, A83)))"),"182597,182598,182601,182602")</f>
        <v>182597,182598,182601,182602</v>
      </c>
      <c r="F83" s="32" t="str">
        <f t="shared" si="1"/>
        <v>1-12</v>
      </c>
      <c r="G83" s="32" t="str">
        <f t="shared" si="2"/>
        <v>1-12</v>
      </c>
      <c r="H83" s="32" t="str">
        <f t="shared" si="3"/>
        <v>1-12</v>
      </c>
      <c r="I83" s="32" t="str">
        <f t="shared" si="4"/>
        <v>1-12</v>
      </c>
      <c r="J83" s="32" t="str">
        <f t="shared" si="5"/>
        <v>1-12</v>
      </c>
      <c r="K83" s="32" t="str">
        <f t="shared" si="6"/>
        <v>12-16</v>
      </c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23" t="s">
        <v>930</v>
      </c>
      <c r="B84" s="59" t="s">
        <v>1222</v>
      </c>
      <c r="C84" s="59" t="s">
        <v>1334</v>
      </c>
      <c r="D84" s="58" t="s">
        <v>1254</v>
      </c>
      <c r="E84" s="31" t="str">
        <f>IFERROR(__xludf.DUMMYFUNCTION("JOIN("","",FILTER(Disciplinas!A:A, regexmatch(Disciplinas!E:E, A84)))"),"182603,183896,183897,183898,183900")</f>
        <v>182603,183896,183897,183898,183900</v>
      </c>
      <c r="F84" s="32" t="str">
        <f t="shared" si="1"/>
        <v>1-12</v>
      </c>
      <c r="G84" s="32" t="str">
        <f t="shared" si="2"/>
        <v>1-12</v>
      </c>
      <c r="H84" s="32" t="str">
        <f t="shared" si="3"/>
        <v>1-12</v>
      </c>
      <c r="I84" s="32" t="str">
        <f t="shared" si="4"/>
        <v>1-12</v>
      </c>
      <c r="J84" s="32" t="str">
        <f t="shared" si="5"/>
        <v>1-12</v>
      </c>
      <c r="K84" s="32" t="str">
        <f t="shared" si="6"/>
        <v>12-16</v>
      </c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23" t="s">
        <v>940</v>
      </c>
      <c r="B85" s="59" t="s">
        <v>1222</v>
      </c>
      <c r="C85" s="59" t="s">
        <v>1335</v>
      </c>
      <c r="D85" s="58" t="s">
        <v>1254</v>
      </c>
      <c r="E85" s="31" t="str">
        <f>IFERROR(__xludf.DUMMYFUNCTION("JOIN("","",FILTER(Disciplinas!A:A, regexmatch(Disciplinas!E:E, A85)))"),"183899")</f>
        <v>183899</v>
      </c>
      <c r="F85" s="32" t="str">
        <f t="shared" si="1"/>
        <v>1-12</v>
      </c>
      <c r="G85" s="32" t="str">
        <f t="shared" si="2"/>
        <v>1-12</v>
      </c>
      <c r="H85" s="32" t="str">
        <f t="shared" si="3"/>
        <v>1-12</v>
      </c>
      <c r="I85" s="32" t="str">
        <f t="shared" si="4"/>
        <v>1-12</v>
      </c>
      <c r="J85" s="32" t="str">
        <f t="shared" si="5"/>
        <v>1-12</v>
      </c>
      <c r="K85" s="32" t="str">
        <f t="shared" si="6"/>
        <v>12-16</v>
      </c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23" t="s">
        <v>941</v>
      </c>
      <c r="B86" s="59" t="s">
        <v>1222</v>
      </c>
      <c r="C86" s="59" t="s">
        <v>1335</v>
      </c>
      <c r="D86" s="58" t="s">
        <v>1254</v>
      </c>
      <c r="E86" s="31" t="str">
        <f>IFERROR(__xludf.DUMMYFUNCTION("JOIN("","",FILTER(Disciplinas!A:A, regexmatch(Disciplinas!E:E, A86)))"),"183911,183901,183904")</f>
        <v>183911,183901,183904</v>
      </c>
      <c r="F86" s="32" t="str">
        <f t="shared" si="1"/>
        <v>1-12</v>
      </c>
      <c r="G86" s="32" t="str">
        <f t="shared" si="2"/>
        <v>1-12</v>
      </c>
      <c r="H86" s="32" t="str">
        <f t="shared" si="3"/>
        <v>1-12</v>
      </c>
      <c r="I86" s="32" t="str">
        <f t="shared" si="4"/>
        <v>1-12</v>
      </c>
      <c r="J86" s="32" t="str">
        <f t="shared" si="5"/>
        <v>1-12</v>
      </c>
      <c r="K86" s="32" t="str">
        <f t="shared" si="6"/>
        <v>12-16</v>
      </c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23" t="s">
        <v>948</v>
      </c>
      <c r="B87" s="59" t="s">
        <v>1243</v>
      </c>
      <c r="C87" s="59" t="s">
        <v>1336</v>
      </c>
      <c r="D87" s="58" t="s">
        <v>1254</v>
      </c>
      <c r="E87" s="31" t="str">
        <f>IFERROR(__xludf.DUMMYFUNCTION("JOIN("","",FILTER(Disciplinas!A:A, regexmatch(Disciplinas!E:E, A87)))"),"183905,183538,183533,183537,183534,183536")</f>
        <v>183905,183538,183533,183537,183534,183536</v>
      </c>
      <c r="F87" s="32" t="str">
        <f t="shared" si="1"/>
        <v>1-12</v>
      </c>
      <c r="G87" s="32" t="str">
        <f t="shared" si="2"/>
        <v>1-12</v>
      </c>
      <c r="H87" s="32" t="str">
        <f t="shared" si="3"/>
        <v>1-12</v>
      </c>
      <c r="I87" s="32" t="str">
        <f t="shared" si="4"/>
        <v>1-12</v>
      </c>
      <c r="J87" s="32" t="str">
        <f t="shared" si="5"/>
        <v>1-12</v>
      </c>
      <c r="K87" s="32" t="str">
        <f t="shared" si="6"/>
        <v>12-16</v>
      </c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23" t="s">
        <v>961</v>
      </c>
      <c r="B88" s="59" t="s">
        <v>1243</v>
      </c>
      <c r="C88" s="59" t="s">
        <v>1337</v>
      </c>
      <c r="D88" s="58" t="s">
        <v>1254</v>
      </c>
      <c r="E88" s="31" t="str">
        <f>IFERROR(__xludf.DUMMYFUNCTION("JOIN("","",FILTER(Disciplinas!A:A, regexmatch(Disciplinas!E:E, A88)))"),"183535,183542,183540,183539,183544,183543,183541")</f>
        <v>183535,183542,183540,183539,183544,183543,183541</v>
      </c>
      <c r="F88" s="32" t="str">
        <f t="shared" si="1"/>
        <v>1-12</v>
      </c>
      <c r="G88" s="32" t="str">
        <f t="shared" si="2"/>
        <v>1-12</v>
      </c>
      <c r="H88" s="32" t="str">
        <f t="shared" si="3"/>
        <v>1-12</v>
      </c>
      <c r="I88" s="32" t="str">
        <f t="shared" si="4"/>
        <v>1-12</v>
      </c>
      <c r="J88" s="32" t="str">
        <f t="shared" si="5"/>
        <v>1-12</v>
      </c>
      <c r="K88" s="32" t="str">
        <f t="shared" si="6"/>
        <v>12-16</v>
      </c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23" t="s">
        <v>976</v>
      </c>
      <c r="B89" s="59" t="s">
        <v>1224</v>
      </c>
      <c r="C89" s="59" t="s">
        <v>1338</v>
      </c>
      <c r="D89" s="58" t="s">
        <v>1267</v>
      </c>
      <c r="E89" s="31" t="str">
        <f>IFERROR(__xludf.DUMMYFUNCTION("JOIN("","",FILTER(Disciplinas!A:A, regexmatch(Disciplinas!E:E, A89)))"),"183545")</f>
        <v>183545</v>
      </c>
      <c r="F89" s="32" t="str">
        <f t="shared" si="1"/>
        <v>7-16</v>
      </c>
      <c r="G89" s="32" t="str">
        <f t="shared" si="2"/>
        <v>7-16</v>
      </c>
      <c r="H89" s="32" t="str">
        <f t="shared" si="3"/>
        <v>7-16</v>
      </c>
      <c r="I89" s="32" t="str">
        <f t="shared" si="4"/>
        <v>7-16</v>
      </c>
      <c r="J89" s="32" t="str">
        <f t="shared" si="5"/>
        <v>7-16</v>
      </c>
      <c r="K89" s="32" t="str">
        <f t="shared" si="6"/>
        <v>1-16</v>
      </c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23" t="s">
        <v>979</v>
      </c>
      <c r="B90" s="59" t="s">
        <v>1224</v>
      </c>
      <c r="C90" s="59" t="s">
        <v>1339</v>
      </c>
      <c r="D90" s="58" t="s">
        <v>1269</v>
      </c>
      <c r="E90" s="31" t="str">
        <f>IFERROR(__xludf.DUMMYFUNCTION("JOIN("","",FILTER(Disciplinas!A:A, regexmatch(Disciplinas!E:E, A90)))"),"183931,182503,183587,182504,182505,183588,182507")</f>
        <v>183931,182503,183587,182504,182505,183588,182507</v>
      </c>
      <c r="F90" s="32" t="str">
        <f t="shared" si="1"/>
        <v>1-6,13-16</v>
      </c>
      <c r="G90" s="32" t="str">
        <f t="shared" si="2"/>
        <v>1-6,13-16</v>
      </c>
      <c r="H90" s="32" t="str">
        <f t="shared" si="3"/>
        <v>1-6,13-16</v>
      </c>
      <c r="I90" s="32" t="str">
        <f t="shared" si="4"/>
        <v>1-6,13-16</v>
      </c>
      <c r="J90" s="32" t="str">
        <f t="shared" si="5"/>
        <v>1-6,13-16</v>
      </c>
      <c r="K90" s="32" t="str">
        <f t="shared" si="6"/>
        <v>1-16</v>
      </c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23" t="s">
        <v>984</v>
      </c>
      <c r="B91" s="59" t="s">
        <v>1224</v>
      </c>
      <c r="C91" s="59" t="s">
        <v>1340</v>
      </c>
      <c r="D91" s="58" t="s">
        <v>1267</v>
      </c>
      <c r="E91" s="31" t="str">
        <f>IFERROR(__xludf.DUMMYFUNCTION("JOIN("","",FILTER(Disciplinas!A:A, regexmatch(Disciplinas!E:E, A91)))"),"182508,182509,182511,182513,182512")</f>
        <v>182508,182509,182511,182513,182512</v>
      </c>
      <c r="F91" s="32" t="str">
        <f t="shared" si="1"/>
        <v>7-16</v>
      </c>
      <c r="G91" s="32" t="str">
        <f t="shared" si="2"/>
        <v>7-16</v>
      </c>
      <c r="H91" s="32" t="str">
        <f t="shared" si="3"/>
        <v>7-16</v>
      </c>
      <c r="I91" s="32" t="str">
        <f t="shared" si="4"/>
        <v>7-16</v>
      </c>
      <c r="J91" s="32" t="str">
        <f t="shared" si="5"/>
        <v>7-16</v>
      </c>
      <c r="K91" s="32" t="str">
        <f t="shared" si="6"/>
        <v>1-16</v>
      </c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23" t="s">
        <v>994</v>
      </c>
      <c r="B92" s="59" t="s">
        <v>1224</v>
      </c>
      <c r="C92" s="59" t="s">
        <v>1341</v>
      </c>
      <c r="D92" s="58" t="s">
        <v>1269</v>
      </c>
      <c r="E92" s="31" t="str">
        <f>IFERROR(__xludf.DUMMYFUNCTION("JOIN("","",FILTER(Disciplinas!A:A, regexmatch(Disciplinas!E:E, A92)))"),"182514,182515,182516,182517,182518,182519")</f>
        <v>182514,182515,182516,182517,182518,182519</v>
      </c>
      <c r="F92" s="32" t="str">
        <f t="shared" si="1"/>
        <v>1-6,13-16</v>
      </c>
      <c r="G92" s="32" t="str">
        <f t="shared" si="2"/>
        <v>1-6,13-16</v>
      </c>
      <c r="H92" s="32" t="str">
        <f t="shared" si="3"/>
        <v>1-6,13-16</v>
      </c>
      <c r="I92" s="32" t="str">
        <f t="shared" si="4"/>
        <v>1-6,13-16</v>
      </c>
      <c r="J92" s="32" t="str">
        <f t="shared" si="5"/>
        <v>1-6,13-16</v>
      </c>
      <c r="K92" s="32" t="str">
        <f t="shared" si="6"/>
        <v>1-16</v>
      </c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23" t="s">
        <v>1009</v>
      </c>
      <c r="B93" s="59" t="s">
        <v>1224</v>
      </c>
      <c r="C93" s="59" t="s">
        <v>1342</v>
      </c>
      <c r="D93" s="58" t="s">
        <v>1267</v>
      </c>
      <c r="E93" s="31" t="str">
        <f>IFERROR(__xludf.DUMMYFUNCTION("JOIN("","",FILTER(Disciplinas!A:A, regexmatch(Disciplinas!E:E, A93)))"),"182520,182521,182522,182523,182524,182525,182526")</f>
        <v>182520,182521,182522,182523,182524,182525,182526</v>
      </c>
      <c r="F93" s="32" t="str">
        <f t="shared" si="1"/>
        <v>7-16</v>
      </c>
      <c r="G93" s="32" t="str">
        <f t="shared" si="2"/>
        <v>7-16</v>
      </c>
      <c r="H93" s="32" t="str">
        <f t="shared" si="3"/>
        <v>7-16</v>
      </c>
      <c r="I93" s="32" t="str">
        <f t="shared" si="4"/>
        <v>7-16</v>
      </c>
      <c r="J93" s="32" t="str">
        <f t="shared" si="5"/>
        <v>7-16</v>
      </c>
      <c r="K93" s="32" t="str">
        <f t="shared" si="6"/>
        <v>1-16</v>
      </c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23" t="s">
        <v>1025</v>
      </c>
      <c r="B94" s="59" t="s">
        <v>1224</v>
      </c>
      <c r="C94" s="59" t="s">
        <v>1343</v>
      </c>
      <c r="D94" s="58" t="s">
        <v>1269</v>
      </c>
      <c r="E94" s="31" t="str">
        <f>IFERROR(__xludf.DUMMYFUNCTION("JOIN("","",FILTER(Disciplinas!A:A, regexmatch(Disciplinas!E:E, A94)))"),"182527,182533,182534,182543")</f>
        <v>182527,182533,182534,182543</v>
      </c>
      <c r="F94" s="32" t="str">
        <f t="shared" si="1"/>
        <v>1-6,13-16</v>
      </c>
      <c r="G94" s="32" t="str">
        <f t="shared" si="2"/>
        <v>1-6,13-16</v>
      </c>
      <c r="H94" s="32" t="str">
        <f t="shared" si="3"/>
        <v>1-6,13-16</v>
      </c>
      <c r="I94" s="32" t="str">
        <f t="shared" si="4"/>
        <v>1-6,13-16</v>
      </c>
      <c r="J94" s="32" t="str">
        <f t="shared" si="5"/>
        <v>1-6,13-16</v>
      </c>
      <c r="K94" s="32" t="str">
        <f t="shared" si="6"/>
        <v>1-16</v>
      </c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</sheetData>
  <autoFilter ref="$B$1:$B$94"/>
  <dataValidations>
    <dataValidation type="list" allowBlank="1" sqref="A3">
      <formula1>Turmas!$A$2:$A$94</formula1>
    </dataValidation>
    <dataValidation type="list" allowBlank="1" showErrorMessage="1" sqref="B1:B94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0" t="s">
        <v>0</v>
      </c>
      <c r="B1" s="61" t="s">
        <v>1251</v>
      </c>
      <c r="C1" s="50" t="s">
        <v>1344</v>
      </c>
      <c r="D1" s="61" t="s">
        <v>1345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16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ht="14.25" customHeight="1">
      <c r="A2" s="62" t="s">
        <v>1346</v>
      </c>
      <c r="B2" s="62" t="s">
        <v>1347</v>
      </c>
      <c r="C2" s="63">
        <v>50.0</v>
      </c>
      <c r="D2" s="13" t="s">
        <v>1348</v>
      </c>
      <c r="E2" s="32" t="s">
        <v>1032</v>
      </c>
      <c r="F2" s="32" t="s">
        <v>1032</v>
      </c>
      <c r="G2" s="32" t="s">
        <v>1032</v>
      </c>
      <c r="H2" s="32" t="s">
        <v>1032</v>
      </c>
      <c r="I2" s="32" t="s">
        <v>1032</v>
      </c>
      <c r="J2" s="32" t="s">
        <v>1032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ht="14.25" customHeight="1">
      <c r="A3" s="62" t="s">
        <v>1349</v>
      </c>
      <c r="B3" s="62" t="s">
        <v>1350</v>
      </c>
      <c r="C3" s="63">
        <v>50.0</v>
      </c>
      <c r="D3" s="13" t="s">
        <v>1348</v>
      </c>
      <c r="E3" s="32" t="s">
        <v>1032</v>
      </c>
      <c r="F3" s="32" t="s">
        <v>1032</v>
      </c>
      <c r="G3" s="32" t="s">
        <v>1032</v>
      </c>
      <c r="H3" s="32" t="s">
        <v>1032</v>
      </c>
      <c r="I3" s="32" t="s">
        <v>1032</v>
      </c>
      <c r="J3" s="32" t="s">
        <v>1032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ht="14.25" customHeight="1">
      <c r="A4" s="62" t="s">
        <v>1351</v>
      </c>
      <c r="B4" s="62" t="s">
        <v>1352</v>
      </c>
      <c r="C4" s="63">
        <v>50.0</v>
      </c>
      <c r="D4" s="13" t="s">
        <v>1348</v>
      </c>
      <c r="E4" s="32" t="s">
        <v>1032</v>
      </c>
      <c r="F4" s="32" t="s">
        <v>1032</v>
      </c>
      <c r="G4" s="32" t="s">
        <v>1032</v>
      </c>
      <c r="H4" s="32" t="s">
        <v>1032</v>
      </c>
      <c r="I4" s="32" t="s">
        <v>1032</v>
      </c>
      <c r="J4" s="32" t="s">
        <v>1032</v>
      </c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ht="14.25" customHeight="1">
      <c r="A5" s="62" t="s">
        <v>1353</v>
      </c>
      <c r="B5" s="62" t="s">
        <v>1354</v>
      </c>
      <c r="C5" s="63">
        <v>50.0</v>
      </c>
      <c r="D5" s="13" t="s">
        <v>1348</v>
      </c>
      <c r="E5" s="32" t="s">
        <v>1032</v>
      </c>
      <c r="F5" s="32" t="s">
        <v>1032</v>
      </c>
      <c r="G5" s="32" t="s">
        <v>1032</v>
      </c>
      <c r="H5" s="32" t="s">
        <v>1032</v>
      </c>
      <c r="I5" s="32" t="s">
        <v>1032</v>
      </c>
      <c r="J5" s="32" t="s">
        <v>1032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</row>
    <row r="6" ht="14.25" customHeight="1">
      <c r="A6" s="62" t="s">
        <v>1355</v>
      </c>
      <c r="B6" s="62" t="s">
        <v>1356</v>
      </c>
      <c r="C6" s="63">
        <v>50.0</v>
      </c>
      <c r="D6" s="13" t="s">
        <v>1348</v>
      </c>
      <c r="E6" s="32" t="s">
        <v>1032</v>
      </c>
      <c r="F6" s="32" t="s">
        <v>1032</v>
      </c>
      <c r="G6" s="32" t="s">
        <v>1032</v>
      </c>
      <c r="H6" s="32" t="s">
        <v>1032</v>
      </c>
      <c r="I6" s="32" t="s">
        <v>1032</v>
      </c>
      <c r="J6" s="32" t="s">
        <v>1032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ht="14.25" customHeight="1">
      <c r="A7" s="62" t="s">
        <v>1357</v>
      </c>
      <c r="B7" s="62" t="s">
        <v>1358</v>
      </c>
      <c r="C7" s="63">
        <v>50.0</v>
      </c>
      <c r="D7" s="13" t="s">
        <v>1348</v>
      </c>
      <c r="E7" s="32" t="s">
        <v>1032</v>
      </c>
      <c r="F7" s="32" t="s">
        <v>1032</v>
      </c>
      <c r="G7" s="32" t="s">
        <v>1032</v>
      </c>
      <c r="H7" s="32" t="s">
        <v>1032</v>
      </c>
      <c r="I7" s="32" t="s">
        <v>1032</v>
      </c>
      <c r="J7" s="32" t="s">
        <v>1032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ht="14.25" customHeight="1">
      <c r="A8" s="62" t="s">
        <v>1359</v>
      </c>
      <c r="B8" s="62" t="s">
        <v>1360</v>
      </c>
      <c r="C8" s="63">
        <v>50.0</v>
      </c>
      <c r="D8" s="13" t="s">
        <v>1348</v>
      </c>
      <c r="E8" s="32" t="s">
        <v>1032</v>
      </c>
      <c r="F8" s="32" t="s">
        <v>1032</v>
      </c>
      <c r="G8" s="32" t="s">
        <v>1032</v>
      </c>
      <c r="H8" s="32" t="s">
        <v>1032</v>
      </c>
      <c r="I8" s="32" t="s">
        <v>1032</v>
      </c>
      <c r="J8" s="32" t="s">
        <v>1032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ht="14.25" customHeight="1">
      <c r="A9" s="62" t="s">
        <v>1361</v>
      </c>
      <c r="B9" s="64" t="s">
        <v>1362</v>
      </c>
      <c r="C9" s="63">
        <v>50.0</v>
      </c>
      <c r="D9" s="13" t="s">
        <v>1348</v>
      </c>
      <c r="E9" s="32" t="s">
        <v>1032</v>
      </c>
      <c r="F9" s="32" t="s">
        <v>1032</v>
      </c>
      <c r="G9" s="32" t="s">
        <v>1032</v>
      </c>
      <c r="H9" s="32" t="s">
        <v>1032</v>
      </c>
      <c r="I9" s="32" t="s">
        <v>1032</v>
      </c>
      <c r="J9" s="32" t="s">
        <v>1032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ht="14.25" customHeight="1">
      <c r="A10" s="62" t="s">
        <v>1363</v>
      </c>
      <c r="B10" s="64" t="s">
        <v>1364</v>
      </c>
      <c r="C10" s="63">
        <v>50.0</v>
      </c>
      <c r="D10" s="13" t="s">
        <v>1348</v>
      </c>
      <c r="E10" s="32" t="s">
        <v>1032</v>
      </c>
      <c r="F10" s="32" t="s">
        <v>1032</v>
      </c>
      <c r="G10" s="32" t="s">
        <v>1032</v>
      </c>
      <c r="H10" s="32" t="s">
        <v>1032</v>
      </c>
      <c r="I10" s="32" t="s">
        <v>1032</v>
      </c>
      <c r="J10" s="32" t="s">
        <v>1032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</row>
    <row r="11" ht="14.25" customHeight="1">
      <c r="A11" s="62" t="s">
        <v>1365</v>
      </c>
      <c r="B11" s="64" t="s">
        <v>1366</v>
      </c>
      <c r="C11" s="63">
        <v>50.0</v>
      </c>
      <c r="D11" s="13" t="s">
        <v>1348</v>
      </c>
      <c r="E11" s="32" t="s">
        <v>1032</v>
      </c>
      <c r="F11" s="32" t="s">
        <v>1032</v>
      </c>
      <c r="G11" s="32" t="s">
        <v>1032</v>
      </c>
      <c r="H11" s="32" t="s">
        <v>1032</v>
      </c>
      <c r="I11" s="32" t="s">
        <v>1032</v>
      </c>
      <c r="J11" s="32" t="s">
        <v>1032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</row>
    <row r="12" ht="14.25" customHeight="1">
      <c r="A12" s="62" t="s">
        <v>1367</v>
      </c>
      <c r="B12" s="65" t="s">
        <v>1368</v>
      </c>
      <c r="C12" s="63">
        <v>50.0</v>
      </c>
      <c r="D12" s="13" t="s">
        <v>1348</v>
      </c>
      <c r="E12" s="32" t="s">
        <v>1032</v>
      </c>
      <c r="F12" s="32" t="s">
        <v>1032</v>
      </c>
      <c r="G12" s="32" t="s">
        <v>1032</v>
      </c>
      <c r="H12" s="32" t="s">
        <v>1032</v>
      </c>
      <c r="I12" s="32" t="s">
        <v>1032</v>
      </c>
      <c r="J12" s="32" t="s">
        <v>1032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ht="14.25" customHeight="1">
      <c r="A13" s="62" t="s">
        <v>1369</v>
      </c>
      <c r="B13" s="65" t="s">
        <v>1370</v>
      </c>
      <c r="C13" s="63">
        <v>50.0</v>
      </c>
      <c r="D13" s="13" t="s">
        <v>1348</v>
      </c>
      <c r="E13" s="32" t="s">
        <v>1032</v>
      </c>
      <c r="F13" s="32" t="s">
        <v>1032</v>
      </c>
      <c r="G13" s="32" t="s">
        <v>1032</v>
      </c>
      <c r="H13" s="32" t="s">
        <v>1032</v>
      </c>
      <c r="I13" s="32" t="s">
        <v>1032</v>
      </c>
      <c r="J13" s="32" t="s">
        <v>1032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ht="14.25" customHeight="1">
      <c r="A14" s="62" t="s">
        <v>1371</v>
      </c>
      <c r="B14" s="64" t="s">
        <v>1372</v>
      </c>
      <c r="C14" s="63">
        <v>50.0</v>
      </c>
      <c r="D14" s="13" t="s">
        <v>1348</v>
      </c>
      <c r="E14" s="32" t="s">
        <v>1032</v>
      </c>
      <c r="F14" s="32" t="s">
        <v>1032</v>
      </c>
      <c r="G14" s="32" t="s">
        <v>1032</v>
      </c>
      <c r="H14" s="32" t="s">
        <v>1032</v>
      </c>
      <c r="I14" s="32" t="s">
        <v>1032</v>
      </c>
      <c r="J14" s="32" t="s">
        <v>1032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ht="14.25" customHeight="1">
      <c r="A15" s="62" t="s">
        <v>1373</v>
      </c>
      <c r="B15" s="64" t="s">
        <v>1374</v>
      </c>
      <c r="C15" s="63">
        <v>50.0</v>
      </c>
      <c r="D15" s="13" t="s">
        <v>1348</v>
      </c>
      <c r="E15" s="32" t="s">
        <v>1032</v>
      </c>
      <c r="F15" s="32" t="s">
        <v>1032</v>
      </c>
      <c r="G15" s="32" t="s">
        <v>1032</v>
      </c>
      <c r="H15" s="32" t="s">
        <v>1032</v>
      </c>
      <c r="I15" s="32" t="s">
        <v>1032</v>
      </c>
      <c r="J15" s="32" t="s">
        <v>1032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ht="14.25" customHeight="1">
      <c r="A16" s="62" t="s">
        <v>1375</v>
      </c>
      <c r="B16" s="64" t="s">
        <v>1376</v>
      </c>
      <c r="C16" s="63">
        <v>50.0</v>
      </c>
      <c r="D16" s="13" t="s">
        <v>1348</v>
      </c>
      <c r="E16" s="32" t="s">
        <v>1032</v>
      </c>
      <c r="F16" s="32" t="s">
        <v>1032</v>
      </c>
      <c r="G16" s="32" t="s">
        <v>1032</v>
      </c>
      <c r="H16" s="32" t="s">
        <v>1032</v>
      </c>
      <c r="I16" s="32" t="s">
        <v>1032</v>
      </c>
      <c r="J16" s="32" t="s">
        <v>1032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ht="14.25" customHeight="1">
      <c r="A17" s="62" t="s">
        <v>1377</v>
      </c>
      <c r="B17" s="64" t="s">
        <v>1378</v>
      </c>
      <c r="C17" s="63">
        <v>50.0</v>
      </c>
      <c r="D17" s="13" t="s">
        <v>1348</v>
      </c>
      <c r="E17" s="32" t="s">
        <v>1032</v>
      </c>
      <c r="F17" s="32" t="s">
        <v>1032</v>
      </c>
      <c r="G17" s="32" t="s">
        <v>1032</v>
      </c>
      <c r="H17" s="32" t="s">
        <v>1032</v>
      </c>
      <c r="I17" s="32" t="s">
        <v>1032</v>
      </c>
      <c r="J17" s="32" t="s">
        <v>1032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ht="14.25" customHeight="1">
      <c r="A18" s="62" t="s">
        <v>1379</v>
      </c>
      <c r="B18" s="64" t="s">
        <v>1380</v>
      </c>
      <c r="C18" s="63">
        <v>50.0</v>
      </c>
      <c r="D18" s="13" t="s">
        <v>1348</v>
      </c>
      <c r="E18" s="32" t="s">
        <v>1032</v>
      </c>
      <c r="F18" s="32" t="s">
        <v>1032</v>
      </c>
      <c r="G18" s="32" t="s">
        <v>1032</v>
      </c>
      <c r="H18" s="32" t="s">
        <v>1032</v>
      </c>
      <c r="I18" s="32" t="s">
        <v>1032</v>
      </c>
      <c r="J18" s="32" t="s">
        <v>1032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ht="14.25" customHeight="1">
      <c r="A19" s="62" t="s">
        <v>1381</v>
      </c>
      <c r="B19" s="64" t="s">
        <v>1382</v>
      </c>
      <c r="C19" s="63">
        <v>50.0</v>
      </c>
      <c r="D19" s="13" t="s">
        <v>1348</v>
      </c>
      <c r="E19" s="32" t="s">
        <v>1032</v>
      </c>
      <c r="F19" s="32" t="s">
        <v>1032</v>
      </c>
      <c r="G19" s="32" t="s">
        <v>1032</v>
      </c>
      <c r="H19" s="32" t="s">
        <v>1032</v>
      </c>
      <c r="I19" s="32" t="s">
        <v>1032</v>
      </c>
      <c r="J19" s="32" t="s">
        <v>1032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ht="14.25" customHeight="1">
      <c r="A20" s="62" t="s">
        <v>1383</v>
      </c>
      <c r="B20" s="64" t="s">
        <v>1384</v>
      </c>
      <c r="C20" s="63">
        <v>50.0</v>
      </c>
      <c r="D20" s="13" t="s">
        <v>1348</v>
      </c>
      <c r="E20" s="32" t="s">
        <v>1032</v>
      </c>
      <c r="F20" s="32" t="s">
        <v>1032</v>
      </c>
      <c r="G20" s="32" t="s">
        <v>1032</v>
      </c>
      <c r="H20" s="32" t="s">
        <v>1032</v>
      </c>
      <c r="I20" s="32" t="s">
        <v>1032</v>
      </c>
      <c r="J20" s="32" t="s">
        <v>1032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ht="14.25" customHeight="1">
      <c r="A21" s="62" t="s">
        <v>1385</v>
      </c>
      <c r="B21" s="64" t="s">
        <v>1386</v>
      </c>
      <c r="C21" s="63">
        <v>50.0</v>
      </c>
      <c r="D21" s="13" t="s">
        <v>1348</v>
      </c>
      <c r="E21" s="32" t="s">
        <v>1032</v>
      </c>
      <c r="F21" s="32" t="s">
        <v>1032</v>
      </c>
      <c r="G21" s="32" t="s">
        <v>1032</v>
      </c>
      <c r="H21" s="32" t="s">
        <v>1032</v>
      </c>
      <c r="I21" s="32" t="s">
        <v>1032</v>
      </c>
      <c r="J21" s="32" t="s">
        <v>1032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ht="14.25" customHeight="1">
      <c r="A22" s="62" t="s">
        <v>1387</v>
      </c>
      <c r="B22" s="64" t="s">
        <v>1388</v>
      </c>
      <c r="C22" s="63">
        <v>50.0</v>
      </c>
      <c r="D22" s="13" t="s">
        <v>1348</v>
      </c>
      <c r="E22" s="32" t="s">
        <v>1032</v>
      </c>
      <c r="F22" s="32" t="s">
        <v>1032</v>
      </c>
      <c r="G22" s="32" t="s">
        <v>1032</v>
      </c>
      <c r="H22" s="32" t="s">
        <v>1032</v>
      </c>
      <c r="I22" s="32" t="s">
        <v>1032</v>
      </c>
      <c r="J22" s="32" t="s">
        <v>1032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ht="14.25" customHeight="1">
      <c r="A23" s="62" t="s">
        <v>1389</v>
      </c>
      <c r="B23" s="64" t="s">
        <v>1390</v>
      </c>
      <c r="C23" s="63">
        <v>50.0</v>
      </c>
      <c r="D23" s="13" t="s">
        <v>1348</v>
      </c>
      <c r="E23" s="32" t="s">
        <v>1032</v>
      </c>
      <c r="F23" s="32" t="s">
        <v>1032</v>
      </c>
      <c r="G23" s="32" t="s">
        <v>1032</v>
      </c>
      <c r="H23" s="32" t="s">
        <v>1032</v>
      </c>
      <c r="I23" s="32" t="s">
        <v>1032</v>
      </c>
      <c r="J23" s="32" t="s">
        <v>1032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ht="14.25" customHeight="1">
      <c r="A24" s="62" t="s">
        <v>1391</v>
      </c>
      <c r="B24" s="64" t="s">
        <v>1392</v>
      </c>
      <c r="C24" s="63">
        <v>50.0</v>
      </c>
      <c r="D24" s="13" t="s">
        <v>1348</v>
      </c>
      <c r="E24" s="32" t="s">
        <v>1032</v>
      </c>
      <c r="F24" s="32" t="s">
        <v>1032</v>
      </c>
      <c r="G24" s="32" t="s">
        <v>1032</v>
      </c>
      <c r="H24" s="32" t="s">
        <v>1032</v>
      </c>
      <c r="I24" s="32" t="s">
        <v>1032</v>
      </c>
      <c r="J24" s="32" t="s">
        <v>1032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ht="14.25" customHeight="1">
      <c r="A25" s="62" t="s">
        <v>1393</v>
      </c>
      <c r="B25" s="64" t="s">
        <v>1394</v>
      </c>
      <c r="C25" s="63">
        <v>50.0</v>
      </c>
      <c r="D25" s="13" t="s">
        <v>1348</v>
      </c>
      <c r="E25" s="32" t="s">
        <v>1032</v>
      </c>
      <c r="F25" s="32" t="s">
        <v>1032</v>
      </c>
      <c r="G25" s="32" t="s">
        <v>1032</v>
      </c>
      <c r="H25" s="32" t="s">
        <v>1032</v>
      </c>
      <c r="I25" s="32" t="s">
        <v>1032</v>
      </c>
      <c r="J25" s="32" t="s">
        <v>1032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</row>
    <row r="26" ht="14.25" customHeight="1">
      <c r="A26" s="62" t="s">
        <v>1395</v>
      </c>
      <c r="B26" s="64" t="s">
        <v>1396</v>
      </c>
      <c r="C26" s="63">
        <v>50.0</v>
      </c>
      <c r="D26" s="13" t="s">
        <v>1348</v>
      </c>
      <c r="E26" s="32" t="s">
        <v>1032</v>
      </c>
      <c r="F26" s="32" t="s">
        <v>1032</v>
      </c>
      <c r="G26" s="32" t="s">
        <v>1032</v>
      </c>
      <c r="H26" s="32" t="s">
        <v>1032</v>
      </c>
      <c r="I26" s="32" t="s">
        <v>1032</v>
      </c>
      <c r="J26" s="32" t="s">
        <v>1032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</row>
    <row r="27" ht="14.25" customHeight="1">
      <c r="A27" s="62" t="s">
        <v>1397</v>
      </c>
      <c r="B27" s="64" t="s">
        <v>1398</v>
      </c>
      <c r="C27" s="63">
        <v>50.0</v>
      </c>
      <c r="D27" s="13" t="s">
        <v>1348</v>
      </c>
      <c r="E27" s="32" t="s">
        <v>1032</v>
      </c>
      <c r="F27" s="32" t="s">
        <v>1032</v>
      </c>
      <c r="G27" s="32" t="s">
        <v>1032</v>
      </c>
      <c r="H27" s="32" t="s">
        <v>1032</v>
      </c>
      <c r="I27" s="32" t="s">
        <v>1032</v>
      </c>
      <c r="J27" s="32" t="s">
        <v>1032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 ht="14.25" customHeight="1">
      <c r="A28" s="62" t="s">
        <v>1399</v>
      </c>
      <c r="B28" s="64" t="s">
        <v>1400</v>
      </c>
      <c r="C28" s="63">
        <v>50.0</v>
      </c>
      <c r="D28" s="13" t="s">
        <v>1348</v>
      </c>
      <c r="E28" s="32" t="s">
        <v>1032</v>
      </c>
      <c r="F28" s="32" t="s">
        <v>1032</v>
      </c>
      <c r="G28" s="32" t="s">
        <v>1032</v>
      </c>
      <c r="H28" s="32" t="s">
        <v>1032</v>
      </c>
      <c r="I28" s="32" t="s">
        <v>1032</v>
      </c>
      <c r="J28" s="32" t="s">
        <v>1032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ht="14.25" customHeight="1">
      <c r="A29" s="62" t="s">
        <v>1401</v>
      </c>
      <c r="B29" s="64" t="s">
        <v>1402</v>
      </c>
      <c r="C29" s="63">
        <v>50.0</v>
      </c>
      <c r="D29" s="13" t="s">
        <v>1348</v>
      </c>
      <c r="E29" s="32" t="s">
        <v>1032</v>
      </c>
      <c r="F29" s="32" t="s">
        <v>1032</v>
      </c>
      <c r="G29" s="32" t="s">
        <v>1032</v>
      </c>
      <c r="H29" s="32" t="s">
        <v>1032</v>
      </c>
      <c r="I29" s="32" t="s">
        <v>1032</v>
      </c>
      <c r="J29" s="32" t="s">
        <v>1032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ht="14.25" customHeight="1">
      <c r="A30" s="62" t="s">
        <v>1403</v>
      </c>
      <c r="B30" s="64" t="s">
        <v>1404</v>
      </c>
      <c r="C30" s="63">
        <v>50.0</v>
      </c>
      <c r="D30" s="13" t="s">
        <v>1348</v>
      </c>
      <c r="E30" s="32" t="s">
        <v>1032</v>
      </c>
      <c r="F30" s="32" t="s">
        <v>1032</v>
      </c>
      <c r="G30" s="32" t="s">
        <v>1032</v>
      </c>
      <c r="H30" s="32" t="s">
        <v>1032</v>
      </c>
      <c r="I30" s="32" t="s">
        <v>1032</v>
      </c>
      <c r="J30" s="32" t="s">
        <v>1032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ht="14.25" customHeight="1">
      <c r="A31" s="62" t="s">
        <v>1405</v>
      </c>
      <c r="B31" s="64" t="s">
        <v>1406</v>
      </c>
      <c r="C31" s="63">
        <v>50.0</v>
      </c>
      <c r="D31" s="13" t="s">
        <v>1348</v>
      </c>
      <c r="E31" s="32" t="s">
        <v>1032</v>
      </c>
      <c r="F31" s="32" t="s">
        <v>1032</v>
      </c>
      <c r="G31" s="32" t="s">
        <v>1032</v>
      </c>
      <c r="H31" s="32" t="s">
        <v>1032</v>
      </c>
      <c r="I31" s="32" t="s">
        <v>1032</v>
      </c>
      <c r="J31" s="32" t="s">
        <v>1032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ht="14.25" customHeight="1">
      <c r="A32" s="62" t="s">
        <v>1407</v>
      </c>
      <c r="B32" s="64" t="s">
        <v>1408</v>
      </c>
      <c r="C32" s="63">
        <v>50.0</v>
      </c>
      <c r="D32" s="13" t="s">
        <v>1348</v>
      </c>
      <c r="E32" s="32" t="s">
        <v>1032</v>
      </c>
      <c r="F32" s="32" t="s">
        <v>1032</v>
      </c>
      <c r="G32" s="32" t="s">
        <v>1032</v>
      </c>
      <c r="H32" s="32" t="s">
        <v>1032</v>
      </c>
      <c r="I32" s="32" t="s">
        <v>1032</v>
      </c>
      <c r="J32" s="32" t="s">
        <v>1032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 ht="14.25" customHeight="1">
      <c r="A33" s="62" t="s">
        <v>1409</v>
      </c>
      <c r="B33" s="64" t="s">
        <v>1410</v>
      </c>
      <c r="C33" s="63">
        <v>50.0</v>
      </c>
      <c r="D33" s="13" t="s">
        <v>1348</v>
      </c>
      <c r="E33" s="32" t="s">
        <v>1032</v>
      </c>
      <c r="F33" s="32" t="s">
        <v>1032</v>
      </c>
      <c r="G33" s="32" t="s">
        <v>1032</v>
      </c>
      <c r="H33" s="32" t="s">
        <v>1032</v>
      </c>
      <c r="I33" s="32" t="s">
        <v>1032</v>
      </c>
      <c r="J33" s="32" t="s">
        <v>1032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 ht="14.25" customHeight="1">
      <c r="A34" s="62" t="s">
        <v>1411</v>
      </c>
      <c r="B34" s="64" t="s">
        <v>1412</v>
      </c>
      <c r="C34" s="63">
        <v>50.0</v>
      </c>
      <c r="D34" s="13" t="s">
        <v>1348</v>
      </c>
      <c r="E34" s="32" t="s">
        <v>1032</v>
      </c>
      <c r="F34" s="32" t="s">
        <v>1032</v>
      </c>
      <c r="G34" s="32" t="s">
        <v>1032</v>
      </c>
      <c r="H34" s="32" t="s">
        <v>1032</v>
      </c>
      <c r="I34" s="32" t="s">
        <v>1032</v>
      </c>
      <c r="J34" s="32" t="s">
        <v>1032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ht="14.25" customHeight="1">
      <c r="A35" s="62" t="s">
        <v>1413</v>
      </c>
      <c r="B35" s="64" t="s">
        <v>1414</v>
      </c>
      <c r="C35" s="63">
        <v>50.0</v>
      </c>
      <c r="D35" s="13" t="s">
        <v>1348</v>
      </c>
      <c r="E35" s="32" t="s">
        <v>1032</v>
      </c>
      <c r="F35" s="32" t="s">
        <v>1032</v>
      </c>
      <c r="G35" s="32" t="s">
        <v>1032</v>
      </c>
      <c r="H35" s="32" t="s">
        <v>1032</v>
      </c>
      <c r="I35" s="32" t="s">
        <v>1032</v>
      </c>
      <c r="J35" s="32" t="s">
        <v>1032</v>
      </c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ht="14.25" customHeight="1">
      <c r="A36" s="62" t="s">
        <v>1415</v>
      </c>
      <c r="B36" s="64" t="s">
        <v>1416</v>
      </c>
      <c r="C36" s="63">
        <v>50.0</v>
      </c>
      <c r="D36" s="13" t="s">
        <v>1348</v>
      </c>
      <c r="E36" s="32" t="s">
        <v>1032</v>
      </c>
      <c r="F36" s="32" t="s">
        <v>1032</v>
      </c>
      <c r="G36" s="32" t="s">
        <v>1032</v>
      </c>
      <c r="H36" s="32" t="s">
        <v>1032</v>
      </c>
      <c r="I36" s="32" t="s">
        <v>1032</v>
      </c>
      <c r="J36" s="32" t="s">
        <v>1032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 ht="14.25" customHeight="1">
      <c r="A37" s="62" t="s">
        <v>1417</v>
      </c>
      <c r="B37" s="64" t="s">
        <v>1418</v>
      </c>
      <c r="C37" s="63">
        <v>50.0</v>
      </c>
      <c r="D37" s="13" t="s">
        <v>1348</v>
      </c>
      <c r="E37" s="32" t="s">
        <v>1032</v>
      </c>
      <c r="F37" s="32" t="s">
        <v>1032</v>
      </c>
      <c r="G37" s="32" t="s">
        <v>1032</v>
      </c>
      <c r="H37" s="32" t="s">
        <v>1032</v>
      </c>
      <c r="I37" s="32" t="s">
        <v>1032</v>
      </c>
      <c r="J37" s="32" t="s">
        <v>1032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ht="14.25" customHeight="1">
      <c r="A38" s="62" t="s">
        <v>1419</v>
      </c>
      <c r="B38" s="64" t="s">
        <v>1420</v>
      </c>
      <c r="C38" s="63">
        <v>50.0</v>
      </c>
      <c r="D38" s="13" t="s">
        <v>1348</v>
      </c>
      <c r="E38" s="32" t="s">
        <v>1032</v>
      </c>
      <c r="F38" s="32" t="s">
        <v>1032</v>
      </c>
      <c r="G38" s="32" t="s">
        <v>1032</v>
      </c>
      <c r="H38" s="32" t="s">
        <v>1032</v>
      </c>
      <c r="I38" s="32" t="s">
        <v>1032</v>
      </c>
      <c r="J38" s="32" t="s">
        <v>1032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ht="14.25" customHeight="1">
      <c r="A39" s="62" t="s">
        <v>1421</v>
      </c>
      <c r="B39" s="64" t="s">
        <v>1422</v>
      </c>
      <c r="C39" s="63">
        <v>50.0</v>
      </c>
      <c r="D39" s="13" t="s">
        <v>1348</v>
      </c>
      <c r="E39" s="32" t="s">
        <v>1032</v>
      </c>
      <c r="F39" s="32" t="s">
        <v>1032</v>
      </c>
      <c r="G39" s="32" t="s">
        <v>1032</v>
      </c>
      <c r="H39" s="32" t="s">
        <v>1032</v>
      </c>
      <c r="I39" s="32" t="s">
        <v>1032</v>
      </c>
      <c r="J39" s="32" t="s">
        <v>1032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ht="14.25" customHeight="1">
      <c r="A40" s="62" t="s">
        <v>1423</v>
      </c>
      <c r="B40" s="64" t="s">
        <v>1424</v>
      </c>
      <c r="C40" s="63">
        <v>50.0</v>
      </c>
      <c r="D40" s="13" t="s">
        <v>1348</v>
      </c>
      <c r="E40" s="32" t="s">
        <v>1032</v>
      </c>
      <c r="F40" s="32" t="s">
        <v>1032</v>
      </c>
      <c r="G40" s="32" t="s">
        <v>1032</v>
      </c>
      <c r="H40" s="32" t="s">
        <v>1032</v>
      </c>
      <c r="I40" s="32" t="s">
        <v>1032</v>
      </c>
      <c r="J40" s="32" t="s">
        <v>1032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ht="14.25" customHeight="1">
      <c r="A41" s="62" t="s">
        <v>1425</v>
      </c>
      <c r="B41" s="64" t="s">
        <v>1426</v>
      </c>
      <c r="C41" s="63">
        <v>50.0</v>
      </c>
      <c r="D41" s="13" t="s">
        <v>1348</v>
      </c>
      <c r="E41" s="32" t="s">
        <v>1032</v>
      </c>
      <c r="F41" s="32" t="s">
        <v>1032</v>
      </c>
      <c r="G41" s="32" t="s">
        <v>1032</v>
      </c>
      <c r="H41" s="32" t="s">
        <v>1032</v>
      </c>
      <c r="I41" s="32" t="s">
        <v>1032</v>
      </c>
      <c r="J41" s="32" t="s">
        <v>1032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ht="14.25" customHeight="1">
      <c r="A42" s="62" t="s">
        <v>1427</v>
      </c>
      <c r="B42" s="64" t="s">
        <v>1428</v>
      </c>
      <c r="C42" s="63">
        <v>50.0</v>
      </c>
      <c r="D42" s="13" t="s">
        <v>1348</v>
      </c>
      <c r="E42" s="32" t="s">
        <v>1032</v>
      </c>
      <c r="F42" s="32" t="s">
        <v>1032</v>
      </c>
      <c r="G42" s="32" t="s">
        <v>1032</v>
      </c>
      <c r="H42" s="32" t="s">
        <v>1032</v>
      </c>
      <c r="I42" s="32" t="s">
        <v>1032</v>
      </c>
      <c r="J42" s="32" t="s">
        <v>1032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ht="14.25" customHeight="1">
      <c r="A43" s="62" t="s">
        <v>1429</v>
      </c>
      <c r="B43" s="64" t="s">
        <v>1430</v>
      </c>
      <c r="C43" s="63">
        <v>50.0</v>
      </c>
      <c r="D43" s="13" t="s">
        <v>1348</v>
      </c>
      <c r="E43" s="32" t="s">
        <v>1032</v>
      </c>
      <c r="F43" s="32" t="s">
        <v>1032</v>
      </c>
      <c r="G43" s="32" t="s">
        <v>1032</v>
      </c>
      <c r="H43" s="32" t="s">
        <v>1032</v>
      </c>
      <c r="I43" s="32" t="s">
        <v>1032</v>
      </c>
      <c r="J43" s="32" t="s">
        <v>1032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ht="14.25" customHeight="1">
      <c r="A44" s="62" t="s">
        <v>1431</v>
      </c>
      <c r="B44" s="64" t="s">
        <v>1432</v>
      </c>
      <c r="C44" s="63">
        <v>50.0</v>
      </c>
      <c r="D44" s="13" t="s">
        <v>1348</v>
      </c>
      <c r="E44" s="32" t="s">
        <v>1032</v>
      </c>
      <c r="F44" s="32" t="s">
        <v>1032</v>
      </c>
      <c r="G44" s="32" t="s">
        <v>1032</v>
      </c>
      <c r="H44" s="32" t="s">
        <v>1032</v>
      </c>
      <c r="I44" s="32" t="s">
        <v>1032</v>
      </c>
      <c r="J44" s="32" t="s">
        <v>1032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ht="14.25" customHeight="1">
      <c r="A45" s="62" t="s">
        <v>1433</v>
      </c>
      <c r="B45" s="64" t="s">
        <v>1434</v>
      </c>
      <c r="C45" s="63">
        <v>50.0</v>
      </c>
      <c r="D45" s="13" t="s">
        <v>1348</v>
      </c>
      <c r="E45" s="32" t="s">
        <v>1032</v>
      </c>
      <c r="F45" s="32" t="s">
        <v>1032</v>
      </c>
      <c r="G45" s="32" t="s">
        <v>1032</v>
      </c>
      <c r="H45" s="32" t="s">
        <v>1032</v>
      </c>
      <c r="I45" s="32" t="s">
        <v>1032</v>
      </c>
      <c r="J45" s="32" t="s">
        <v>1032</v>
      </c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ht="14.25" customHeight="1">
      <c r="A46" s="62" t="s">
        <v>1435</v>
      </c>
      <c r="B46" s="64" t="s">
        <v>1436</v>
      </c>
      <c r="C46" s="63">
        <v>50.0</v>
      </c>
      <c r="D46" s="13" t="s">
        <v>1348</v>
      </c>
      <c r="E46" s="32" t="s">
        <v>1032</v>
      </c>
      <c r="F46" s="32" t="s">
        <v>1032</v>
      </c>
      <c r="G46" s="32" t="s">
        <v>1032</v>
      </c>
      <c r="H46" s="32" t="s">
        <v>1032</v>
      </c>
      <c r="I46" s="32" t="s">
        <v>1032</v>
      </c>
      <c r="J46" s="32" t="s">
        <v>1032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ht="14.25" customHeight="1">
      <c r="A47" s="62" t="s">
        <v>1437</v>
      </c>
      <c r="B47" s="64" t="s">
        <v>1438</v>
      </c>
      <c r="C47" s="63">
        <v>50.0</v>
      </c>
      <c r="D47" s="13" t="s">
        <v>1348</v>
      </c>
      <c r="E47" s="32" t="s">
        <v>1032</v>
      </c>
      <c r="F47" s="32" t="s">
        <v>1032</v>
      </c>
      <c r="G47" s="32" t="s">
        <v>1032</v>
      </c>
      <c r="H47" s="32" t="s">
        <v>1032</v>
      </c>
      <c r="I47" s="32" t="s">
        <v>1032</v>
      </c>
      <c r="J47" s="32" t="s">
        <v>1032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ht="14.25" customHeight="1">
      <c r="A48" s="62" t="s">
        <v>1439</v>
      </c>
      <c r="B48" s="64" t="s">
        <v>1440</v>
      </c>
      <c r="C48" s="63">
        <v>50.0</v>
      </c>
      <c r="D48" s="13" t="s">
        <v>1348</v>
      </c>
      <c r="E48" s="32" t="s">
        <v>1032</v>
      </c>
      <c r="F48" s="32" t="s">
        <v>1032</v>
      </c>
      <c r="G48" s="32" t="s">
        <v>1032</v>
      </c>
      <c r="H48" s="32" t="s">
        <v>1032</v>
      </c>
      <c r="I48" s="32" t="s">
        <v>1032</v>
      </c>
      <c r="J48" s="32" t="s">
        <v>1032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 ht="14.25" customHeight="1">
      <c r="A49" s="62" t="s">
        <v>1441</v>
      </c>
      <c r="B49" s="64" t="s">
        <v>1442</v>
      </c>
      <c r="C49" s="63">
        <v>50.0</v>
      </c>
      <c r="D49" s="13" t="s">
        <v>1348</v>
      </c>
      <c r="E49" s="32" t="s">
        <v>1032</v>
      </c>
      <c r="F49" s="32" t="s">
        <v>1032</v>
      </c>
      <c r="G49" s="32" t="s">
        <v>1032</v>
      </c>
      <c r="H49" s="32" t="s">
        <v>1032</v>
      </c>
      <c r="I49" s="32" t="s">
        <v>1032</v>
      </c>
      <c r="J49" s="32" t="s">
        <v>1032</v>
      </c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ht="14.25" customHeight="1">
      <c r="A50" s="62" t="s">
        <v>1443</v>
      </c>
      <c r="B50" s="64" t="s">
        <v>1444</v>
      </c>
      <c r="C50" s="63">
        <v>50.0</v>
      </c>
      <c r="D50" s="13" t="s">
        <v>1348</v>
      </c>
      <c r="E50" s="32" t="s">
        <v>1032</v>
      </c>
      <c r="F50" s="32" t="s">
        <v>1032</v>
      </c>
      <c r="G50" s="32" t="s">
        <v>1032</v>
      </c>
      <c r="H50" s="32" t="s">
        <v>1032</v>
      </c>
      <c r="I50" s="32" t="s">
        <v>1032</v>
      </c>
      <c r="J50" s="32" t="s">
        <v>1032</v>
      </c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ht="14.25" customHeight="1">
      <c r="A51" s="62" t="s">
        <v>1445</v>
      </c>
      <c r="B51" s="64" t="s">
        <v>1446</v>
      </c>
      <c r="C51" s="63">
        <v>50.0</v>
      </c>
      <c r="D51" s="13" t="s">
        <v>1348</v>
      </c>
      <c r="E51" s="32" t="s">
        <v>1032</v>
      </c>
      <c r="F51" s="32" t="s">
        <v>1032</v>
      </c>
      <c r="G51" s="32" t="s">
        <v>1032</v>
      </c>
      <c r="H51" s="32" t="s">
        <v>1032</v>
      </c>
      <c r="I51" s="32" t="s">
        <v>1032</v>
      </c>
      <c r="J51" s="32" t="s">
        <v>1032</v>
      </c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 ht="14.25" customHeight="1">
      <c r="A52" s="62" t="s">
        <v>1447</v>
      </c>
      <c r="B52" s="64" t="s">
        <v>1448</v>
      </c>
      <c r="C52" s="63">
        <v>50.0</v>
      </c>
      <c r="D52" s="13" t="s">
        <v>1348</v>
      </c>
      <c r="E52" s="32" t="s">
        <v>1032</v>
      </c>
      <c r="F52" s="32" t="s">
        <v>1032</v>
      </c>
      <c r="G52" s="32" t="s">
        <v>1032</v>
      </c>
      <c r="H52" s="32" t="s">
        <v>1032</v>
      </c>
      <c r="I52" s="32" t="s">
        <v>1032</v>
      </c>
      <c r="J52" s="32" t="s">
        <v>1032</v>
      </c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 ht="14.25" customHeight="1">
      <c r="A53" s="64" t="s">
        <v>1449</v>
      </c>
      <c r="B53" s="64" t="s">
        <v>1450</v>
      </c>
      <c r="C53" s="63">
        <v>30.0</v>
      </c>
      <c r="D53" s="58" t="s">
        <v>1451</v>
      </c>
      <c r="E53" s="32" t="s">
        <v>1032</v>
      </c>
      <c r="F53" s="32" t="s">
        <v>1032</v>
      </c>
      <c r="G53" s="32" t="s">
        <v>1032</v>
      </c>
      <c r="H53" s="32" t="s">
        <v>1032</v>
      </c>
      <c r="I53" s="32" t="s">
        <v>1032</v>
      </c>
      <c r="J53" s="32" t="s">
        <v>1032</v>
      </c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 ht="14.25" customHeight="1">
      <c r="A54" s="64" t="s">
        <v>1452</v>
      </c>
      <c r="B54" s="64" t="s">
        <v>1453</v>
      </c>
      <c r="C54" s="63">
        <v>30.0</v>
      </c>
      <c r="D54" s="58" t="s">
        <v>1451</v>
      </c>
      <c r="E54" s="32" t="s">
        <v>1032</v>
      </c>
      <c r="F54" s="32" t="s">
        <v>1032</v>
      </c>
      <c r="G54" s="32" t="s">
        <v>1032</v>
      </c>
      <c r="H54" s="32" t="s">
        <v>1032</v>
      </c>
      <c r="I54" s="32" t="s">
        <v>1032</v>
      </c>
      <c r="J54" s="32" t="s">
        <v>1032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ht="14.25" customHeight="1">
      <c r="A55" s="64" t="s">
        <v>1454</v>
      </c>
      <c r="B55" s="64" t="s">
        <v>1455</v>
      </c>
      <c r="C55" s="63">
        <v>30.0</v>
      </c>
      <c r="D55" s="58" t="s">
        <v>1451</v>
      </c>
      <c r="E55" s="32" t="s">
        <v>1032</v>
      </c>
      <c r="F55" s="32" t="s">
        <v>1032</v>
      </c>
      <c r="G55" s="32" t="s">
        <v>1032</v>
      </c>
      <c r="H55" s="32" t="s">
        <v>1032</v>
      </c>
      <c r="I55" s="32" t="s">
        <v>1032</v>
      </c>
      <c r="J55" s="32" t="s">
        <v>1032</v>
      </c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 ht="14.25" customHeight="1">
      <c r="A56" s="64" t="s">
        <v>1456</v>
      </c>
      <c r="B56" s="64" t="s">
        <v>1457</v>
      </c>
      <c r="C56" s="63">
        <v>30.0</v>
      </c>
      <c r="D56" s="58" t="s">
        <v>1451</v>
      </c>
      <c r="E56" s="32" t="s">
        <v>1032</v>
      </c>
      <c r="F56" s="32" t="s">
        <v>1032</v>
      </c>
      <c r="G56" s="32" t="s">
        <v>1032</v>
      </c>
      <c r="H56" s="32" t="s">
        <v>1032</v>
      </c>
      <c r="I56" s="32" t="s">
        <v>1032</v>
      </c>
      <c r="J56" s="32" t="s">
        <v>1032</v>
      </c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 ht="14.25" customHeight="1">
      <c r="A57" s="64" t="s">
        <v>1458</v>
      </c>
      <c r="B57" s="64" t="s">
        <v>1459</v>
      </c>
      <c r="C57" s="63">
        <v>30.0</v>
      </c>
      <c r="D57" s="58" t="s">
        <v>1451</v>
      </c>
      <c r="E57" s="32" t="s">
        <v>1032</v>
      </c>
      <c r="F57" s="32" t="s">
        <v>1032</v>
      </c>
      <c r="G57" s="32" t="s">
        <v>1032</v>
      </c>
      <c r="H57" s="32" t="s">
        <v>1032</v>
      </c>
      <c r="I57" s="32" t="s">
        <v>1032</v>
      </c>
      <c r="J57" s="32" t="s">
        <v>1032</v>
      </c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 ht="14.25" customHeight="1">
      <c r="A58" s="64" t="s">
        <v>1460</v>
      </c>
      <c r="B58" s="64" t="s">
        <v>1461</v>
      </c>
      <c r="C58" s="63">
        <v>30.0</v>
      </c>
      <c r="D58" s="58" t="s">
        <v>1451</v>
      </c>
      <c r="E58" s="32" t="s">
        <v>1032</v>
      </c>
      <c r="F58" s="32" t="s">
        <v>1032</v>
      </c>
      <c r="G58" s="32" t="s">
        <v>1032</v>
      </c>
      <c r="H58" s="32" t="s">
        <v>1032</v>
      </c>
      <c r="I58" s="32" t="s">
        <v>1032</v>
      </c>
      <c r="J58" s="32" t="s">
        <v>1032</v>
      </c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 ht="14.25" customHeight="1">
      <c r="A59" s="64" t="s">
        <v>1462</v>
      </c>
      <c r="B59" s="64" t="s">
        <v>1463</v>
      </c>
      <c r="C59" s="63">
        <v>30.0</v>
      </c>
      <c r="D59" s="58" t="s">
        <v>1451</v>
      </c>
      <c r="E59" s="32" t="s">
        <v>1032</v>
      </c>
      <c r="F59" s="32" t="s">
        <v>1032</v>
      </c>
      <c r="G59" s="32" t="s">
        <v>1032</v>
      </c>
      <c r="H59" s="32" t="s">
        <v>1032</v>
      </c>
      <c r="I59" s="32" t="s">
        <v>1032</v>
      </c>
      <c r="J59" s="32" t="s">
        <v>1032</v>
      </c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 ht="14.25" customHeight="1">
      <c r="A60" s="64" t="s">
        <v>1464</v>
      </c>
      <c r="B60" s="64" t="s">
        <v>1465</v>
      </c>
      <c r="C60" s="63">
        <v>10.0</v>
      </c>
      <c r="D60" s="58" t="s">
        <v>1451</v>
      </c>
      <c r="E60" s="32" t="s">
        <v>1032</v>
      </c>
      <c r="F60" s="32" t="s">
        <v>1032</v>
      </c>
      <c r="G60" s="32" t="s">
        <v>1032</v>
      </c>
      <c r="H60" s="32" t="s">
        <v>1032</v>
      </c>
      <c r="I60" s="32" t="s">
        <v>1032</v>
      </c>
      <c r="J60" s="32" t="s">
        <v>1032</v>
      </c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 ht="14.25" customHeight="1">
      <c r="A61" s="64"/>
      <c r="C61" s="63"/>
      <c r="D61" s="64"/>
      <c r="E61" s="32"/>
      <c r="F61" s="32"/>
      <c r="G61" s="32"/>
      <c r="H61" s="32"/>
      <c r="I61" s="32"/>
      <c r="J61" s="3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 ht="14.25" customHeight="1">
      <c r="A62" s="64"/>
      <c r="B62" s="64"/>
      <c r="C62" s="63"/>
      <c r="D62" s="64"/>
      <c r="E62" s="32"/>
      <c r="F62" s="32"/>
      <c r="G62" s="32"/>
      <c r="H62" s="32"/>
      <c r="I62" s="32"/>
      <c r="J62" s="3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 ht="14.25" customHeight="1">
      <c r="A63" s="64"/>
      <c r="B63" s="64"/>
      <c r="C63" s="63"/>
      <c r="D63" s="64"/>
      <c r="E63" s="32"/>
      <c r="F63" s="32"/>
      <c r="G63" s="32"/>
      <c r="H63" s="32"/>
      <c r="I63" s="32"/>
      <c r="J63" s="3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 ht="14.25" customHeight="1">
      <c r="A64" s="64"/>
      <c r="B64" s="64"/>
      <c r="C64" s="63"/>
      <c r="D64" s="64"/>
      <c r="E64" s="32"/>
      <c r="F64" s="32"/>
      <c r="G64" s="32"/>
      <c r="H64" s="32"/>
      <c r="I64" s="32"/>
      <c r="J64" s="3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 ht="14.25" customHeight="1">
      <c r="A65" s="64"/>
      <c r="B65" s="64"/>
      <c r="C65" s="63"/>
      <c r="D65" s="64"/>
      <c r="E65" s="32"/>
      <c r="F65" s="32"/>
      <c r="G65" s="32"/>
      <c r="H65" s="32"/>
      <c r="I65" s="32"/>
      <c r="J65" s="3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 ht="14.25" customHeight="1">
      <c r="A66" s="64"/>
      <c r="B66" s="64"/>
      <c r="C66" s="63"/>
      <c r="D66" s="64"/>
      <c r="E66" s="32"/>
      <c r="F66" s="32"/>
      <c r="G66" s="32"/>
      <c r="H66" s="32"/>
      <c r="I66" s="32"/>
      <c r="J66" s="3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 ht="14.25" customHeight="1">
      <c r="A67" s="64"/>
      <c r="B67" s="64"/>
      <c r="C67" s="63"/>
      <c r="D67" s="64"/>
      <c r="E67" s="32"/>
      <c r="F67" s="32"/>
      <c r="G67" s="32"/>
      <c r="H67" s="32"/>
      <c r="I67" s="32"/>
      <c r="J67" s="3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 ht="14.25" customHeight="1">
      <c r="A68" s="64"/>
      <c r="B68" s="64"/>
      <c r="C68" s="63"/>
      <c r="D68" s="64"/>
      <c r="E68" s="32"/>
      <c r="F68" s="32"/>
      <c r="G68" s="32"/>
      <c r="H68" s="32"/>
      <c r="I68" s="32"/>
      <c r="J68" s="3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 ht="14.25" customHeight="1">
      <c r="A69" s="64"/>
      <c r="B69" s="64"/>
      <c r="C69" s="63"/>
      <c r="D69" s="64"/>
      <c r="E69" s="32"/>
      <c r="F69" s="32"/>
      <c r="G69" s="32"/>
      <c r="H69" s="32"/>
      <c r="I69" s="32"/>
      <c r="J69" s="3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 ht="14.25" customHeight="1">
      <c r="A70" s="64"/>
      <c r="B70" s="64"/>
      <c r="C70" s="63"/>
      <c r="D70" s="64"/>
      <c r="E70" s="32"/>
      <c r="F70" s="32"/>
      <c r="G70" s="32"/>
      <c r="H70" s="32"/>
      <c r="I70" s="32"/>
      <c r="J70" s="3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 ht="14.25" customHeight="1">
      <c r="A71" s="64"/>
      <c r="B71" s="64"/>
      <c r="C71" s="63"/>
      <c r="D71" s="64"/>
      <c r="E71" s="32"/>
      <c r="F71" s="32"/>
      <c r="G71" s="32"/>
      <c r="H71" s="32"/>
      <c r="I71" s="32"/>
      <c r="J71" s="3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 ht="14.25" customHeight="1">
      <c r="A72" s="64"/>
      <c r="B72" s="64"/>
      <c r="C72" s="63"/>
      <c r="D72" s="64"/>
      <c r="E72" s="32"/>
      <c r="F72" s="32"/>
      <c r="G72" s="32"/>
      <c r="H72" s="32"/>
      <c r="I72" s="32"/>
      <c r="J72" s="3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 ht="14.25" customHeight="1">
      <c r="A73" s="64"/>
      <c r="B73" s="64"/>
      <c r="C73" s="63"/>
      <c r="D73" s="64"/>
      <c r="E73" s="32"/>
      <c r="F73" s="32"/>
      <c r="G73" s="32"/>
      <c r="H73" s="32"/>
      <c r="I73" s="32"/>
      <c r="J73" s="3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 ht="14.25" customHeight="1">
      <c r="A74" s="64"/>
      <c r="B74" s="64"/>
      <c r="C74" s="63"/>
      <c r="D74" s="64"/>
      <c r="E74" s="32"/>
      <c r="F74" s="32"/>
      <c r="G74" s="32"/>
      <c r="H74" s="32"/>
      <c r="I74" s="32"/>
      <c r="J74" s="3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 ht="14.25" customHeight="1">
      <c r="A75" s="64"/>
      <c r="B75" s="64"/>
      <c r="C75" s="63"/>
      <c r="D75" s="64"/>
      <c r="E75" s="32"/>
      <c r="F75" s="32"/>
      <c r="G75" s="32"/>
      <c r="H75" s="32"/>
      <c r="I75" s="32"/>
      <c r="J75" s="3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 ht="14.25" customHeight="1">
      <c r="A76" s="64"/>
      <c r="B76" s="64"/>
      <c r="C76" s="63"/>
      <c r="D76" s="64"/>
      <c r="E76" s="32"/>
      <c r="F76" s="32"/>
      <c r="G76" s="32"/>
      <c r="H76" s="32"/>
      <c r="I76" s="32"/>
      <c r="J76" s="3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 ht="14.25" customHeight="1">
      <c r="A77" s="64"/>
      <c r="B77" s="64"/>
      <c r="C77" s="63"/>
      <c r="D77" s="64"/>
      <c r="E77" s="32"/>
      <c r="F77" s="32"/>
      <c r="G77" s="32"/>
      <c r="H77" s="32"/>
      <c r="I77" s="32"/>
      <c r="J77" s="3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 ht="14.25" customHeight="1">
      <c r="A78" s="64"/>
      <c r="B78" s="64"/>
      <c r="C78" s="63"/>
      <c r="D78" s="64"/>
      <c r="E78" s="32"/>
      <c r="F78" s="32"/>
      <c r="G78" s="32"/>
      <c r="H78" s="32"/>
      <c r="I78" s="32"/>
      <c r="J78" s="3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 ht="14.25" customHeight="1">
      <c r="A79" s="64"/>
      <c r="B79" s="64"/>
      <c r="C79" s="63"/>
      <c r="D79" s="64"/>
      <c r="E79" s="32"/>
      <c r="F79" s="32"/>
      <c r="G79" s="32"/>
      <c r="H79" s="32"/>
      <c r="I79" s="32"/>
      <c r="J79" s="3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 ht="14.25" customHeight="1">
      <c r="A80" s="64"/>
      <c r="B80" s="64"/>
      <c r="C80" s="63"/>
      <c r="D80" s="64"/>
      <c r="E80" s="32"/>
      <c r="F80" s="32"/>
      <c r="G80" s="32"/>
      <c r="H80" s="32"/>
      <c r="I80" s="32"/>
      <c r="J80" s="3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 ht="14.25" customHeight="1">
      <c r="A81" s="64"/>
      <c r="B81" s="64"/>
      <c r="C81" s="63"/>
      <c r="D81" s="64"/>
      <c r="E81" s="32"/>
      <c r="F81" s="32"/>
      <c r="G81" s="32"/>
      <c r="H81" s="32"/>
      <c r="I81" s="32"/>
      <c r="J81" s="3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 ht="14.25" customHeight="1">
      <c r="A82" s="64"/>
      <c r="B82" s="64"/>
      <c r="C82" s="63"/>
      <c r="D82" s="64"/>
      <c r="E82" s="32"/>
      <c r="F82" s="32"/>
      <c r="G82" s="32"/>
      <c r="H82" s="32"/>
      <c r="I82" s="32"/>
      <c r="J82" s="3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 ht="14.25" customHeight="1">
      <c r="A83" s="64"/>
      <c r="B83" s="64"/>
      <c r="C83" s="63"/>
      <c r="D83" s="64"/>
      <c r="E83" s="32"/>
      <c r="F83" s="32"/>
      <c r="G83" s="32"/>
      <c r="H83" s="32"/>
      <c r="I83" s="32"/>
      <c r="J83" s="3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 ht="14.25" customHeight="1">
      <c r="A84" s="64"/>
      <c r="B84" s="64"/>
      <c r="C84" s="63"/>
      <c r="D84" s="64"/>
      <c r="E84" s="32"/>
      <c r="F84" s="32"/>
      <c r="G84" s="32"/>
      <c r="H84" s="32"/>
      <c r="I84" s="32"/>
      <c r="J84" s="3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 ht="14.25" customHeight="1">
      <c r="A85" s="64"/>
      <c r="B85" s="64"/>
      <c r="C85" s="63"/>
      <c r="D85" s="64"/>
      <c r="E85" s="32"/>
      <c r="F85" s="32"/>
      <c r="G85" s="32"/>
      <c r="H85" s="32"/>
      <c r="I85" s="32"/>
      <c r="J85" s="3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 ht="14.25" customHeight="1">
      <c r="A86" s="64"/>
      <c r="B86" s="64"/>
      <c r="C86" s="63"/>
      <c r="D86" s="64"/>
      <c r="E86" s="32"/>
      <c r="F86" s="32"/>
      <c r="G86" s="32"/>
      <c r="H86" s="32"/>
      <c r="I86" s="32"/>
      <c r="J86" s="3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 ht="14.25" customHeight="1">
      <c r="A87" s="64"/>
      <c r="B87" s="64"/>
      <c r="C87" s="63"/>
      <c r="D87" s="64"/>
      <c r="E87" s="32"/>
      <c r="F87" s="32"/>
      <c r="G87" s="32"/>
      <c r="H87" s="32"/>
      <c r="I87" s="32"/>
      <c r="J87" s="3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 ht="14.25" customHeight="1">
      <c r="A88" s="64"/>
      <c r="B88" s="64"/>
      <c r="C88" s="63"/>
      <c r="D88" s="64"/>
      <c r="E88" s="32"/>
      <c r="F88" s="32"/>
      <c r="G88" s="32"/>
      <c r="H88" s="32"/>
      <c r="I88" s="32"/>
      <c r="J88" s="3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 ht="14.25" customHeight="1">
      <c r="A89" s="64"/>
      <c r="B89" s="64"/>
      <c r="C89" s="63"/>
      <c r="D89" s="64"/>
      <c r="E89" s="32"/>
      <c r="F89" s="32"/>
      <c r="G89" s="32"/>
      <c r="H89" s="32"/>
      <c r="I89" s="32"/>
      <c r="J89" s="3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 ht="14.25" customHeight="1">
      <c r="A90" s="64"/>
      <c r="B90" s="64"/>
      <c r="C90" s="63"/>
      <c r="D90" s="64"/>
      <c r="E90" s="32"/>
      <c r="F90" s="32"/>
      <c r="G90" s="32"/>
      <c r="H90" s="32"/>
      <c r="I90" s="32"/>
      <c r="J90" s="3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 ht="14.25" customHeight="1">
      <c r="A91" s="64"/>
      <c r="B91" s="64"/>
      <c r="C91" s="63"/>
      <c r="D91" s="64"/>
      <c r="E91" s="32"/>
      <c r="F91" s="32"/>
      <c r="G91" s="32"/>
      <c r="H91" s="32"/>
      <c r="I91" s="32"/>
      <c r="J91" s="3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 ht="14.25" customHeight="1">
      <c r="A92" s="64"/>
      <c r="B92" s="64"/>
      <c r="C92" s="63"/>
      <c r="D92" s="64"/>
      <c r="E92" s="32"/>
      <c r="F92" s="32"/>
      <c r="G92" s="32"/>
      <c r="H92" s="32"/>
      <c r="I92" s="32"/>
      <c r="J92" s="3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 ht="14.25" customHeight="1">
      <c r="A93" s="64"/>
      <c r="B93" s="64"/>
      <c r="C93" s="63"/>
      <c r="D93" s="64"/>
      <c r="E93" s="32"/>
      <c r="F93" s="32"/>
      <c r="G93" s="32"/>
      <c r="H93" s="32"/>
      <c r="I93" s="32"/>
      <c r="J93" s="3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 ht="14.25" customHeight="1">
      <c r="A94" s="64"/>
      <c r="B94" s="64"/>
      <c r="C94" s="63"/>
      <c r="D94" s="64"/>
      <c r="E94" s="32"/>
      <c r="F94" s="32"/>
      <c r="G94" s="32"/>
      <c r="H94" s="32"/>
      <c r="I94" s="32"/>
      <c r="J94" s="3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 ht="14.25" customHeight="1">
      <c r="A95" s="64"/>
      <c r="B95" s="64"/>
      <c r="C95" s="63"/>
      <c r="D95" s="64"/>
      <c r="E95" s="32"/>
      <c r="F95" s="32"/>
      <c r="G95" s="32"/>
      <c r="H95" s="32"/>
      <c r="I95" s="32"/>
      <c r="J95" s="3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 ht="14.25" customHeight="1">
      <c r="A96" s="64"/>
      <c r="B96" s="64"/>
      <c r="C96" s="63"/>
      <c r="D96" s="64"/>
      <c r="E96" s="32"/>
      <c r="F96" s="32"/>
      <c r="G96" s="32"/>
      <c r="H96" s="32"/>
      <c r="I96" s="32"/>
      <c r="J96" s="3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 ht="14.25" customHeight="1">
      <c r="A97" s="64"/>
      <c r="B97" s="64"/>
      <c r="C97" s="63"/>
      <c r="D97" s="64"/>
      <c r="E97" s="32"/>
      <c r="F97" s="32"/>
      <c r="G97" s="32"/>
      <c r="H97" s="32"/>
      <c r="I97" s="32"/>
      <c r="J97" s="3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 ht="14.25" customHeight="1">
      <c r="A98" s="64"/>
      <c r="B98" s="64"/>
      <c r="C98" s="63"/>
      <c r="D98" s="64"/>
      <c r="E98" s="32"/>
      <c r="F98" s="32"/>
      <c r="G98" s="32"/>
      <c r="H98" s="32"/>
      <c r="I98" s="32"/>
      <c r="J98" s="3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 ht="14.25" customHeight="1">
      <c r="A99" s="64"/>
      <c r="B99" s="64"/>
      <c r="C99" s="63"/>
      <c r="D99" s="64"/>
      <c r="E99" s="32"/>
      <c r="F99" s="32"/>
      <c r="G99" s="32"/>
      <c r="H99" s="32"/>
      <c r="I99" s="32"/>
      <c r="J99" s="3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 ht="14.25" customHeight="1">
      <c r="A100" s="64"/>
      <c r="B100" s="64"/>
      <c r="C100" s="63"/>
      <c r="D100" s="64"/>
      <c r="E100" s="32"/>
      <c r="F100" s="32"/>
      <c r="G100" s="32"/>
      <c r="H100" s="32"/>
      <c r="I100" s="32"/>
      <c r="J100" s="3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 ht="14.25" customHeight="1">
      <c r="A101" s="64"/>
      <c r="B101" s="64"/>
      <c r="C101" s="63"/>
      <c r="D101" s="64"/>
      <c r="E101" s="32"/>
      <c r="F101" s="32"/>
      <c r="G101" s="32"/>
      <c r="H101" s="32"/>
      <c r="I101" s="32"/>
      <c r="J101" s="3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 ht="14.25" customHeight="1">
      <c r="A102" s="64"/>
      <c r="B102" s="64"/>
      <c r="C102" s="63"/>
      <c r="D102" s="64"/>
      <c r="E102" s="32"/>
      <c r="F102" s="32"/>
      <c r="G102" s="32"/>
      <c r="H102" s="32"/>
      <c r="I102" s="32"/>
      <c r="J102" s="3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 ht="14.25" customHeight="1">
      <c r="A103" s="64"/>
      <c r="B103" s="64"/>
      <c r="C103" s="63"/>
      <c r="D103" s="64"/>
      <c r="E103" s="32"/>
      <c r="F103" s="32"/>
      <c r="G103" s="32"/>
      <c r="H103" s="32"/>
      <c r="I103" s="32"/>
      <c r="J103" s="3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 ht="14.25" customHeight="1">
      <c r="A104" s="64"/>
      <c r="B104" s="64"/>
      <c r="C104" s="63"/>
      <c r="D104" s="64"/>
      <c r="E104" s="32"/>
      <c r="F104" s="32"/>
      <c r="G104" s="32"/>
      <c r="H104" s="32"/>
      <c r="I104" s="32"/>
      <c r="J104" s="3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 ht="14.25" customHeight="1">
      <c r="A105" s="64"/>
      <c r="B105" s="64"/>
      <c r="C105" s="63"/>
      <c r="D105" s="64"/>
      <c r="E105" s="32"/>
      <c r="F105" s="32"/>
      <c r="G105" s="32"/>
      <c r="H105" s="32"/>
      <c r="I105" s="32"/>
      <c r="J105" s="3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 ht="14.25" customHeight="1">
      <c r="A106" s="64"/>
      <c r="B106" s="64"/>
      <c r="C106" s="63"/>
      <c r="D106" s="64"/>
      <c r="E106" s="32"/>
      <c r="F106" s="32"/>
      <c r="G106" s="32"/>
      <c r="H106" s="32"/>
      <c r="I106" s="32"/>
      <c r="J106" s="3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 ht="14.25" customHeight="1">
      <c r="A107" s="64"/>
      <c r="B107" s="64"/>
      <c r="C107" s="63"/>
      <c r="D107" s="64"/>
      <c r="E107" s="32"/>
      <c r="F107" s="32"/>
      <c r="G107" s="32"/>
      <c r="H107" s="32"/>
      <c r="I107" s="32"/>
      <c r="J107" s="3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 ht="14.25" customHeight="1">
      <c r="A108" s="64"/>
      <c r="B108" s="64"/>
      <c r="C108" s="63"/>
      <c r="D108" s="64"/>
      <c r="E108" s="32"/>
      <c r="F108" s="32"/>
      <c r="G108" s="32"/>
      <c r="H108" s="32"/>
      <c r="I108" s="32"/>
      <c r="J108" s="3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 ht="14.25" customHeight="1">
      <c r="A109" s="64"/>
      <c r="B109" s="64"/>
      <c r="C109" s="63"/>
      <c r="D109" s="64"/>
      <c r="E109" s="32"/>
      <c r="F109" s="32"/>
      <c r="G109" s="32"/>
      <c r="H109" s="32"/>
      <c r="I109" s="32"/>
      <c r="J109" s="3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 ht="14.25" customHeight="1">
      <c r="A110" s="64"/>
      <c r="B110" s="64"/>
      <c r="C110" s="63"/>
      <c r="D110" s="64"/>
      <c r="E110" s="32"/>
      <c r="F110" s="32"/>
      <c r="G110" s="32"/>
      <c r="H110" s="32"/>
      <c r="I110" s="32"/>
      <c r="J110" s="3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 ht="14.25" customHeight="1">
      <c r="A111" s="64"/>
      <c r="B111" s="64"/>
      <c r="C111" s="63"/>
      <c r="D111" s="64"/>
      <c r="E111" s="32"/>
      <c r="F111" s="32"/>
      <c r="G111" s="32"/>
      <c r="H111" s="32"/>
      <c r="I111" s="32"/>
      <c r="J111" s="3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 ht="14.25" customHeight="1">
      <c r="A112" s="64"/>
      <c r="B112" s="64"/>
      <c r="C112" s="63"/>
      <c r="D112" s="64"/>
      <c r="E112" s="32"/>
      <c r="F112" s="32"/>
      <c r="G112" s="32"/>
      <c r="H112" s="32"/>
      <c r="I112" s="32"/>
      <c r="J112" s="3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 ht="14.25" customHeight="1">
      <c r="A113" s="64"/>
      <c r="B113" s="64"/>
      <c r="C113" s="63"/>
      <c r="D113" s="64"/>
      <c r="E113" s="32"/>
      <c r="F113" s="32"/>
      <c r="G113" s="32"/>
      <c r="H113" s="32"/>
      <c r="I113" s="32"/>
      <c r="J113" s="3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 ht="14.25" customHeight="1">
      <c r="A114" s="64"/>
      <c r="B114" s="64"/>
      <c r="C114" s="63"/>
      <c r="D114" s="64"/>
      <c r="E114" s="32"/>
      <c r="F114" s="32"/>
      <c r="G114" s="32"/>
      <c r="H114" s="32"/>
      <c r="I114" s="32"/>
      <c r="J114" s="3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 ht="14.25" customHeight="1">
      <c r="A115" s="64"/>
      <c r="B115" s="64"/>
      <c r="C115" s="63"/>
      <c r="D115" s="64"/>
      <c r="E115" s="32"/>
      <c r="F115" s="32"/>
      <c r="G115" s="32"/>
      <c r="H115" s="32"/>
      <c r="I115" s="32"/>
      <c r="J115" s="3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 ht="14.25" customHeight="1">
      <c r="A116" s="64"/>
      <c r="B116" s="64"/>
      <c r="C116" s="63"/>
      <c r="D116" s="64"/>
      <c r="E116" s="32"/>
      <c r="F116" s="32"/>
      <c r="G116" s="32"/>
      <c r="H116" s="32"/>
      <c r="I116" s="32"/>
      <c r="J116" s="3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 ht="14.25" customHeight="1">
      <c r="A117" s="64"/>
      <c r="B117" s="64"/>
      <c r="C117" s="63"/>
      <c r="D117" s="64"/>
      <c r="E117" s="32"/>
      <c r="F117" s="32"/>
      <c r="G117" s="32"/>
      <c r="H117" s="32"/>
      <c r="I117" s="32"/>
      <c r="J117" s="3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 ht="14.25" customHeight="1">
      <c r="A118" s="64"/>
      <c r="B118" s="64"/>
      <c r="C118" s="63"/>
      <c r="D118" s="64"/>
      <c r="E118" s="32"/>
      <c r="F118" s="32"/>
      <c r="G118" s="32"/>
      <c r="H118" s="32"/>
      <c r="I118" s="32"/>
      <c r="J118" s="3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 ht="14.25" customHeight="1">
      <c r="A119" s="64"/>
      <c r="B119" s="64"/>
      <c r="C119" s="63"/>
      <c r="D119" s="64"/>
      <c r="E119" s="32"/>
      <c r="F119" s="32"/>
      <c r="G119" s="32"/>
      <c r="H119" s="32"/>
      <c r="I119" s="32"/>
      <c r="J119" s="3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 ht="14.25" customHeight="1">
      <c r="A120" s="64"/>
      <c r="B120" s="64"/>
      <c r="C120" s="63"/>
      <c r="D120" s="64"/>
      <c r="E120" s="32"/>
      <c r="F120" s="32"/>
      <c r="G120" s="32"/>
      <c r="H120" s="32"/>
      <c r="I120" s="32"/>
      <c r="J120" s="3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 ht="14.25" customHeight="1">
      <c r="A121" s="64"/>
      <c r="B121" s="64"/>
      <c r="C121" s="63"/>
      <c r="D121" s="64"/>
      <c r="E121" s="32"/>
      <c r="F121" s="32"/>
      <c r="G121" s="32"/>
      <c r="H121" s="32"/>
      <c r="I121" s="32"/>
      <c r="J121" s="3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 ht="14.25" customHeight="1">
      <c r="A122" s="64"/>
      <c r="B122" s="64"/>
      <c r="C122" s="63"/>
      <c r="D122" s="64"/>
      <c r="E122" s="32"/>
      <c r="F122" s="32"/>
      <c r="G122" s="32"/>
      <c r="H122" s="32"/>
      <c r="I122" s="32"/>
      <c r="J122" s="3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 ht="14.25" customHeight="1">
      <c r="A123" s="64"/>
      <c r="B123" s="64"/>
      <c r="C123" s="63"/>
      <c r="D123" s="64"/>
      <c r="E123" s="32"/>
      <c r="F123" s="32"/>
      <c r="G123" s="32"/>
      <c r="H123" s="32"/>
      <c r="I123" s="32"/>
      <c r="J123" s="3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 ht="14.25" customHeight="1">
      <c r="A124" s="64"/>
      <c r="B124" s="64"/>
      <c r="C124" s="63"/>
      <c r="D124" s="64"/>
      <c r="E124" s="32"/>
      <c r="F124" s="32"/>
      <c r="G124" s="32"/>
      <c r="H124" s="32"/>
      <c r="I124" s="32"/>
      <c r="J124" s="3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 ht="14.25" customHeight="1">
      <c r="A125" s="64"/>
      <c r="B125" s="64"/>
      <c r="C125" s="63"/>
      <c r="D125" s="64"/>
      <c r="E125" s="32"/>
      <c r="F125" s="32"/>
      <c r="G125" s="32"/>
      <c r="H125" s="32"/>
      <c r="I125" s="32"/>
      <c r="J125" s="3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 ht="14.25" customHeight="1">
      <c r="A126" s="64"/>
      <c r="B126" s="64"/>
      <c r="C126" s="63"/>
      <c r="D126" s="64"/>
      <c r="E126" s="32"/>
      <c r="F126" s="32"/>
      <c r="G126" s="32"/>
      <c r="H126" s="32"/>
      <c r="I126" s="32"/>
      <c r="J126" s="3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 ht="14.25" customHeight="1">
      <c r="A127" s="64"/>
      <c r="B127" s="64"/>
      <c r="C127" s="63"/>
      <c r="D127" s="64"/>
      <c r="E127" s="32"/>
      <c r="F127" s="32"/>
      <c r="G127" s="32"/>
      <c r="H127" s="32"/>
      <c r="I127" s="32"/>
      <c r="J127" s="3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 ht="14.25" customHeight="1">
      <c r="A128" s="64"/>
      <c r="B128" s="64"/>
      <c r="C128" s="63"/>
      <c r="D128" s="64"/>
      <c r="E128" s="32"/>
      <c r="F128" s="32"/>
      <c r="G128" s="32"/>
      <c r="H128" s="32"/>
      <c r="I128" s="32"/>
      <c r="J128" s="3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 ht="14.25" customHeight="1">
      <c r="A129" s="64"/>
      <c r="B129" s="64"/>
      <c r="C129" s="63"/>
      <c r="D129" s="64"/>
      <c r="E129" s="32"/>
      <c r="F129" s="32"/>
      <c r="G129" s="32"/>
      <c r="H129" s="32"/>
      <c r="I129" s="32"/>
      <c r="J129" s="3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 ht="14.25" customHeight="1">
      <c r="A130" s="64"/>
      <c r="B130" s="64"/>
      <c r="C130" s="63"/>
      <c r="D130" s="64"/>
      <c r="E130" s="32"/>
      <c r="F130" s="32"/>
      <c r="G130" s="32"/>
      <c r="H130" s="32"/>
      <c r="I130" s="32"/>
      <c r="J130" s="3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 ht="14.25" customHeight="1">
      <c r="A131" s="64"/>
      <c r="B131" s="64"/>
      <c r="C131" s="63"/>
      <c r="D131" s="64"/>
      <c r="E131" s="32"/>
      <c r="F131" s="32"/>
      <c r="G131" s="32"/>
      <c r="H131" s="32"/>
      <c r="I131" s="32"/>
      <c r="J131" s="3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 ht="14.25" customHeight="1">
      <c r="A132" s="64"/>
      <c r="B132" s="64"/>
      <c r="C132" s="63"/>
      <c r="D132" s="64"/>
      <c r="E132" s="32"/>
      <c r="F132" s="32"/>
      <c r="G132" s="32"/>
      <c r="H132" s="32"/>
      <c r="I132" s="32"/>
      <c r="J132" s="3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 ht="14.25" customHeight="1">
      <c r="A133" s="64"/>
      <c r="B133" s="64"/>
      <c r="C133" s="63"/>
      <c r="D133" s="64"/>
      <c r="E133" s="32"/>
      <c r="F133" s="32"/>
      <c r="G133" s="32"/>
      <c r="H133" s="32"/>
      <c r="I133" s="32"/>
      <c r="J133" s="3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 ht="14.25" customHeight="1">
      <c r="A134" s="64"/>
      <c r="B134" s="64"/>
      <c r="C134" s="63"/>
      <c r="D134" s="64"/>
      <c r="E134" s="32"/>
      <c r="F134" s="32"/>
      <c r="G134" s="32"/>
      <c r="H134" s="32"/>
      <c r="I134" s="32"/>
      <c r="J134" s="3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 ht="14.25" customHeight="1">
      <c r="A135" s="64"/>
      <c r="B135" s="64"/>
      <c r="C135" s="63"/>
      <c r="D135" s="64"/>
      <c r="E135" s="32"/>
      <c r="F135" s="32"/>
      <c r="G135" s="32"/>
      <c r="H135" s="32"/>
      <c r="I135" s="32"/>
      <c r="J135" s="3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 ht="14.25" customHeight="1">
      <c r="A136" s="64"/>
      <c r="B136" s="64"/>
      <c r="C136" s="63"/>
      <c r="D136" s="64"/>
      <c r="E136" s="32"/>
      <c r="F136" s="32"/>
      <c r="G136" s="32"/>
      <c r="H136" s="32"/>
      <c r="I136" s="32"/>
      <c r="J136" s="3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 ht="14.25" customHeight="1">
      <c r="A137" s="64"/>
      <c r="B137" s="64"/>
      <c r="C137" s="63"/>
      <c r="D137" s="64"/>
      <c r="E137" s="32"/>
      <c r="F137" s="32"/>
      <c r="G137" s="32"/>
      <c r="H137" s="32"/>
      <c r="I137" s="32"/>
      <c r="J137" s="3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 ht="14.25" customHeight="1">
      <c r="A138" s="64"/>
      <c r="B138" s="64"/>
      <c r="C138" s="63"/>
      <c r="D138" s="64"/>
      <c r="E138" s="32"/>
      <c r="F138" s="32"/>
      <c r="G138" s="32"/>
      <c r="H138" s="32"/>
      <c r="I138" s="32"/>
      <c r="J138" s="3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 ht="14.25" customHeight="1">
      <c r="A139" s="64"/>
      <c r="B139" s="64"/>
      <c r="C139" s="63"/>
      <c r="D139" s="64"/>
      <c r="E139" s="32"/>
      <c r="F139" s="32"/>
      <c r="G139" s="32"/>
      <c r="H139" s="32"/>
      <c r="I139" s="32"/>
      <c r="J139" s="3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 ht="14.25" customHeight="1">
      <c r="A140" s="64"/>
      <c r="B140" s="64"/>
      <c r="C140" s="63"/>
      <c r="D140" s="64"/>
      <c r="E140" s="32"/>
      <c r="F140" s="32"/>
      <c r="G140" s="32"/>
      <c r="H140" s="32"/>
      <c r="I140" s="32"/>
      <c r="J140" s="3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 ht="14.25" customHeight="1">
      <c r="A141" s="64"/>
      <c r="B141" s="64"/>
      <c r="C141" s="63"/>
      <c r="D141" s="64"/>
      <c r="E141" s="32"/>
      <c r="F141" s="32"/>
      <c r="G141" s="32"/>
      <c r="H141" s="32"/>
      <c r="I141" s="32"/>
      <c r="J141" s="3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 ht="14.25" customHeight="1">
      <c r="A142" s="64"/>
      <c r="B142" s="64"/>
      <c r="C142" s="63"/>
      <c r="D142" s="64"/>
      <c r="E142" s="32"/>
      <c r="F142" s="32"/>
      <c r="G142" s="32"/>
      <c r="H142" s="32"/>
      <c r="I142" s="32"/>
      <c r="J142" s="3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 ht="14.25" customHeight="1">
      <c r="A143" s="64"/>
      <c r="B143" s="64"/>
      <c r="C143" s="63"/>
      <c r="D143" s="64"/>
      <c r="E143" s="32"/>
      <c r="F143" s="32"/>
      <c r="G143" s="32"/>
      <c r="H143" s="32"/>
      <c r="I143" s="32"/>
      <c r="J143" s="3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 ht="14.25" customHeight="1">
      <c r="A144" s="64"/>
      <c r="B144" s="64"/>
      <c r="C144" s="63"/>
      <c r="D144" s="64"/>
      <c r="E144" s="32"/>
      <c r="F144" s="32"/>
      <c r="G144" s="32"/>
      <c r="H144" s="32"/>
      <c r="I144" s="32"/>
      <c r="J144" s="3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 ht="14.25" customHeight="1">
      <c r="A145" s="64"/>
      <c r="B145" s="64"/>
      <c r="C145" s="63"/>
      <c r="D145" s="64"/>
      <c r="E145" s="32"/>
      <c r="F145" s="32"/>
      <c r="G145" s="32"/>
      <c r="H145" s="32"/>
      <c r="I145" s="32"/>
      <c r="J145" s="3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 ht="14.25" customHeight="1">
      <c r="A146" s="64"/>
      <c r="B146" s="64"/>
      <c r="C146" s="63"/>
      <c r="D146" s="64"/>
      <c r="E146" s="32"/>
      <c r="F146" s="32"/>
      <c r="G146" s="32"/>
      <c r="H146" s="32"/>
      <c r="I146" s="32"/>
      <c r="J146" s="3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 ht="14.25" customHeight="1">
      <c r="A147" s="64"/>
      <c r="B147" s="64"/>
      <c r="C147" s="63"/>
      <c r="D147" s="64"/>
      <c r="E147" s="32"/>
      <c r="F147" s="32"/>
      <c r="G147" s="32"/>
      <c r="H147" s="32"/>
      <c r="I147" s="32"/>
      <c r="J147" s="3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 ht="14.25" customHeight="1">
      <c r="A148" s="64"/>
      <c r="B148" s="64"/>
      <c r="C148" s="63"/>
      <c r="D148" s="64"/>
      <c r="E148" s="32"/>
      <c r="F148" s="32"/>
      <c r="G148" s="32"/>
      <c r="H148" s="32"/>
      <c r="I148" s="32"/>
      <c r="J148" s="3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 ht="14.25" customHeight="1">
      <c r="A149" s="64"/>
      <c r="B149" s="64"/>
      <c r="C149" s="63"/>
      <c r="D149" s="64"/>
      <c r="E149" s="32"/>
      <c r="F149" s="32"/>
      <c r="G149" s="32"/>
      <c r="H149" s="32"/>
      <c r="I149" s="32"/>
      <c r="J149" s="3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 ht="14.25" customHeight="1">
      <c r="A150" s="64"/>
      <c r="B150" s="64"/>
      <c r="C150" s="63"/>
      <c r="D150" s="64"/>
      <c r="E150" s="32"/>
      <c r="F150" s="32"/>
      <c r="G150" s="32"/>
      <c r="H150" s="32"/>
      <c r="I150" s="32"/>
      <c r="J150" s="3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 ht="14.25" customHeight="1">
      <c r="A151" s="64"/>
      <c r="B151" s="64"/>
      <c r="C151" s="63"/>
      <c r="D151" s="64"/>
      <c r="E151" s="32"/>
      <c r="F151" s="32"/>
      <c r="G151" s="32"/>
      <c r="H151" s="32"/>
      <c r="I151" s="32"/>
      <c r="J151" s="3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 ht="14.25" customHeight="1">
      <c r="A152" s="64"/>
      <c r="B152" s="64"/>
      <c r="C152" s="63"/>
      <c r="D152" s="64"/>
      <c r="E152" s="32"/>
      <c r="F152" s="32"/>
      <c r="G152" s="32"/>
      <c r="H152" s="32"/>
      <c r="I152" s="32"/>
      <c r="J152" s="3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 ht="14.25" customHeight="1">
      <c r="A153" s="64"/>
      <c r="B153" s="64"/>
      <c r="C153" s="63"/>
      <c r="D153" s="64"/>
      <c r="E153" s="32"/>
      <c r="F153" s="32"/>
      <c r="G153" s="32"/>
      <c r="H153" s="32"/>
      <c r="I153" s="32"/>
      <c r="J153" s="3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 ht="14.25" customHeight="1">
      <c r="A154" s="64"/>
      <c r="B154" s="64"/>
      <c r="C154" s="63"/>
      <c r="D154" s="64"/>
      <c r="E154" s="32"/>
      <c r="F154" s="32"/>
      <c r="G154" s="32"/>
      <c r="H154" s="32"/>
      <c r="I154" s="32"/>
      <c r="J154" s="3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 ht="14.25" customHeight="1">
      <c r="A155" s="64"/>
      <c r="B155" s="64"/>
      <c r="C155" s="63"/>
      <c r="D155" s="64"/>
      <c r="E155" s="32"/>
      <c r="F155" s="32"/>
      <c r="G155" s="32"/>
      <c r="H155" s="32"/>
      <c r="I155" s="32"/>
      <c r="J155" s="3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 ht="14.25" customHeight="1">
      <c r="A156" s="64"/>
      <c r="B156" s="64"/>
      <c r="C156" s="63"/>
      <c r="D156" s="64"/>
      <c r="E156" s="32"/>
      <c r="F156" s="32"/>
      <c r="G156" s="32"/>
      <c r="H156" s="32"/>
      <c r="I156" s="32"/>
      <c r="J156" s="3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 ht="14.25" customHeight="1">
      <c r="A157" s="64"/>
      <c r="B157" s="64"/>
      <c r="C157" s="63"/>
      <c r="D157" s="64"/>
      <c r="E157" s="32"/>
      <c r="F157" s="32"/>
      <c r="G157" s="32"/>
      <c r="H157" s="32"/>
      <c r="I157" s="32"/>
      <c r="J157" s="3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 ht="14.25" customHeight="1">
      <c r="A158" s="64"/>
      <c r="B158" s="64"/>
      <c r="C158" s="63"/>
      <c r="D158" s="64"/>
      <c r="E158" s="32"/>
      <c r="F158" s="32"/>
      <c r="G158" s="32"/>
      <c r="H158" s="32"/>
      <c r="I158" s="32"/>
      <c r="J158" s="3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 ht="14.25" customHeight="1">
      <c r="A159" s="64"/>
      <c r="B159" s="64"/>
      <c r="C159" s="63"/>
      <c r="D159" s="64"/>
      <c r="E159" s="32"/>
      <c r="F159" s="32"/>
      <c r="G159" s="32"/>
      <c r="H159" s="32"/>
      <c r="I159" s="32"/>
      <c r="J159" s="3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 ht="14.25" customHeight="1">
      <c r="A160" s="64"/>
      <c r="B160" s="64"/>
      <c r="C160" s="63"/>
      <c r="D160" s="64"/>
      <c r="E160" s="32"/>
      <c r="F160" s="32"/>
      <c r="G160" s="32"/>
      <c r="H160" s="32"/>
      <c r="I160" s="32"/>
      <c r="J160" s="3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 ht="14.25" customHeight="1">
      <c r="A161" s="64"/>
      <c r="B161" s="64"/>
      <c r="C161" s="63"/>
      <c r="D161" s="64"/>
      <c r="E161" s="32"/>
      <c r="F161" s="32"/>
      <c r="G161" s="32"/>
      <c r="H161" s="32"/>
      <c r="I161" s="32"/>
      <c r="J161" s="3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 ht="14.25" customHeight="1">
      <c r="A162" s="64"/>
      <c r="B162" s="64"/>
      <c r="C162" s="63"/>
      <c r="D162" s="64"/>
      <c r="E162" s="32"/>
      <c r="F162" s="32"/>
      <c r="G162" s="32"/>
      <c r="H162" s="32"/>
      <c r="I162" s="32"/>
      <c r="J162" s="3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 ht="14.25" customHeight="1">
      <c r="A163" s="64"/>
      <c r="B163" s="64"/>
      <c r="C163" s="63"/>
      <c r="D163" s="64"/>
      <c r="E163" s="32"/>
      <c r="F163" s="32"/>
      <c r="G163" s="32"/>
      <c r="H163" s="32"/>
      <c r="I163" s="32"/>
      <c r="J163" s="3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 ht="14.25" customHeight="1">
      <c r="A164" s="64"/>
      <c r="B164" s="64"/>
      <c r="C164" s="63"/>
      <c r="D164" s="64"/>
      <c r="E164" s="32"/>
      <c r="F164" s="32"/>
      <c r="G164" s="32"/>
      <c r="H164" s="32"/>
      <c r="I164" s="32"/>
      <c r="J164" s="3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 ht="14.25" customHeight="1">
      <c r="A165" s="64"/>
      <c r="B165" s="64"/>
      <c r="C165" s="63"/>
      <c r="D165" s="64"/>
      <c r="E165" s="32"/>
      <c r="F165" s="32"/>
      <c r="G165" s="32"/>
      <c r="H165" s="32"/>
      <c r="I165" s="32"/>
      <c r="J165" s="3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 ht="14.25" customHeight="1">
      <c r="A166" s="64"/>
      <c r="B166" s="64"/>
      <c r="C166" s="63"/>
      <c r="D166" s="64"/>
      <c r="E166" s="32"/>
      <c r="F166" s="32"/>
      <c r="G166" s="32"/>
      <c r="H166" s="32"/>
      <c r="I166" s="32"/>
      <c r="J166" s="3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 ht="14.25" customHeight="1">
      <c r="A167" s="64"/>
      <c r="B167" s="64"/>
      <c r="C167" s="63"/>
      <c r="D167" s="64"/>
      <c r="E167" s="32"/>
      <c r="F167" s="32"/>
      <c r="G167" s="32"/>
      <c r="H167" s="32"/>
      <c r="I167" s="32"/>
      <c r="J167" s="3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 ht="14.25" customHeight="1">
      <c r="A168" s="64"/>
      <c r="B168" s="64"/>
      <c r="C168" s="63"/>
      <c r="D168" s="64"/>
      <c r="E168" s="32"/>
      <c r="F168" s="32"/>
      <c r="G168" s="32"/>
      <c r="H168" s="32"/>
      <c r="I168" s="32"/>
      <c r="J168" s="3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 ht="14.25" customHeight="1">
      <c r="A169" s="64"/>
      <c r="B169" s="64"/>
      <c r="C169" s="63"/>
      <c r="D169" s="64"/>
      <c r="E169" s="32"/>
      <c r="F169" s="32"/>
      <c r="G169" s="32"/>
      <c r="H169" s="32"/>
      <c r="I169" s="32"/>
      <c r="J169" s="3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 ht="14.25" customHeight="1">
      <c r="A170" s="64"/>
      <c r="B170" s="64"/>
      <c r="C170" s="63"/>
      <c r="D170" s="64"/>
      <c r="E170" s="32"/>
      <c r="F170" s="32"/>
      <c r="G170" s="32"/>
      <c r="H170" s="32"/>
      <c r="I170" s="32"/>
      <c r="J170" s="3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 ht="14.25" customHeight="1">
      <c r="A171" s="64"/>
      <c r="B171" s="64"/>
      <c r="C171" s="63"/>
      <c r="D171" s="64"/>
      <c r="E171" s="32"/>
      <c r="F171" s="32"/>
      <c r="G171" s="32"/>
      <c r="H171" s="32"/>
      <c r="I171" s="32"/>
      <c r="J171" s="3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 ht="14.25" customHeight="1">
      <c r="A172" s="64"/>
      <c r="B172" s="64"/>
      <c r="C172" s="63"/>
      <c r="D172" s="64"/>
      <c r="E172" s="32"/>
      <c r="F172" s="32"/>
      <c r="G172" s="32"/>
      <c r="H172" s="32"/>
      <c r="I172" s="32"/>
      <c r="J172" s="3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 ht="14.25" customHeight="1">
      <c r="A173" s="64"/>
      <c r="B173" s="64"/>
      <c r="C173" s="63"/>
      <c r="D173" s="64"/>
      <c r="E173" s="32"/>
      <c r="F173" s="32"/>
      <c r="G173" s="32"/>
      <c r="H173" s="32"/>
      <c r="I173" s="32"/>
      <c r="J173" s="3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 ht="14.25" customHeight="1">
      <c r="A174" s="64"/>
      <c r="B174" s="64"/>
      <c r="C174" s="63"/>
      <c r="D174" s="64"/>
      <c r="E174" s="32"/>
      <c r="F174" s="32"/>
      <c r="G174" s="32"/>
      <c r="H174" s="32"/>
      <c r="I174" s="32"/>
      <c r="J174" s="3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 ht="14.25" customHeight="1">
      <c r="A175" s="64"/>
      <c r="B175" s="64"/>
      <c r="C175" s="63"/>
      <c r="D175" s="64"/>
      <c r="E175" s="32"/>
      <c r="F175" s="32"/>
      <c r="G175" s="32"/>
      <c r="H175" s="32"/>
      <c r="I175" s="32"/>
      <c r="J175" s="3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 ht="14.25" customHeight="1">
      <c r="A176" s="64"/>
      <c r="B176" s="64"/>
      <c r="C176" s="63"/>
      <c r="D176" s="64"/>
      <c r="E176" s="32"/>
      <c r="F176" s="32"/>
      <c r="G176" s="32"/>
      <c r="H176" s="32"/>
      <c r="I176" s="32"/>
      <c r="J176" s="3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 ht="14.25" customHeight="1">
      <c r="A177" s="64"/>
      <c r="B177" s="64"/>
      <c r="C177" s="63"/>
      <c r="D177" s="64"/>
      <c r="E177" s="32"/>
      <c r="F177" s="32"/>
      <c r="G177" s="32"/>
      <c r="H177" s="32"/>
      <c r="I177" s="32"/>
      <c r="J177" s="3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 ht="14.25" customHeight="1">
      <c r="A178" s="64"/>
      <c r="B178" s="64"/>
      <c r="C178" s="63"/>
      <c r="D178" s="64"/>
      <c r="E178" s="32"/>
      <c r="F178" s="32"/>
      <c r="G178" s="32"/>
      <c r="H178" s="32"/>
      <c r="I178" s="32"/>
      <c r="J178" s="3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 ht="14.25" customHeight="1">
      <c r="A179" s="64"/>
      <c r="B179" s="64"/>
      <c r="C179" s="63"/>
      <c r="D179" s="64"/>
      <c r="E179" s="32"/>
      <c r="F179" s="32"/>
      <c r="G179" s="32"/>
      <c r="H179" s="32"/>
      <c r="I179" s="32"/>
      <c r="J179" s="3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 ht="14.25" customHeight="1">
      <c r="A180" s="64"/>
      <c r="B180" s="64"/>
      <c r="C180" s="63"/>
      <c r="D180" s="64"/>
      <c r="E180" s="32"/>
      <c r="F180" s="32"/>
      <c r="G180" s="32"/>
      <c r="H180" s="32"/>
      <c r="I180" s="32"/>
      <c r="J180" s="3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 ht="14.25" customHeight="1">
      <c r="A181" s="64"/>
      <c r="B181" s="64"/>
      <c r="C181" s="63"/>
      <c r="D181" s="64"/>
      <c r="E181" s="32"/>
      <c r="F181" s="32"/>
      <c r="G181" s="32"/>
      <c r="H181" s="32"/>
      <c r="I181" s="32"/>
      <c r="J181" s="3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 ht="14.25" customHeight="1">
      <c r="A182" s="64"/>
      <c r="B182" s="64"/>
      <c r="C182" s="63"/>
      <c r="D182" s="64"/>
      <c r="E182" s="32"/>
      <c r="F182" s="32"/>
      <c r="G182" s="32"/>
      <c r="H182" s="32"/>
      <c r="I182" s="32"/>
      <c r="J182" s="3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 ht="14.25" customHeight="1">
      <c r="A183" s="64"/>
      <c r="B183" s="64"/>
      <c r="C183" s="63"/>
      <c r="D183" s="64"/>
      <c r="E183" s="32"/>
      <c r="F183" s="32"/>
      <c r="G183" s="32"/>
      <c r="H183" s="32"/>
      <c r="I183" s="32"/>
      <c r="J183" s="3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 ht="14.25" customHeight="1">
      <c r="A184" s="64"/>
      <c r="B184" s="64"/>
      <c r="C184" s="63"/>
      <c r="D184" s="64"/>
      <c r="E184" s="32"/>
      <c r="F184" s="32"/>
      <c r="G184" s="32"/>
      <c r="H184" s="32"/>
      <c r="I184" s="32"/>
      <c r="J184" s="3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 ht="14.25" customHeight="1">
      <c r="A185" s="64"/>
      <c r="B185" s="64"/>
      <c r="C185" s="63"/>
      <c r="D185" s="64"/>
      <c r="E185" s="32"/>
      <c r="F185" s="32"/>
      <c r="G185" s="32"/>
      <c r="H185" s="32"/>
      <c r="I185" s="32"/>
      <c r="J185" s="3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 ht="14.25" customHeight="1">
      <c r="A186" s="64"/>
      <c r="B186" s="64"/>
      <c r="C186" s="63"/>
      <c r="D186" s="64"/>
      <c r="E186" s="32"/>
      <c r="F186" s="32"/>
      <c r="G186" s="32"/>
      <c r="H186" s="32"/>
      <c r="I186" s="32"/>
      <c r="J186" s="3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 ht="14.25" customHeight="1">
      <c r="A187" s="64"/>
      <c r="B187" s="64"/>
      <c r="C187" s="63"/>
      <c r="D187" s="64"/>
      <c r="E187" s="32"/>
      <c r="F187" s="32"/>
      <c r="G187" s="32"/>
      <c r="H187" s="32"/>
      <c r="I187" s="32"/>
      <c r="J187" s="3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 ht="14.25" customHeight="1">
      <c r="A188" s="64"/>
      <c r="B188" s="64"/>
      <c r="C188" s="63"/>
      <c r="D188" s="64"/>
      <c r="E188" s="32"/>
      <c r="F188" s="32"/>
      <c r="G188" s="32"/>
      <c r="H188" s="32"/>
      <c r="I188" s="32"/>
      <c r="J188" s="3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 ht="14.25" customHeight="1">
      <c r="A189" s="64"/>
      <c r="B189" s="64"/>
      <c r="C189" s="63"/>
      <c r="D189" s="64"/>
      <c r="E189" s="32"/>
      <c r="F189" s="32"/>
      <c r="G189" s="32"/>
      <c r="H189" s="32"/>
      <c r="I189" s="32"/>
      <c r="J189" s="3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 ht="14.25" customHeight="1">
      <c r="A190" s="64"/>
      <c r="B190" s="64"/>
      <c r="C190" s="63"/>
      <c r="D190" s="64"/>
      <c r="E190" s="32"/>
      <c r="F190" s="32"/>
      <c r="G190" s="32"/>
      <c r="H190" s="32"/>
      <c r="I190" s="32"/>
      <c r="J190" s="3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 ht="14.25" customHeight="1">
      <c r="A191" s="64"/>
      <c r="B191" s="64"/>
      <c r="C191" s="63"/>
      <c r="D191" s="64"/>
      <c r="E191" s="32"/>
      <c r="F191" s="32"/>
      <c r="G191" s="32"/>
      <c r="H191" s="32"/>
      <c r="I191" s="32"/>
      <c r="J191" s="3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 ht="14.25" customHeight="1">
      <c r="A192" s="64"/>
      <c r="B192" s="64"/>
      <c r="C192" s="63"/>
      <c r="D192" s="64"/>
      <c r="E192" s="32"/>
      <c r="F192" s="32"/>
      <c r="G192" s="32"/>
      <c r="H192" s="32"/>
      <c r="I192" s="32"/>
      <c r="J192" s="3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 ht="14.25" customHeight="1">
      <c r="A193" s="64"/>
      <c r="B193" s="64"/>
      <c r="C193" s="63"/>
      <c r="D193" s="64"/>
      <c r="E193" s="32"/>
      <c r="F193" s="32"/>
      <c r="G193" s="32"/>
      <c r="H193" s="32"/>
      <c r="I193" s="32"/>
      <c r="J193" s="3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 ht="14.25" customHeight="1">
      <c r="A194" s="64"/>
      <c r="B194" s="64"/>
      <c r="C194" s="63"/>
      <c r="D194" s="64"/>
      <c r="E194" s="32"/>
      <c r="F194" s="32"/>
      <c r="G194" s="32"/>
      <c r="H194" s="32"/>
      <c r="I194" s="32"/>
      <c r="J194" s="3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 ht="14.25" customHeight="1">
      <c r="A195" s="64"/>
      <c r="B195" s="64"/>
      <c r="C195" s="63"/>
      <c r="D195" s="64"/>
      <c r="E195" s="32"/>
      <c r="F195" s="32"/>
      <c r="G195" s="32"/>
      <c r="H195" s="32"/>
      <c r="I195" s="32"/>
      <c r="J195" s="3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 ht="14.25" customHeight="1">
      <c r="A196" s="64"/>
      <c r="B196" s="64"/>
      <c r="C196" s="63"/>
      <c r="D196" s="64"/>
      <c r="E196" s="32"/>
      <c r="F196" s="32"/>
      <c r="G196" s="32"/>
      <c r="H196" s="32"/>
      <c r="I196" s="32"/>
      <c r="J196" s="3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 ht="14.25" customHeight="1">
      <c r="A197" s="64"/>
      <c r="B197" s="64"/>
      <c r="C197" s="63"/>
      <c r="D197" s="64"/>
      <c r="E197" s="32"/>
      <c r="F197" s="32"/>
      <c r="G197" s="32"/>
      <c r="H197" s="32"/>
      <c r="I197" s="32"/>
      <c r="J197" s="3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 ht="14.25" customHeight="1">
      <c r="A198" s="64"/>
      <c r="B198" s="64"/>
      <c r="C198" s="63"/>
      <c r="D198" s="64"/>
      <c r="E198" s="32"/>
      <c r="F198" s="32"/>
      <c r="G198" s="32"/>
      <c r="H198" s="32"/>
      <c r="I198" s="32"/>
      <c r="J198" s="3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 ht="14.25" customHeight="1">
      <c r="A199" s="64"/>
      <c r="B199" s="64"/>
      <c r="C199" s="63"/>
      <c r="D199" s="64"/>
      <c r="E199" s="32"/>
      <c r="F199" s="32"/>
      <c r="G199" s="32"/>
      <c r="H199" s="32"/>
      <c r="I199" s="32"/>
      <c r="J199" s="3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 ht="14.25" customHeight="1">
      <c r="A200" s="64"/>
      <c r="B200" s="64"/>
      <c r="C200" s="63"/>
      <c r="D200" s="64"/>
      <c r="E200" s="32"/>
      <c r="F200" s="32"/>
      <c r="G200" s="32"/>
      <c r="H200" s="32"/>
      <c r="I200" s="32"/>
      <c r="J200" s="3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 ht="14.25" customHeight="1">
      <c r="A201" s="64"/>
      <c r="B201" s="64"/>
      <c r="C201" s="63"/>
      <c r="D201" s="64"/>
      <c r="E201" s="32"/>
      <c r="F201" s="32"/>
      <c r="G201" s="32"/>
      <c r="H201" s="32"/>
      <c r="I201" s="32"/>
      <c r="J201" s="3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 ht="14.25" customHeight="1">
      <c r="A202" s="64"/>
      <c r="B202" s="64"/>
      <c r="C202" s="63"/>
      <c r="D202" s="64"/>
      <c r="E202" s="32"/>
      <c r="F202" s="32"/>
      <c r="G202" s="32"/>
      <c r="H202" s="32"/>
      <c r="I202" s="32"/>
      <c r="J202" s="3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 ht="14.25" customHeight="1">
      <c r="A203" s="64"/>
      <c r="B203" s="64"/>
      <c r="C203" s="63"/>
      <c r="D203" s="64"/>
      <c r="E203" s="32"/>
      <c r="F203" s="32"/>
      <c r="G203" s="32"/>
      <c r="H203" s="32"/>
      <c r="I203" s="32"/>
      <c r="J203" s="3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 ht="14.25" customHeight="1">
      <c r="A204" s="64"/>
      <c r="B204" s="64"/>
      <c r="C204" s="63"/>
      <c r="D204" s="64"/>
      <c r="E204" s="32"/>
      <c r="F204" s="32"/>
      <c r="G204" s="32"/>
      <c r="H204" s="32"/>
      <c r="I204" s="32"/>
      <c r="J204" s="3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 ht="14.25" customHeight="1">
      <c r="A205" s="64"/>
      <c r="B205" s="64"/>
      <c r="C205" s="63"/>
      <c r="D205" s="64"/>
      <c r="E205" s="32"/>
      <c r="F205" s="32"/>
      <c r="G205" s="32"/>
      <c r="H205" s="32"/>
      <c r="I205" s="32"/>
      <c r="J205" s="3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 ht="14.25" customHeight="1">
      <c r="A206" s="64"/>
      <c r="B206" s="64"/>
      <c r="C206" s="63"/>
      <c r="D206" s="64"/>
      <c r="E206" s="32"/>
      <c r="F206" s="32"/>
      <c r="G206" s="32"/>
      <c r="H206" s="32"/>
      <c r="I206" s="32"/>
      <c r="J206" s="3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 ht="14.25" customHeight="1">
      <c r="A207" s="64"/>
      <c r="B207" s="64"/>
      <c r="C207" s="63"/>
      <c r="D207" s="64"/>
      <c r="E207" s="32"/>
      <c r="F207" s="32"/>
      <c r="G207" s="32"/>
      <c r="H207" s="32"/>
      <c r="I207" s="32"/>
      <c r="J207" s="3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 ht="14.25" customHeight="1">
      <c r="A208" s="64"/>
      <c r="B208" s="64"/>
      <c r="C208" s="63"/>
      <c r="D208" s="64"/>
      <c r="E208" s="32"/>
      <c r="F208" s="32"/>
      <c r="G208" s="32"/>
      <c r="H208" s="32"/>
      <c r="I208" s="32"/>
      <c r="J208" s="3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 ht="14.25" customHeight="1">
      <c r="A209" s="64"/>
      <c r="B209" s="64"/>
      <c r="C209" s="63"/>
      <c r="D209" s="64"/>
      <c r="E209" s="32"/>
      <c r="F209" s="32"/>
      <c r="G209" s="32"/>
      <c r="H209" s="32"/>
      <c r="I209" s="32"/>
      <c r="J209" s="3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 ht="14.25" customHeight="1">
      <c r="A210" s="64"/>
      <c r="B210" s="64"/>
      <c r="C210" s="63"/>
      <c r="D210" s="64"/>
      <c r="E210" s="32"/>
      <c r="F210" s="32"/>
      <c r="G210" s="32"/>
      <c r="H210" s="32"/>
      <c r="I210" s="32"/>
      <c r="J210" s="3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 ht="14.25" customHeight="1">
      <c r="A211" s="64"/>
      <c r="B211" s="64"/>
      <c r="C211" s="63"/>
      <c r="D211" s="64"/>
      <c r="E211" s="32"/>
      <c r="F211" s="32"/>
      <c r="G211" s="32"/>
      <c r="H211" s="32"/>
      <c r="I211" s="32"/>
      <c r="J211" s="3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 ht="14.25" customHeight="1">
      <c r="A212" s="64"/>
      <c r="B212" s="64"/>
      <c r="C212" s="63"/>
      <c r="D212" s="64"/>
      <c r="E212" s="32"/>
      <c r="F212" s="32"/>
      <c r="G212" s="32"/>
      <c r="H212" s="32"/>
      <c r="I212" s="32"/>
      <c r="J212" s="3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 ht="14.25" customHeight="1">
      <c r="A213" s="64"/>
      <c r="B213" s="64"/>
      <c r="C213" s="63"/>
      <c r="D213" s="64"/>
      <c r="E213" s="32"/>
      <c r="F213" s="32"/>
      <c r="G213" s="32"/>
      <c r="H213" s="32"/>
      <c r="I213" s="32"/>
      <c r="J213" s="3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 ht="14.25" customHeight="1">
      <c r="A214" s="64"/>
      <c r="B214" s="64"/>
      <c r="C214" s="63"/>
      <c r="D214" s="64"/>
      <c r="E214" s="32"/>
      <c r="F214" s="32"/>
      <c r="G214" s="32"/>
      <c r="H214" s="32"/>
      <c r="I214" s="32"/>
      <c r="J214" s="3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 ht="14.25" customHeight="1">
      <c r="A215" s="64"/>
      <c r="B215" s="64"/>
      <c r="C215" s="63"/>
      <c r="D215" s="64"/>
      <c r="E215" s="32"/>
      <c r="F215" s="32"/>
      <c r="G215" s="32"/>
      <c r="H215" s="32"/>
      <c r="I215" s="32"/>
      <c r="J215" s="3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 ht="14.25" customHeight="1">
      <c r="A216" s="64"/>
      <c r="B216" s="64"/>
      <c r="C216" s="63"/>
      <c r="D216" s="64"/>
      <c r="E216" s="32"/>
      <c r="F216" s="32"/>
      <c r="G216" s="32"/>
      <c r="H216" s="32"/>
      <c r="I216" s="32"/>
      <c r="J216" s="3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 ht="14.25" customHeight="1">
      <c r="A217" s="64"/>
      <c r="B217" s="64"/>
      <c r="C217" s="63"/>
      <c r="D217" s="64"/>
      <c r="E217" s="32"/>
      <c r="F217" s="32"/>
      <c r="G217" s="32"/>
      <c r="H217" s="32"/>
      <c r="I217" s="32"/>
      <c r="J217" s="3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 ht="14.25" customHeight="1">
      <c r="A218" s="64"/>
      <c r="B218" s="64"/>
      <c r="C218" s="63"/>
      <c r="D218" s="64"/>
      <c r="E218" s="32"/>
      <c r="F218" s="32"/>
      <c r="G218" s="32"/>
      <c r="H218" s="32"/>
      <c r="I218" s="32"/>
      <c r="J218" s="3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 ht="14.25" customHeight="1">
      <c r="A219" s="64"/>
      <c r="B219" s="64"/>
      <c r="C219" s="63"/>
      <c r="D219" s="64"/>
      <c r="E219" s="32"/>
      <c r="F219" s="32"/>
      <c r="G219" s="32"/>
      <c r="H219" s="32"/>
      <c r="I219" s="32"/>
      <c r="J219" s="3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 ht="14.25" customHeight="1">
      <c r="A220" s="64"/>
      <c r="B220" s="64"/>
      <c r="C220" s="63"/>
      <c r="D220" s="64"/>
      <c r="E220" s="32"/>
      <c r="F220" s="32"/>
      <c r="G220" s="32"/>
      <c r="H220" s="32"/>
      <c r="I220" s="32"/>
      <c r="J220" s="3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 ht="14.25" customHeight="1">
      <c r="A221" s="64"/>
      <c r="B221" s="64"/>
      <c r="C221" s="63"/>
      <c r="D221" s="64"/>
      <c r="E221" s="32"/>
      <c r="F221" s="32"/>
      <c r="G221" s="32"/>
      <c r="H221" s="32"/>
      <c r="I221" s="32"/>
      <c r="J221" s="3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 ht="14.25" customHeight="1">
      <c r="A222" s="64"/>
      <c r="B222" s="64"/>
      <c r="C222" s="63"/>
      <c r="D222" s="64"/>
      <c r="E222" s="32"/>
      <c r="F222" s="32"/>
      <c r="G222" s="32"/>
      <c r="H222" s="32"/>
      <c r="I222" s="32"/>
      <c r="J222" s="3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 ht="14.25" customHeight="1">
      <c r="A223" s="64"/>
      <c r="B223" s="64"/>
      <c r="C223" s="63"/>
      <c r="D223" s="64"/>
      <c r="E223" s="32"/>
      <c r="F223" s="32"/>
      <c r="G223" s="32"/>
      <c r="H223" s="32"/>
      <c r="I223" s="32"/>
      <c r="J223" s="3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 ht="14.25" customHeight="1">
      <c r="A224" s="64"/>
      <c r="B224" s="64"/>
      <c r="C224" s="63"/>
      <c r="D224" s="64"/>
      <c r="E224" s="32"/>
      <c r="F224" s="32"/>
      <c r="G224" s="32"/>
      <c r="H224" s="32"/>
      <c r="I224" s="32"/>
      <c r="J224" s="3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 ht="14.25" customHeight="1">
      <c r="A225" s="64"/>
      <c r="B225" s="64"/>
      <c r="C225" s="63"/>
      <c r="D225" s="64"/>
      <c r="E225" s="32"/>
      <c r="F225" s="32"/>
      <c r="G225" s="32"/>
      <c r="H225" s="32"/>
      <c r="I225" s="32"/>
      <c r="J225" s="3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 ht="14.25" customHeight="1">
      <c r="A226" s="64"/>
      <c r="B226" s="64"/>
      <c r="C226" s="63"/>
      <c r="D226" s="64"/>
      <c r="E226" s="32"/>
      <c r="F226" s="32"/>
      <c r="G226" s="32"/>
      <c r="H226" s="32"/>
      <c r="I226" s="32"/>
      <c r="J226" s="3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 ht="14.25" customHeight="1">
      <c r="A227" s="64"/>
      <c r="B227" s="64"/>
      <c r="C227" s="63"/>
      <c r="D227" s="64"/>
      <c r="E227" s="32"/>
      <c r="F227" s="32"/>
      <c r="G227" s="32"/>
      <c r="H227" s="32"/>
      <c r="I227" s="32"/>
      <c r="J227" s="3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 ht="14.25" customHeight="1">
      <c r="A228" s="64"/>
      <c r="B228" s="64"/>
      <c r="C228" s="63"/>
      <c r="D228" s="64"/>
      <c r="E228" s="32"/>
      <c r="F228" s="32"/>
      <c r="G228" s="32"/>
      <c r="H228" s="32"/>
      <c r="I228" s="32"/>
      <c r="J228" s="3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 ht="14.25" customHeight="1">
      <c r="A229" s="64"/>
      <c r="B229" s="64"/>
      <c r="C229" s="63"/>
      <c r="D229" s="64"/>
      <c r="E229" s="32"/>
      <c r="F229" s="32"/>
      <c r="G229" s="32"/>
      <c r="H229" s="32"/>
      <c r="I229" s="32"/>
      <c r="J229" s="3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 ht="14.25" customHeight="1">
      <c r="A230" s="64"/>
      <c r="B230" s="64"/>
      <c r="C230" s="63"/>
      <c r="D230" s="64"/>
      <c r="E230" s="32"/>
      <c r="F230" s="32"/>
      <c r="G230" s="32"/>
      <c r="H230" s="32"/>
      <c r="I230" s="32"/>
      <c r="J230" s="3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 ht="14.25" customHeight="1">
      <c r="A231" s="64"/>
      <c r="B231" s="64"/>
      <c r="C231" s="63"/>
      <c r="D231" s="64"/>
      <c r="E231" s="32"/>
      <c r="F231" s="32"/>
      <c r="G231" s="32"/>
      <c r="H231" s="32"/>
      <c r="I231" s="32"/>
      <c r="J231" s="3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 ht="14.25" customHeight="1">
      <c r="A232" s="64"/>
      <c r="B232" s="64"/>
      <c r="C232" s="63"/>
      <c r="D232" s="64"/>
      <c r="E232" s="32"/>
      <c r="F232" s="32"/>
      <c r="G232" s="32"/>
      <c r="H232" s="32"/>
      <c r="I232" s="32"/>
      <c r="J232" s="3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 ht="14.25" customHeight="1">
      <c r="A233" s="64"/>
      <c r="B233" s="64"/>
      <c r="C233" s="63"/>
      <c r="D233" s="64"/>
      <c r="E233" s="32"/>
      <c r="F233" s="32"/>
      <c r="G233" s="32"/>
      <c r="H233" s="32"/>
      <c r="I233" s="32"/>
      <c r="J233" s="3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 ht="14.25" customHeight="1">
      <c r="A234" s="64"/>
      <c r="B234" s="64"/>
      <c r="C234" s="63"/>
      <c r="D234" s="64"/>
      <c r="E234" s="32"/>
      <c r="F234" s="32"/>
      <c r="G234" s="32"/>
      <c r="H234" s="32"/>
      <c r="I234" s="32"/>
      <c r="J234" s="3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 ht="14.25" customHeight="1">
      <c r="A235" s="64"/>
      <c r="B235" s="64"/>
      <c r="C235" s="63"/>
      <c r="D235" s="64"/>
      <c r="E235" s="32"/>
      <c r="F235" s="32"/>
      <c r="G235" s="32"/>
      <c r="H235" s="32"/>
      <c r="I235" s="32"/>
      <c r="J235" s="3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 ht="14.25" customHeight="1">
      <c r="A236" s="64"/>
      <c r="B236" s="64"/>
      <c r="C236" s="63"/>
      <c r="D236" s="64"/>
      <c r="E236" s="32"/>
      <c r="F236" s="32"/>
      <c r="G236" s="32"/>
      <c r="H236" s="32"/>
      <c r="I236" s="32"/>
      <c r="J236" s="3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 ht="14.25" customHeight="1">
      <c r="A237" s="64"/>
      <c r="B237" s="64"/>
      <c r="C237" s="63"/>
      <c r="D237" s="64"/>
      <c r="E237" s="32"/>
      <c r="F237" s="32"/>
      <c r="G237" s="32"/>
      <c r="H237" s="32"/>
      <c r="I237" s="32"/>
      <c r="J237" s="3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 ht="14.25" customHeight="1">
      <c r="A238" s="64"/>
      <c r="B238" s="64"/>
      <c r="C238" s="63"/>
      <c r="D238" s="64"/>
      <c r="E238" s="32"/>
      <c r="F238" s="32"/>
      <c r="G238" s="32"/>
      <c r="H238" s="32"/>
      <c r="I238" s="32"/>
      <c r="J238" s="3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 ht="14.25" customHeight="1">
      <c r="A239" s="64"/>
      <c r="B239" s="64"/>
      <c r="C239" s="63"/>
      <c r="D239" s="64"/>
      <c r="E239" s="32"/>
      <c r="F239" s="32"/>
      <c r="G239" s="32"/>
      <c r="H239" s="32"/>
      <c r="I239" s="32"/>
      <c r="J239" s="3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 ht="14.25" customHeight="1">
      <c r="A240" s="64"/>
      <c r="B240" s="64"/>
      <c r="C240" s="63"/>
      <c r="D240" s="64"/>
      <c r="E240" s="32"/>
      <c r="F240" s="32"/>
      <c r="G240" s="32"/>
      <c r="H240" s="32"/>
      <c r="I240" s="32"/>
      <c r="J240" s="3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 ht="14.25" customHeight="1">
      <c r="A241" s="64"/>
      <c r="B241" s="64"/>
      <c r="C241" s="63"/>
      <c r="D241" s="64"/>
      <c r="E241" s="32"/>
      <c r="F241" s="32"/>
      <c r="G241" s="32"/>
      <c r="H241" s="32"/>
      <c r="I241" s="32"/>
      <c r="J241" s="3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 ht="14.25" customHeight="1">
      <c r="A242" s="64"/>
      <c r="B242" s="64"/>
      <c r="C242" s="63"/>
      <c r="D242" s="64"/>
      <c r="E242" s="32"/>
      <c r="F242" s="32"/>
      <c r="G242" s="32"/>
      <c r="H242" s="32"/>
      <c r="I242" s="32"/>
      <c r="J242" s="3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 ht="14.25" customHeight="1">
      <c r="A243" s="64"/>
      <c r="B243" s="64"/>
      <c r="C243" s="63"/>
      <c r="D243" s="64"/>
      <c r="E243" s="32"/>
      <c r="F243" s="32"/>
      <c r="G243" s="32"/>
      <c r="H243" s="32"/>
      <c r="I243" s="32"/>
      <c r="J243" s="3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 ht="14.25" customHeight="1">
      <c r="A244" s="64"/>
      <c r="B244" s="64"/>
      <c r="C244" s="63"/>
      <c r="D244" s="64"/>
      <c r="E244" s="32"/>
      <c r="F244" s="32"/>
      <c r="G244" s="32"/>
      <c r="H244" s="32"/>
      <c r="I244" s="32"/>
      <c r="J244" s="3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 ht="14.25" customHeight="1">
      <c r="A245" s="64"/>
      <c r="B245" s="64"/>
      <c r="C245" s="63"/>
      <c r="D245" s="64"/>
      <c r="E245" s="32"/>
      <c r="F245" s="32"/>
      <c r="G245" s="32"/>
      <c r="H245" s="32"/>
      <c r="I245" s="32"/>
      <c r="J245" s="3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 ht="14.25" customHeight="1">
      <c r="A246" s="64"/>
      <c r="B246" s="64"/>
      <c r="C246" s="63"/>
      <c r="D246" s="64"/>
      <c r="E246" s="32"/>
      <c r="F246" s="32"/>
      <c r="G246" s="32"/>
      <c r="H246" s="32"/>
      <c r="I246" s="32"/>
      <c r="J246" s="3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 ht="14.25" customHeight="1">
      <c r="A247" s="64"/>
      <c r="B247" s="64"/>
      <c r="C247" s="63"/>
      <c r="D247" s="64"/>
      <c r="E247" s="32"/>
      <c r="F247" s="32"/>
      <c r="G247" s="32"/>
      <c r="H247" s="32"/>
      <c r="I247" s="32"/>
      <c r="J247" s="3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 ht="14.25" customHeight="1">
      <c r="A248" s="64"/>
      <c r="B248" s="64"/>
      <c r="C248" s="63"/>
      <c r="D248" s="64"/>
      <c r="E248" s="32"/>
      <c r="F248" s="32"/>
      <c r="G248" s="32"/>
      <c r="H248" s="32"/>
      <c r="I248" s="32"/>
      <c r="J248" s="3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 ht="14.25" customHeight="1">
      <c r="A249" s="64"/>
      <c r="B249" s="64"/>
      <c r="C249" s="63"/>
      <c r="D249" s="64"/>
      <c r="E249" s="32"/>
      <c r="F249" s="32"/>
      <c r="G249" s="32"/>
      <c r="H249" s="32"/>
      <c r="I249" s="32"/>
      <c r="J249" s="3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 ht="14.25" customHeight="1">
      <c r="A250" s="64"/>
      <c r="B250" s="64"/>
      <c r="C250" s="63"/>
      <c r="D250" s="64"/>
      <c r="E250" s="32"/>
      <c r="F250" s="32"/>
      <c r="G250" s="32"/>
      <c r="H250" s="32"/>
      <c r="I250" s="32"/>
      <c r="J250" s="3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 ht="14.25" customHeight="1">
      <c r="A251" s="64"/>
      <c r="B251" s="64"/>
      <c r="C251" s="63"/>
      <c r="D251" s="64"/>
      <c r="E251" s="32"/>
      <c r="F251" s="32"/>
      <c r="G251" s="32"/>
      <c r="H251" s="32"/>
      <c r="I251" s="32"/>
      <c r="J251" s="3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 ht="14.25" customHeight="1">
      <c r="A252" s="64"/>
      <c r="B252" s="64"/>
      <c r="C252" s="63"/>
      <c r="D252" s="64"/>
      <c r="E252" s="32"/>
      <c r="F252" s="32"/>
      <c r="G252" s="32"/>
      <c r="H252" s="32"/>
      <c r="I252" s="32"/>
      <c r="J252" s="3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 ht="14.25" customHeight="1">
      <c r="A253" s="64"/>
      <c r="B253" s="64"/>
      <c r="C253" s="63"/>
      <c r="D253" s="64"/>
      <c r="E253" s="32"/>
      <c r="F253" s="32"/>
      <c r="G253" s="32"/>
      <c r="H253" s="32"/>
      <c r="I253" s="32"/>
      <c r="J253" s="3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 ht="14.25" customHeight="1">
      <c r="A254" s="64"/>
      <c r="B254" s="64"/>
      <c r="C254" s="63"/>
      <c r="D254" s="64"/>
      <c r="E254" s="32"/>
      <c r="F254" s="32"/>
      <c r="G254" s="32"/>
      <c r="H254" s="32"/>
      <c r="I254" s="32"/>
      <c r="J254" s="3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 ht="14.25" customHeight="1">
      <c r="A255" s="64"/>
      <c r="B255" s="64"/>
      <c r="C255" s="63"/>
      <c r="D255" s="64"/>
      <c r="E255" s="32"/>
      <c r="F255" s="32"/>
      <c r="G255" s="32"/>
      <c r="H255" s="32"/>
      <c r="I255" s="32"/>
      <c r="J255" s="3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 ht="14.25" customHeight="1">
      <c r="A256" s="64"/>
      <c r="B256" s="64"/>
      <c r="C256" s="63"/>
      <c r="D256" s="64"/>
      <c r="E256" s="32"/>
      <c r="F256" s="32"/>
      <c r="G256" s="32"/>
      <c r="H256" s="32"/>
      <c r="I256" s="32"/>
      <c r="J256" s="3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 ht="14.25" customHeight="1">
      <c r="A257" s="64"/>
      <c r="B257" s="64"/>
      <c r="C257" s="63"/>
      <c r="D257" s="64"/>
      <c r="E257" s="32"/>
      <c r="F257" s="32"/>
      <c r="G257" s="32"/>
      <c r="H257" s="32"/>
      <c r="I257" s="32"/>
      <c r="J257" s="3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 ht="14.25" customHeight="1">
      <c r="A258" s="64"/>
      <c r="B258" s="64"/>
      <c r="C258" s="63"/>
      <c r="D258" s="64"/>
      <c r="E258" s="32"/>
      <c r="F258" s="32"/>
      <c r="G258" s="32"/>
      <c r="H258" s="32"/>
      <c r="I258" s="32"/>
      <c r="J258" s="3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 ht="14.25" customHeight="1">
      <c r="A259" s="64"/>
      <c r="B259" s="64"/>
      <c r="C259" s="63"/>
      <c r="D259" s="64"/>
      <c r="E259" s="32"/>
      <c r="F259" s="32"/>
      <c r="G259" s="32"/>
      <c r="H259" s="32"/>
      <c r="I259" s="32"/>
      <c r="J259" s="3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 ht="14.25" customHeight="1">
      <c r="A260" s="64"/>
      <c r="B260" s="64"/>
      <c r="C260" s="63"/>
      <c r="D260" s="64"/>
      <c r="E260" s="32"/>
      <c r="F260" s="32"/>
      <c r="G260" s="32"/>
      <c r="H260" s="32"/>
      <c r="I260" s="32"/>
      <c r="J260" s="3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