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" sheetId="1" r:id="rId4"/>
    <sheet state="visible" name="Professores" sheetId="2" r:id="rId5"/>
    <sheet state="visible" name="Cursos" sheetId="3" r:id="rId6"/>
    <sheet state="visible" name="Turmas" sheetId="4" r:id="rId7"/>
    <sheet state="visible" name="Salas" sheetId="5" r:id="rId8"/>
  </sheets>
  <definedNames>
    <definedName name="Cursos">Cursos!$B$2</definedName>
    <definedName name="Turmas">Turmas!$A$2:$A$5</definedName>
    <definedName name="Professores">Professores!$B$2:$B$12</definedName>
    <definedName name="Salas">Salas!$B$2:$B$11</definedName>
  </definedNames>
  <calcPr/>
</workbook>
</file>

<file path=xl/sharedStrings.xml><?xml version="1.0" encoding="utf-8"?>
<sst xmlns="http://schemas.openxmlformats.org/spreadsheetml/2006/main" count="4723" uniqueCount="1510">
  <si>
    <t>ID</t>
  </si>
  <si>
    <t>Disciplinas</t>
  </si>
  <si>
    <t>Professor</t>
  </si>
  <si>
    <t>Turma</t>
  </si>
  <si>
    <t>Turno</t>
  </si>
  <si>
    <t>Qtd Alunos</t>
  </si>
  <si>
    <t>CH Presencial</t>
  </si>
  <si>
    <t>CH EaD</t>
  </si>
  <si>
    <t>SEG</t>
  </si>
  <si>
    <t>TER</t>
  </si>
  <si>
    <t>QUA</t>
  </si>
  <si>
    <t>QUI</t>
  </si>
  <si>
    <t>SEX</t>
  </si>
  <si>
    <t>SAB</t>
  </si>
  <si>
    <t>RV.ADM01</t>
  </si>
  <si>
    <t>REDAçãO DE TEXTOS OFICIAIS</t>
  </si>
  <si>
    <t>FRANCIELLE FERREIRA DE FREITAS</t>
  </si>
  <si>
    <t>20192.02ADI11N.1N</t>
  </si>
  <si>
    <t>RV.ADM02</t>
  </si>
  <si>
    <t>ÉTICA</t>
  </si>
  <si>
    <t>RV.ADM03</t>
  </si>
  <si>
    <t>CENáRIOS ECONôMICOS E MERCADOS</t>
  </si>
  <si>
    <t>ADEMIR XAVIER DE SOUZA</t>
  </si>
  <si>
    <t>RV.ADM04</t>
  </si>
  <si>
    <t>SOCIOLOGIA APLICADA à ADMINISTRAçãO</t>
  </si>
  <si>
    <t>RV.ADM401</t>
  </si>
  <si>
    <t>GESTãO EMPRESARIAL</t>
  </si>
  <si>
    <t>FREDERICO DE MORAIS BORGES</t>
  </si>
  <si>
    <t>RV.EXA808</t>
  </si>
  <si>
    <t>MATEMáTICA FINANCEIRA</t>
  </si>
  <si>
    <t>RV.HUM824</t>
  </si>
  <si>
    <t>DIREITO</t>
  </si>
  <si>
    <t>RV.ADM05</t>
  </si>
  <si>
    <t>GESTãO DA QUALIDADE</t>
  </si>
  <si>
    <t>20192.02ADI11N.2N</t>
  </si>
  <si>
    <t>RV.ADM06</t>
  </si>
  <si>
    <t>MARKETING</t>
  </si>
  <si>
    <t>RV.ADM07</t>
  </si>
  <si>
    <t>COOPERATIVISMO E ASSOCIATIVISMO</t>
  </si>
  <si>
    <t>RV.ADM08</t>
  </si>
  <si>
    <t>ORGANIZAçãO, SISTEMA E MéTODOS</t>
  </si>
  <si>
    <t>RV.ADM405</t>
  </si>
  <si>
    <t>ADMINISTRAçãO DE RECURSOS MATERIAIS, PATRIMONIAIS E LOGíSTICA</t>
  </si>
  <si>
    <t>RV.CON817</t>
  </si>
  <si>
    <t>CONTABILIDADE BáSICA</t>
  </si>
  <si>
    <t>RV.EXA810</t>
  </si>
  <si>
    <t>ESTATíSTICA BáSICA</t>
  </si>
  <si>
    <t>WILCIENE NUNES DO VALE</t>
  </si>
  <si>
    <t>20192.02ADM112.1V</t>
  </si>
  <si>
    <t>BRUNNA DIAS CARDOSO</t>
  </si>
  <si>
    <t>HAIHANI SILVA PASSOS</t>
  </si>
  <si>
    <t>ROBERTO EDUARDO CASTILLO PIZARRO</t>
  </si>
  <si>
    <t>MILTON BERNARDES FERREIRA</t>
  </si>
  <si>
    <t>FERNANDO AUGUSTO GOMES DE MORAES</t>
  </si>
  <si>
    <t>MáRCIA CRISTINA PUYDINGER DE FAZIO,FABRICIO LOPES PAULA</t>
  </si>
  <si>
    <t>KENNEDY DE ARAúJO BARBOSA</t>
  </si>
  <si>
    <t>20192.02ADM112.2V</t>
  </si>
  <si>
    <t>LíDIA NUNES DE ÁVILA CARVALHAES</t>
  </si>
  <si>
    <t>JOSé AURELIO VAZQUEZ RUBIO</t>
  </si>
  <si>
    <t>SILVIA FERREIRA MARQUES SALUSTIANO</t>
  </si>
  <si>
    <t>CáSSIA DA SILVA CASTRO ARANTES</t>
  </si>
  <si>
    <t>FRANKCIONE BORGES DE ALMEIDA,NAYARA STEFANY DA COSTA FERREIRA</t>
  </si>
  <si>
    <t>IDALCI CRUVINEL DOS REIS</t>
  </si>
  <si>
    <t>RV.ADM09</t>
  </si>
  <si>
    <t>ANáLISE DE CUSTO E FORMAçãO DE PREçOS</t>
  </si>
  <si>
    <t>20192.02ADM112.3V</t>
  </si>
  <si>
    <t>RV.ADM10</t>
  </si>
  <si>
    <t>GESTãO DE PESSOAS</t>
  </si>
  <si>
    <t>LUIZA FERREIRA REZENDE DE MEDEIROS</t>
  </si>
  <si>
    <t>RV.ADM11</t>
  </si>
  <si>
    <t>COMéRCIO ELETRôNICO E AUTOMAçãO COMERCIAL</t>
  </si>
  <si>
    <t>RV.ADM413</t>
  </si>
  <si>
    <t>PLANEJAMENTO ESTRATéGICO</t>
  </si>
  <si>
    <t>FLáVIA NASCIMENTO DE SOUZA OLIVEIRA</t>
  </si>
  <si>
    <t>RV.ADM811</t>
  </si>
  <si>
    <t>ADMINISTRAçãO FINANCEIRA</t>
  </si>
  <si>
    <t>JEAN MARC NACIFE</t>
  </si>
  <si>
    <t>TADMRV33</t>
  </si>
  <si>
    <t>EMPREENDEDORISMO</t>
  </si>
  <si>
    <t>20192.02ADM11N.1N</t>
  </si>
  <si>
    <t>SAMANTHA REZENDE MENDES</t>
  </si>
  <si>
    <t>20192.02ADM11N.2N</t>
  </si>
  <si>
    <t>20192.02ADM11N.3N</t>
  </si>
  <si>
    <t>LUCIENE DE OLIVEIRA GUERRA</t>
  </si>
  <si>
    <t>20192.02ADM12N.2N</t>
  </si>
  <si>
    <t>RV.PRO006</t>
  </si>
  <si>
    <t>BIOLOGIA II</t>
  </si>
  <si>
    <t>TIAGO CARNEVALLE ROMAO</t>
  </si>
  <si>
    <t>RV.PRO007</t>
  </si>
  <si>
    <t>MATEMáTICA II</t>
  </si>
  <si>
    <t>GUSTAVO QUEREZA DE FREITAS</t>
  </si>
  <si>
    <t>RV.PRO009</t>
  </si>
  <si>
    <t>PORTUGUêS I</t>
  </si>
  <si>
    <t>RV.PRO010</t>
  </si>
  <si>
    <t>HISTóRIA II</t>
  </si>
  <si>
    <t>RV.PRO011</t>
  </si>
  <si>
    <t>GEOGRAFIA II</t>
  </si>
  <si>
    <t>EMIVAL DA CUNHA RIBEIRO</t>
  </si>
  <si>
    <t>RV.PRO012</t>
  </si>
  <si>
    <t>FILOSOFIA</t>
  </si>
  <si>
    <t>20192.02ADM12N.3N</t>
  </si>
  <si>
    <t>RV.PRO013</t>
  </si>
  <si>
    <t>PORTUGUêS II</t>
  </si>
  <si>
    <t>CALIXTO JUNIOR DE SOUZA</t>
  </si>
  <si>
    <t>RV.PRO014</t>
  </si>
  <si>
    <t>BIOLOGIA III</t>
  </si>
  <si>
    <t>ELISVANE SILVA DE ASSIS</t>
  </si>
  <si>
    <t>RV.PRO015</t>
  </si>
  <si>
    <t>HISTóRIA III</t>
  </si>
  <si>
    <t>RV.PRO016</t>
  </si>
  <si>
    <t>GEOGRAFIA III</t>
  </si>
  <si>
    <t>RV.PRO018</t>
  </si>
  <si>
    <t>MATEMáTICA III</t>
  </si>
  <si>
    <t>RV.PRO019</t>
  </si>
  <si>
    <t>MATEMáTICA IV</t>
  </si>
  <si>
    <t>ALINE GOBBI DUTRA</t>
  </si>
  <si>
    <t>20192.02ADM12N.4N</t>
  </si>
  <si>
    <t>RV.PRO023</t>
  </si>
  <si>
    <t>PORTUGUêS III</t>
  </si>
  <si>
    <t>RV.PRO024</t>
  </si>
  <si>
    <t>HISTóRIA IV</t>
  </si>
  <si>
    <t>RV.PRO025</t>
  </si>
  <si>
    <t>GEOGRAFIA IV</t>
  </si>
  <si>
    <t>JESIEL SOUZA SILVA</t>
  </si>
  <si>
    <t>RV.PRO026</t>
  </si>
  <si>
    <t>FíSICA II</t>
  </si>
  <si>
    <t>RV.PRO027</t>
  </si>
  <si>
    <t>RV.PRO028</t>
  </si>
  <si>
    <t>BIOLOGIA IV</t>
  </si>
  <si>
    <t>AGNA RITA DOS SANTOS RODRIGUES</t>
  </si>
  <si>
    <t>RV.PRO036</t>
  </si>
  <si>
    <t>SOCIOLOGIA</t>
  </si>
  <si>
    <t>RV.ADM402</t>
  </si>
  <si>
    <t>20192.02ADM12N.5N</t>
  </si>
  <si>
    <t>RV.ADM406</t>
  </si>
  <si>
    <t>RV.ADM408</t>
  </si>
  <si>
    <t>RV.CON816</t>
  </si>
  <si>
    <t>RV.PRO14</t>
  </si>
  <si>
    <t>MATEMáTICA V</t>
  </si>
  <si>
    <t>RV.PRO70</t>
  </si>
  <si>
    <t>QUíMICA I</t>
  </si>
  <si>
    <t>LUISMAR DE PAULA SOUZA</t>
  </si>
  <si>
    <t>RV.PRO80</t>
  </si>
  <si>
    <t>INGLêS I</t>
  </si>
  <si>
    <t>RV.PRO92</t>
  </si>
  <si>
    <t>RV.ADM403</t>
  </si>
  <si>
    <t>20192.02ADM12N.6N</t>
  </si>
  <si>
    <t>RV.ADM824</t>
  </si>
  <si>
    <t>RV.EXA809</t>
  </si>
  <si>
    <t>MATHEUS DE PAULA FERREIRA</t>
  </si>
  <si>
    <t>RV.HUM818</t>
  </si>
  <si>
    <t>ÉTICA E RELAçõES NO TRABALHO</t>
  </si>
  <si>
    <t>RV.PRO71</t>
  </si>
  <si>
    <t>QUíMICA II</t>
  </si>
  <si>
    <t>RV.PRO81</t>
  </si>
  <si>
    <t>INGLêS II</t>
  </si>
  <si>
    <t>20192.02ADM12N.7N</t>
  </si>
  <si>
    <t>RV.ADM407</t>
  </si>
  <si>
    <t>ADMINISTRAçãO DE RECURSOS HUMANOS</t>
  </si>
  <si>
    <t>RV.ADM810</t>
  </si>
  <si>
    <t>RV.CON815</t>
  </si>
  <si>
    <t>ANáLISE DE CUSTOS E FORMAçãO DE PREçOS</t>
  </si>
  <si>
    <t>RV.HUM823</t>
  </si>
  <si>
    <t>RV.PRO23</t>
  </si>
  <si>
    <t>PORTUGUêS V</t>
  </si>
  <si>
    <t>RV.PRO72</t>
  </si>
  <si>
    <t>QUIMICA III</t>
  </si>
  <si>
    <t>ROBERTA DE ALMEIDA CARVALHO</t>
  </si>
  <si>
    <t>GRAD.ADM.ASI.07</t>
  </si>
  <si>
    <t>ADMINISTRAçãO DOS SISTEMAS DE INFORMAçãO</t>
  </si>
  <si>
    <t>20192.02ADM20N.2N</t>
  </si>
  <si>
    <t>GRAD.ADM.GP-I.08</t>
  </si>
  <si>
    <t>GESTãO DE PESSOAS I</t>
  </si>
  <si>
    <t>CARLOS ANTONIO CARDOSO SOBRINHO</t>
  </si>
  <si>
    <t>GRAD.ADM.TGA-II.06</t>
  </si>
  <si>
    <t>TEORIA GERAL DA ADMINISTRAçãO II</t>
  </si>
  <si>
    <t>GRAD.EB.02</t>
  </si>
  <si>
    <t>DANILO PEREIRA BARBOSA</t>
  </si>
  <si>
    <t>GRAD.MC.05</t>
  </si>
  <si>
    <t>METODOLOGIA CIENTíFICA</t>
  </si>
  <si>
    <t>ALINE DITOMASO</t>
  </si>
  <si>
    <t>RV.AGN219</t>
  </si>
  <si>
    <t>MERCADO DE CAPITAIS</t>
  </si>
  <si>
    <t>20192.02AGN21N.6N</t>
  </si>
  <si>
    <t>RV.AGN223</t>
  </si>
  <si>
    <t>COMERCIALIZAçãO NO AGRONEGóCIO</t>
  </si>
  <si>
    <t>RV.AGN224</t>
  </si>
  <si>
    <t>GESTãO AGROINDUSTRIAL</t>
  </si>
  <si>
    <t>RV.AGN226</t>
  </si>
  <si>
    <t>TóPICOS ESPECIAIS EM PRODUçãO ANIMAL</t>
  </si>
  <si>
    <t>ELIS APARECIDO BENTO</t>
  </si>
  <si>
    <t>RV.HUM215</t>
  </si>
  <si>
    <t>ELABORAçãO E GESTãO DE PROJETOS</t>
  </si>
  <si>
    <t>RV.TCC212</t>
  </si>
  <si>
    <t>TRABALHO DE CURSO I</t>
  </si>
  <si>
    <t>RV.TCC213</t>
  </si>
  <si>
    <t>TRABALHO DE CURSO II</t>
  </si>
  <si>
    <t>JESIEL SOUZA SILVA,CARLOS ANTONIO CARDOSO SOBRINHO</t>
  </si>
  <si>
    <t>RV.EXA224</t>
  </si>
  <si>
    <t>MATEMáTICA APLICADA</t>
  </si>
  <si>
    <t>RENATO CRUVINEL DE OLIVEIRA</t>
  </si>
  <si>
    <t>20192.02AGP11M.1M</t>
  </si>
  <si>
    <t>RV.TAG003</t>
  </si>
  <si>
    <t>AGRICULTURA GERAL</t>
  </si>
  <si>
    <t>ADRIANO PERIN</t>
  </si>
  <si>
    <t>RV.TAG004</t>
  </si>
  <si>
    <t>ZOOTECNIA GERAL</t>
  </si>
  <si>
    <t>JéSSIKA  MARA MARTINS RIBEIRO</t>
  </si>
  <si>
    <t>RV.TAG005</t>
  </si>
  <si>
    <t>ADMINISTRAçãO RURAL</t>
  </si>
  <si>
    <t>RV.TAG503</t>
  </si>
  <si>
    <t>MECANIZAçãO AGRíCOLA</t>
  </si>
  <si>
    <t>JOãO CLEBER MODERNEL DA SILVEIRA</t>
  </si>
  <si>
    <t>RAGROP-RV.1</t>
  </si>
  <si>
    <t>IRRIGAçãO E DRENAGEM</t>
  </si>
  <si>
    <t>LEONARDO NAZARIO SILVA DOS SANTOS</t>
  </si>
  <si>
    <t>20192.02AGP11M.2M</t>
  </si>
  <si>
    <t>RAGROP-RV.6</t>
  </si>
  <si>
    <t>DESENHO TéCNICO  CONSTRUçõES E INSTALAçõES RURAIS</t>
  </si>
  <si>
    <t>VICTOR BALDIN</t>
  </si>
  <si>
    <t>RV.TAG006</t>
  </si>
  <si>
    <t>AVICULTURA</t>
  </si>
  <si>
    <t>CIBELE SILVA MINAFRA</t>
  </si>
  <si>
    <t>RV.TAG007</t>
  </si>
  <si>
    <t>OLERICULTURA</t>
  </si>
  <si>
    <t>EDNALVA PATRíCIA DE ANDRADE SILVA</t>
  </si>
  <si>
    <t>RV.TAG008</t>
  </si>
  <si>
    <t>OVINO E CAPRINO</t>
  </si>
  <si>
    <t>RV.TAG001</t>
  </si>
  <si>
    <t>ARMAZENAMENTO DE GRãOS</t>
  </si>
  <si>
    <t>JACSON ZUCHI</t>
  </si>
  <si>
    <t>20192.02AGP11M.3M</t>
  </si>
  <si>
    <t>RV.TAG002</t>
  </si>
  <si>
    <t>CULTURAS ANUAIS I</t>
  </si>
  <si>
    <t>EDUARDO DA COSTA SEVERIANO</t>
  </si>
  <si>
    <t>RV.TAG010</t>
  </si>
  <si>
    <t>FORRAGICULTURA</t>
  </si>
  <si>
    <t>BRUNO FRAUZINO RIBEIRO CAMILO</t>
  </si>
  <si>
    <t>RV.TAG011</t>
  </si>
  <si>
    <t>SUINOCULTURA</t>
  </si>
  <si>
    <t>TIAGO PEREIRA GUIMARãES</t>
  </si>
  <si>
    <t>RV.TAG012</t>
  </si>
  <si>
    <t>PROTEçãO DE PLANTAS</t>
  </si>
  <si>
    <t>PABLO DA COSTA GONTIJO</t>
  </si>
  <si>
    <t>RV.TAG506</t>
  </si>
  <si>
    <t>TOPOGRAFIA</t>
  </si>
  <si>
    <t>WELLINGTON DONIZETE GUIMARãES</t>
  </si>
  <si>
    <t>RAGROP-RV.4</t>
  </si>
  <si>
    <t>AGROINDUSTRIA</t>
  </si>
  <si>
    <t>MELISSA CáSSIA FAVARO BOLDRIN FREIRE</t>
  </si>
  <si>
    <t>20192.02AGP11M.4M</t>
  </si>
  <si>
    <t>RV.TAG013</t>
  </si>
  <si>
    <t>BOVINOCULTURA</t>
  </si>
  <si>
    <t>RV.TAG014</t>
  </si>
  <si>
    <t>FRUTICULTURA</t>
  </si>
  <si>
    <t>FERNANDO HIGINO DE LIMA E SILVA</t>
  </si>
  <si>
    <t>RV.TAG015</t>
  </si>
  <si>
    <t>PROJETOS AGROPECUáRIOS</t>
  </si>
  <si>
    <t>GILBERTO COLODRO</t>
  </si>
  <si>
    <t>RV.TAG517</t>
  </si>
  <si>
    <t>CULTURAS ANUAIS II</t>
  </si>
  <si>
    <t>PAULO HENRIQUE RODRIGUES GONçALVES</t>
  </si>
  <si>
    <t>20192.02AGP11V.1V</t>
  </si>
  <si>
    <t>20192.02AGP11V.2V</t>
  </si>
  <si>
    <t>JOSé WESELLI DE Sá ANDRADE</t>
  </si>
  <si>
    <t>20192.02AGP11V.3V</t>
  </si>
  <si>
    <t>KáTIA APARECIDA DE PINHO COSTA</t>
  </si>
  <si>
    <t>20192.02AGP11V.4V</t>
  </si>
  <si>
    <t>KAREN MARTINS LEãO</t>
  </si>
  <si>
    <t>GRAD.EB.01</t>
  </si>
  <si>
    <t>FREDERICO ANTONIO LOUREIRO SOARES</t>
  </si>
  <si>
    <t>20192.02AGR20I.2M</t>
  </si>
  <si>
    <t>GRAD.F.01</t>
  </si>
  <si>
    <t>FíSICA</t>
  </si>
  <si>
    <t>TIAGO CLARIMUNDO RAMOS</t>
  </si>
  <si>
    <t>GRAD.GMS.01</t>
  </si>
  <si>
    <t>GêNESE E MORFOLOGIA DO SOLO</t>
  </si>
  <si>
    <t>CARLOS RIBEIRO RODRIGUES</t>
  </si>
  <si>
    <t>GRAD.M.01</t>
  </si>
  <si>
    <t>MICROBIOLOGIA</t>
  </si>
  <si>
    <t>EDSON LUIZ SOUCHIE</t>
  </si>
  <si>
    <t>GRAD.OSV.01</t>
  </si>
  <si>
    <t>ORGANOGRAFIA E SISTEMáTICA VEGETAL</t>
  </si>
  <si>
    <t>JULIANA DE FáTIMA SALES</t>
  </si>
  <si>
    <t>GRAD.QO.01</t>
  </si>
  <si>
    <t>QUíMICA ORGâNICA</t>
  </si>
  <si>
    <t>CASSIA CRISTINA FERNANDES ALVES</t>
  </si>
  <si>
    <t>GRAD.Z.01</t>
  </si>
  <si>
    <t>ZOOLOGIA</t>
  </si>
  <si>
    <t>LIA RAQUEL DE SOUZA SANTOS,FáBIO MARTINS VILAR DE CARVALHO</t>
  </si>
  <si>
    <t>GRAD.A.25</t>
  </si>
  <si>
    <t>AGROMETEOROLOGIA</t>
  </si>
  <si>
    <t>20192.02AGR20I.4V</t>
  </si>
  <si>
    <t>GRAD.BB.01</t>
  </si>
  <si>
    <t>BIOQUíMICA BáSICA</t>
  </si>
  <si>
    <t>FáBIO HENRIQUE DYSZY</t>
  </si>
  <si>
    <t>GRAD.CLS.01</t>
  </si>
  <si>
    <t>CLASSIFICAçãO E LEVANTAMENTO DO SOLO</t>
  </si>
  <si>
    <t>GRAD.EA.31</t>
  </si>
  <si>
    <t>ENTOMOLOGIA AGRíCOLA</t>
  </si>
  <si>
    <t>GRAD.FS.02</t>
  </si>
  <si>
    <t>FERTILIDADE DO SOLO</t>
  </si>
  <si>
    <t>JOSé MILTON ALVES</t>
  </si>
  <si>
    <t>GRAD.G.02</t>
  </si>
  <si>
    <t>GENéTICA</t>
  </si>
  <si>
    <t>MARIA ANDREIA CORREA MENDONçA</t>
  </si>
  <si>
    <t>GRAD.MMA.01</t>
  </si>
  <si>
    <t>MECâNICA E MECANIZAçãO AGRíCOLA</t>
  </si>
  <si>
    <t>GRAD.T.02</t>
  </si>
  <si>
    <t>TOPOGRAFIA - ALTIMETRIA</t>
  </si>
  <si>
    <t>RV.AGR214</t>
  </si>
  <si>
    <t>PROPAGAçãO DE PLANTAS</t>
  </si>
  <si>
    <t>AURELIO RUBIO NETO</t>
  </si>
  <si>
    <t>20192.02AGR20I.6M</t>
  </si>
  <si>
    <t>RV.AGR218</t>
  </si>
  <si>
    <t>PRODUçãO E TECNOLOGIA DE SEMENTES</t>
  </si>
  <si>
    <t>RV.AGR225</t>
  </si>
  <si>
    <t>FITOPATOLOGIA II</t>
  </si>
  <si>
    <t>RV.AGR226</t>
  </si>
  <si>
    <t>PLANTAS DANINHAS</t>
  </si>
  <si>
    <t>ADRIANO JAKELAITIS</t>
  </si>
  <si>
    <t>RV.AGR242</t>
  </si>
  <si>
    <t>CULTURAS I</t>
  </si>
  <si>
    <t>RV.ENG208</t>
  </si>
  <si>
    <t>CONSTRUçõES E INSTALAçõES RURAIS</t>
  </si>
  <si>
    <t>MATEUS SOUZA SANTOS</t>
  </si>
  <si>
    <t>RV.ENG217</t>
  </si>
  <si>
    <t>RV.ZOO226</t>
  </si>
  <si>
    <t>RV.AGR215</t>
  </si>
  <si>
    <t>20192.02AGR20I.8V</t>
  </si>
  <si>
    <t>RV.AGR238</t>
  </si>
  <si>
    <t>CULTURAS III (CANA-DE-AçúCAR, CAFé E MANDIOCA)</t>
  </si>
  <si>
    <t>RV.EAL231</t>
  </si>
  <si>
    <t>TECNOLOGIA DE PRODUTOS AGROPECUáRIOS</t>
  </si>
  <si>
    <t>GEOVANA ROCHA PLáCIDO,MELISSA CáSSIA FAVARO BOLDRIN FREIRE</t>
  </si>
  <si>
    <t>RV.ENG230</t>
  </si>
  <si>
    <t>SECAGEM E ARMAZENAMENTO DE GRãOS</t>
  </si>
  <si>
    <t>OSVALDO RESENDE</t>
  </si>
  <si>
    <t>RV.HUM218</t>
  </si>
  <si>
    <t>RV.ZOO235</t>
  </si>
  <si>
    <t>BOVINOS</t>
  </si>
  <si>
    <t>GRAD.AA.01</t>
  </si>
  <si>
    <t>ADUBOS E ADUBAçãO</t>
  </si>
  <si>
    <t>20192.02AGR20I.ESPECIAL</t>
  </si>
  <si>
    <t>RV.AGR202</t>
  </si>
  <si>
    <t>FíSICA E CLASSIFICAçãO DO SOLO</t>
  </si>
  <si>
    <t>RV.AGR209</t>
  </si>
  <si>
    <t>PROTEçãO DE PLANTAS E RECEITUáRIO AGRONôMICO</t>
  </si>
  <si>
    <t>RV.AGR224</t>
  </si>
  <si>
    <t>FITOPATOLOGIA I</t>
  </si>
  <si>
    <t>LEONARDO DE CASTRO SANTOS</t>
  </si>
  <si>
    <t>RV.AGR234</t>
  </si>
  <si>
    <t>SISTEMAS AGROFLORESTAIS</t>
  </si>
  <si>
    <t>LEANDRO CARLOS</t>
  </si>
  <si>
    <t>RV.BIO244</t>
  </si>
  <si>
    <t>BIOLOGIA MOLECULAR</t>
  </si>
  <si>
    <t>RV.GAM239</t>
  </si>
  <si>
    <t>SISTEMA DE GESTãO AMBIENTAL</t>
  </si>
  <si>
    <t>HIPóLITO TADEU FERREIRA DA SILVA</t>
  </si>
  <si>
    <t>ANA PAULA CARDOSO GOMIDE</t>
  </si>
  <si>
    <t>20192.02AGR20I.FERIAS</t>
  </si>
  <si>
    <t>RV.EXA722</t>
  </si>
  <si>
    <t>20192.02ALI11N.1N</t>
  </si>
  <si>
    <t>RV.QAP428</t>
  </si>
  <si>
    <t>QUíMICA APLICADA</t>
  </si>
  <si>
    <t>CELSO MARTINS BELISáRIO</t>
  </si>
  <si>
    <t>RV.TAL06</t>
  </si>
  <si>
    <t>SEGURANçA E BIOSSEGURANçA</t>
  </si>
  <si>
    <t>RENATA PEREIRA MARQUES</t>
  </si>
  <si>
    <t>RV.TAL07</t>
  </si>
  <si>
    <t>TECNOLOGIA DE OVOS E MEL</t>
  </si>
  <si>
    <t>PRISCILA ALONSO DOS SANTOS</t>
  </si>
  <si>
    <t>RV.TAL08</t>
  </si>
  <si>
    <t>GEOVANA ROCHA PLáCIDO</t>
  </si>
  <si>
    <t>RV.TAL09</t>
  </si>
  <si>
    <t>PORTUGUêS TéCNICO</t>
  </si>
  <si>
    <t>RV.TAL81</t>
  </si>
  <si>
    <t>PRINCíPIOS DE QUíMICA E BIOQUíMICA DOS ALIMENTOS</t>
  </si>
  <si>
    <t>JESSICA LEAL FREITAS E SOUZA</t>
  </si>
  <si>
    <t>20192.02ALI11N.2N</t>
  </si>
  <si>
    <t>RV.TAL11</t>
  </si>
  <si>
    <t>TECNOLOGIA DE BEBIDAS</t>
  </si>
  <si>
    <t>MAYRA CONCEIçãO PEIXOTO MARTINS LIMA</t>
  </si>
  <si>
    <t>RV.TAL12</t>
  </si>
  <si>
    <t>TECNOLOGIA DE ÓLEOS E GORDURAS</t>
  </si>
  <si>
    <t>LEANDRO PEREIRA CAPPATO</t>
  </si>
  <si>
    <t>RV.TAL712</t>
  </si>
  <si>
    <t>MICROBIOLOGIA DE ALIMENTOS</t>
  </si>
  <si>
    <t>LETíCIA FLEURY VIANA</t>
  </si>
  <si>
    <t>RVTAL.82</t>
  </si>
  <si>
    <t>ANáLISE DE ALIMENTOS</t>
  </si>
  <si>
    <t>RV.TAL02</t>
  </si>
  <si>
    <t>TECNOLOGIA DE LEITE E DERIVADOS</t>
  </si>
  <si>
    <t>20192.02ALI11N.3N</t>
  </si>
  <si>
    <t>RV.TAL03</t>
  </si>
  <si>
    <t>TECNOLOGIA DE CARNES E PESCADO</t>
  </si>
  <si>
    <t>RV.TAL727</t>
  </si>
  <si>
    <t>OPERAçõES UNITáRIAS</t>
  </si>
  <si>
    <t>RAPHAELA GABRI BITENCOURT</t>
  </si>
  <si>
    <t>RV.TAL85</t>
  </si>
  <si>
    <t>TECNOLOGIA DE FRUTAS E HORTALIçAS</t>
  </si>
  <si>
    <t>RV.TAL87</t>
  </si>
  <si>
    <t>ANáLISE SENSORIAL</t>
  </si>
  <si>
    <t>RV.TAL13</t>
  </si>
  <si>
    <t>TRATAMENTO DE RESíDUOS E EFLUENTES DA INDúSTRIA DE ALIMENTOS</t>
  </si>
  <si>
    <t>20192.02ALI11N.4N</t>
  </si>
  <si>
    <t>RV.TAL14</t>
  </si>
  <si>
    <t>MéTODOS DE CONSERVAçãO DE ALIMENTOS</t>
  </si>
  <si>
    <t>RV.TAL15</t>
  </si>
  <si>
    <t>HIGIENE E LEGISLAçãO DE ALIMENTOS</t>
  </si>
  <si>
    <t>RV.TAL16</t>
  </si>
  <si>
    <t>TECNOLOGIA DE CEREAIS E PANIFICAçãO</t>
  </si>
  <si>
    <t>RV.TAL17</t>
  </si>
  <si>
    <t>EMBALAGENS E ADITIVOS</t>
  </si>
  <si>
    <t>RV.TAL717</t>
  </si>
  <si>
    <t>CONTROLE DE QUALIDADE</t>
  </si>
  <si>
    <t>GRAD.CDI.04</t>
  </si>
  <si>
    <t>CáLCULO DIFERENCIAL E INTEGRAL II</t>
  </si>
  <si>
    <t>CAIKE DA ROCHA DAMKE</t>
  </si>
  <si>
    <t>20192.02ALI20I.2M</t>
  </si>
  <si>
    <t>GRAD.DT.02</t>
  </si>
  <si>
    <t>DESENHO TéCNICO</t>
  </si>
  <si>
    <t>GRAD.FOTB.01</t>
  </si>
  <si>
    <t>FíSICA - ONDAS E TERMODINâMICA BáSICA</t>
  </si>
  <si>
    <t>SALMON LANDI JUNIOR</t>
  </si>
  <si>
    <t>GRAD.QA.02</t>
  </si>
  <si>
    <t>QUíMICA ANALíTICA</t>
  </si>
  <si>
    <t>CELSO MARTINS BELISáRIO,ROBERTA DE ALMEIDA CARVALHO</t>
  </si>
  <si>
    <t>GRAD.QO.02</t>
  </si>
  <si>
    <t>RODRIGO BRAGHIROLI</t>
  </si>
  <si>
    <t>GRAD.BA.01</t>
  </si>
  <si>
    <t>BIOQUíMICA DE ALIMENTOS</t>
  </si>
  <si>
    <t>MELISSA CáSSIA FAVARO BOLDRIN FREIRE,JESSICA LEAL FREITAS E SOUZA</t>
  </si>
  <si>
    <t>20192.02ALI20I.4V</t>
  </si>
  <si>
    <t>GRAD.CN.01</t>
  </si>
  <si>
    <t>CáLCULO NUMéRICO</t>
  </si>
  <si>
    <t>GRAD.FQ.02</t>
  </si>
  <si>
    <t>FíSICO-QUíMICA II</t>
  </si>
  <si>
    <t>JOAO CARLOS PERBONE DE SOUZA</t>
  </si>
  <si>
    <t>GRAD.FT.01</t>
  </si>
  <si>
    <t>FENôMENOS DE TRANSPORTE I</t>
  </si>
  <si>
    <t>HUGO LEONARDO SOUZA LARA LEãO</t>
  </si>
  <si>
    <t>GRAD.MICROBIOL.01</t>
  </si>
  <si>
    <t>GRAD.QA.03</t>
  </si>
  <si>
    <t>QUíMICA DE ALIMENTOS</t>
  </si>
  <si>
    <t>RV.EAL205</t>
  </si>
  <si>
    <t>FENôMENOS DE TRANSPORTE III</t>
  </si>
  <si>
    <t>ROGéRIO FAVARETO</t>
  </si>
  <si>
    <t>20192.02ALI20I.6M</t>
  </si>
  <si>
    <t>RV.EAL213</t>
  </si>
  <si>
    <t>HIGIENE INDUSTRIAL E LEGISLAçãO</t>
  </si>
  <si>
    <t>RV.EAL214</t>
  </si>
  <si>
    <t>RV.ENG209</t>
  </si>
  <si>
    <t>INSTALAçõES INDUSTRIAIS</t>
  </si>
  <si>
    <t>RV.ENG211</t>
  </si>
  <si>
    <t>RESISTêNCIA DOS MATERIAIS</t>
  </si>
  <si>
    <t>MICHELL MACEDO ALVES</t>
  </si>
  <si>
    <t>RV.INF205</t>
  </si>
  <si>
    <t>MéTODOS COMPUTACIONAIS II</t>
  </si>
  <si>
    <t>RV.EAL218</t>
  </si>
  <si>
    <t>20192.02ALI20I.8V</t>
  </si>
  <si>
    <t>RV.EAL219</t>
  </si>
  <si>
    <t>MARCO ANTôNIO PEREIRA DA SILVA</t>
  </si>
  <si>
    <t>RV.EAL221</t>
  </si>
  <si>
    <t>OPERAçõES UNITáRIAS II</t>
  </si>
  <si>
    <t>RV.EAL222</t>
  </si>
  <si>
    <t>BIOENGENHARIA</t>
  </si>
  <si>
    <t>RV.EAL230</t>
  </si>
  <si>
    <t>AUTOMAçãO, SIMULAçãO E CONTROLE</t>
  </si>
  <si>
    <t>MáRCIO DA SILVA VILELA</t>
  </si>
  <si>
    <t>GRAD.GAAL.01</t>
  </si>
  <si>
    <t>GEOMETRIA ANALíTICA E ÁLGEBRA LINEAR</t>
  </si>
  <si>
    <t>20192.02ALI20I.ESPECIAL</t>
  </si>
  <si>
    <t>GRAD.AV.03</t>
  </si>
  <si>
    <t>ANATOMIA VEGETAL</t>
  </si>
  <si>
    <t>SEBASTIãO CARVALHO VASCONCELOS FILHO,VALDNéA CASAGRANDE DALVI</t>
  </si>
  <si>
    <t>20192.02BIO22N.2N</t>
  </si>
  <si>
    <t>GRAD.FSHE.01</t>
  </si>
  <si>
    <t>FUNDAMENTOS SóCIO-HISTóRICOS DA EDUCAçãO</t>
  </si>
  <si>
    <t>PATRICIA GOUVEA NUNES</t>
  </si>
  <si>
    <t>GRAD.HISTOLOG.01</t>
  </si>
  <si>
    <t>HISTOLOGIA</t>
  </si>
  <si>
    <t>FERNANDO HENRIQUE ANTONIOLLI FARACHE</t>
  </si>
  <si>
    <t>GRAD.ZI-I.01</t>
  </si>
  <si>
    <t>ZOOLOGIA DOS INVERTEBRADOS I</t>
  </si>
  <si>
    <t>FáBIO MARTINS VILAR DE CARVALHO</t>
  </si>
  <si>
    <t>GRAD. ZV.01</t>
  </si>
  <si>
    <t>ZOOLOGIA DOS VERTEBRADOS</t>
  </si>
  <si>
    <t>JANIO CORDEIRO MOREIRA</t>
  </si>
  <si>
    <t>20192.02BIO22N.4N</t>
  </si>
  <si>
    <t>GRAD.BABP.01</t>
  </si>
  <si>
    <t>BIOLOGIA DE ALGAS, BRIóFITAS E PTERIDóFITAS</t>
  </si>
  <si>
    <t>GISELE CRISTINA DE OLIVEIRA MENINO</t>
  </si>
  <si>
    <t>GRAD.DIDáT.01</t>
  </si>
  <si>
    <t>DIDáTICA</t>
  </si>
  <si>
    <t>ROSENILDE NOGUEIRA PANIAGO</t>
  </si>
  <si>
    <t>GRAD.EG.03</t>
  </si>
  <si>
    <t>ECOLOGIA GERAL</t>
  </si>
  <si>
    <t>GRAD.FV.05</t>
  </si>
  <si>
    <t>FISIOLOGIA VEGETAL</t>
  </si>
  <si>
    <t>FERNANDA DOS SANTOS FARNESE</t>
  </si>
  <si>
    <t>RV.BIO352</t>
  </si>
  <si>
    <t>FISIOLOGIA COMPARADA DE VERTEBRADOS</t>
  </si>
  <si>
    <t>ALESSANDRO RIBEIRO DE MORAIS</t>
  </si>
  <si>
    <t>20192.02BIO22N.6N</t>
  </si>
  <si>
    <t>RV.BIO353</t>
  </si>
  <si>
    <t>GEOLOGIA E PALEONTOLOGIA</t>
  </si>
  <si>
    <t>RAFAEL MARQUES PEREIRA LEAL,FERNANDO HENRIQUE ANTONIOLLI FARACHE</t>
  </si>
  <si>
    <t>RV.BIO354</t>
  </si>
  <si>
    <t>SISTEMáTICA VEGETAL</t>
  </si>
  <si>
    <t>RV.BIO355</t>
  </si>
  <si>
    <t>MICROBIOLOGIA GERAL</t>
  </si>
  <si>
    <t>LUCIANA CRISTINA VITORINO</t>
  </si>
  <si>
    <t>RV.BIO318</t>
  </si>
  <si>
    <t>PARASITOLOGIA</t>
  </si>
  <si>
    <t>20192.02BIO22N.8N</t>
  </si>
  <si>
    <t>RV.BIO357</t>
  </si>
  <si>
    <t>IMUNOLOGIA</t>
  </si>
  <si>
    <t>RV.EDU217</t>
  </si>
  <si>
    <t>POLíTICAS PúBLICAS NA EDUCAçãO BRASILEIRA</t>
  </si>
  <si>
    <t>RV.GAM240</t>
  </si>
  <si>
    <t>EDUCAçãO AMBIENTAL</t>
  </si>
  <si>
    <t>JUAREZ MARTINS RODRIGUES</t>
  </si>
  <si>
    <t>GRAD.BB.02</t>
  </si>
  <si>
    <t>BIOSSEGURANçA E BIOéTICA</t>
  </si>
  <si>
    <t>SEBASTIãO CARVALHO VASCONCELOS FILHO</t>
  </si>
  <si>
    <t>20192.02BIO23I.2M</t>
  </si>
  <si>
    <t>GRAD.BIOESTAT.01</t>
  </si>
  <si>
    <t>BIOESTATíSTICA</t>
  </si>
  <si>
    <t>GRAD.EG.01</t>
  </si>
  <si>
    <t>GRAD.GENéT.01</t>
  </si>
  <si>
    <t>GENéTICA I</t>
  </si>
  <si>
    <t>GRAD.HISTOL.01</t>
  </si>
  <si>
    <t>GRAD.ZI.01</t>
  </si>
  <si>
    <t>LIA RAQUEL DE SOUZA SANTOS</t>
  </si>
  <si>
    <t>20192.02BIO23I.4V</t>
  </si>
  <si>
    <t>GRAD.BIOF.01</t>
  </si>
  <si>
    <t>BIOFíSICA</t>
  </si>
  <si>
    <t>GRAD.EPC.01</t>
  </si>
  <si>
    <t>ECOLOGIA DE POPULAçõES E COMUNIDADES</t>
  </si>
  <si>
    <t>GRAD.LA.01</t>
  </si>
  <si>
    <t>LEGISLAçãO AMBIENTAL</t>
  </si>
  <si>
    <t>WILKER ALVES MORAIS</t>
  </si>
  <si>
    <t>GRAD.MOV.01</t>
  </si>
  <si>
    <t>MORFOLOGIA E ORGANOGRAFIA VEGETAL</t>
  </si>
  <si>
    <t>GRAD.ZV.01</t>
  </si>
  <si>
    <t>ZOOLOGIA DOS VERTEBRADOS I</t>
  </si>
  <si>
    <t>RV.BIO206</t>
  </si>
  <si>
    <t>MICROBIOLOGIA AMBIENTAL</t>
  </si>
  <si>
    <t>20192.02BIO23I.6M</t>
  </si>
  <si>
    <t>RV.BIO213</t>
  </si>
  <si>
    <t>PAULO EDUARDO DE MENEZES SILVA</t>
  </si>
  <si>
    <t>RV.BIO316</t>
  </si>
  <si>
    <t>CONSERVAçãO E MANEJO DA BIODIVERSIDADE</t>
  </si>
  <si>
    <t>RV.BIO317</t>
  </si>
  <si>
    <t>RV.BIO347</t>
  </si>
  <si>
    <t>ANATOMIA COMPARADA DE VERTEBRADOS</t>
  </si>
  <si>
    <t>RV.EAM203</t>
  </si>
  <si>
    <t>INDICADORES DE IMPACTO AMBIENTAL</t>
  </si>
  <si>
    <t>BRUNA ELOI DO AMARAL</t>
  </si>
  <si>
    <t>RV.BIO238</t>
  </si>
  <si>
    <t>LEGISLAçãO PROFISSIONAL DO BIóLOGO</t>
  </si>
  <si>
    <t>20192.02BIO23I.8V</t>
  </si>
  <si>
    <t>RV.BIO239</t>
  </si>
  <si>
    <t>BIOGEOGRAFIA</t>
  </si>
  <si>
    <t>RV.GAM235</t>
  </si>
  <si>
    <t>SISTEMAS DE GESTãO AMBIENTAL E SéRIE ISO 14000</t>
  </si>
  <si>
    <t>GRAD.NMP.01</t>
  </si>
  <si>
    <t>NUTRIçãO MINERAL DE PLANTAS</t>
  </si>
  <si>
    <t>LUCAS ANJOS DE SOUZA</t>
  </si>
  <si>
    <t>20192.02BIO23I.ESPECIAL</t>
  </si>
  <si>
    <t>CTBIOTRV.1</t>
  </si>
  <si>
    <t>BIOLOGIA CELULAR</t>
  </si>
  <si>
    <t>20192.02BTC11N.1N</t>
  </si>
  <si>
    <t>CTBIOTRV.19</t>
  </si>
  <si>
    <t>INTRODUçãO à BIOTECNOLOGIA</t>
  </si>
  <si>
    <t>PABLO DIEGO SILVA CABRAL</t>
  </si>
  <si>
    <t>CTBIOTRV.20</t>
  </si>
  <si>
    <t>BIOSSEGURANçA</t>
  </si>
  <si>
    <t>CTBIOTRV.3</t>
  </si>
  <si>
    <t>QUíMICA GERAL E ANALíTICA</t>
  </si>
  <si>
    <t>CTBIOTRV.5</t>
  </si>
  <si>
    <t>INSTRUMENTAçãO, CONTROLE E ASSEPSIA DE BIOPROCESSOS</t>
  </si>
  <si>
    <t>CTBIOTRV.21</t>
  </si>
  <si>
    <t>20192.02BTC11N.2N</t>
  </si>
  <si>
    <t>CTBIOTRV.22</t>
  </si>
  <si>
    <t>CTBIOTRV.23</t>
  </si>
  <si>
    <t>CTBIOTRV.26</t>
  </si>
  <si>
    <t>BIOQUíMICA APLICADA</t>
  </si>
  <si>
    <t>RV.TAL607</t>
  </si>
  <si>
    <t>CTBIOTRV.10</t>
  </si>
  <si>
    <t>MICROBIOLOGIA APLICADA</t>
  </si>
  <si>
    <t>20192.02BTC11N.3N</t>
  </si>
  <si>
    <t>CTBIOTRV.13</t>
  </si>
  <si>
    <t>TECNOLOGIA GENéTICA E IMUNOLóGICA</t>
  </si>
  <si>
    <t>PABLO DIEGO SILVA CABRAL,TIAGO CARNEVALLE ROMAO</t>
  </si>
  <si>
    <t>CTBIOTRV.18</t>
  </si>
  <si>
    <t>CTBIOTRV.24</t>
  </si>
  <si>
    <t>BIOéTICA</t>
  </si>
  <si>
    <t>CTBIOTRV.25</t>
  </si>
  <si>
    <t>HISTOLOGIA E FISIOLOGIA ANIMAL</t>
  </si>
  <si>
    <t>CTBIOTRV.14</t>
  </si>
  <si>
    <t>TECNOLOGIA ENZIMáTICA E DE PROCESSOS FERMENTATIVOS INDUSTRIAIS</t>
  </si>
  <si>
    <t>20192.02BTC11N.4N</t>
  </si>
  <si>
    <t>CTBIOTRV.15</t>
  </si>
  <si>
    <t>TECNOLOGIA DE CULTIVO DE CéLULAS E TECIDOS VEGETAIS</t>
  </si>
  <si>
    <t>CTBIOTRV.16</t>
  </si>
  <si>
    <t>BIOCOMBUSTíVEIS: FUNDAMENTOS E TECNOLOGIA DE PRODUçãO</t>
  </si>
  <si>
    <t>CARLOS FREDERICO DE SOUZA CASTRO</t>
  </si>
  <si>
    <t>CTBIOTRV.17</t>
  </si>
  <si>
    <t>PROCESSOS BIOTECNOLóGICOS APLICADOS A INDúSTRIA DE ALIMENTOS E BEBIDAS</t>
  </si>
  <si>
    <t>RV.AGR424</t>
  </si>
  <si>
    <t>BIOTECNOLOGIA AMBIENTAL</t>
  </si>
  <si>
    <t>GRAD.CDI.03</t>
  </si>
  <si>
    <t>CáLCULO DIFERENCIAL E INTEGRAL I</t>
  </si>
  <si>
    <t>20192.02CDC20I.2M</t>
  </si>
  <si>
    <t>MARCIO ANTONIO FERREIRA BELO FILHO</t>
  </si>
  <si>
    <t>GRAD.LTP.01</t>
  </si>
  <si>
    <t>LINGUAGEM E TéCNICAS DE PROGRAMAçãO</t>
  </si>
  <si>
    <t>MARLUS DIAS SILVA</t>
  </si>
  <si>
    <t>GRAD.MCCC.01</t>
  </si>
  <si>
    <t>METODOLOGIA CIENTíFICA PARA CIêNCIA DA COMPUTAçãO</t>
  </si>
  <si>
    <t>FERNANDO HENRIQUE DA SILVA</t>
  </si>
  <si>
    <t>GRAD.MD.01</t>
  </si>
  <si>
    <t>MATEMáTICA DISCRETA</t>
  </si>
  <si>
    <t>GRAD.SD.01</t>
  </si>
  <si>
    <t>SISTEMAS DIGITAIS</t>
  </si>
  <si>
    <t>GRAD.ANAPROJALG.01</t>
  </si>
  <si>
    <t>ANáLISE E PROJETOS DE ALGORITMOS</t>
  </si>
  <si>
    <t>ANDRé DA CUNHA RIBEIRO</t>
  </si>
  <si>
    <t>20192.02CDC20I.4V</t>
  </si>
  <si>
    <t>GRAD.BD.01</t>
  </si>
  <si>
    <t>BANCO DE DADOS</t>
  </si>
  <si>
    <t>GRAD.ED.02</t>
  </si>
  <si>
    <t>ESTRUTURAS DE DADOS II</t>
  </si>
  <si>
    <t>HEVERTON BARROS DE MACEDO</t>
  </si>
  <si>
    <t>GRAD.PLP.01</t>
  </si>
  <si>
    <t>PRáTICA DE LABORATóRIO DE PESQUISA (AMBIENTAçãO)</t>
  </si>
  <si>
    <t>GRAD.PLP.02</t>
  </si>
  <si>
    <t>PRáTICA DE LABORATóRIO DE PESQUISA (FUNDAMENTAçãO)</t>
  </si>
  <si>
    <t>ADRIANO SOARES DE OLIVEIRA BAILãO</t>
  </si>
  <si>
    <t>GRAD.PO.01</t>
  </si>
  <si>
    <t>PESQUISA OPERACIONAL</t>
  </si>
  <si>
    <t>GRAD.RC.01</t>
  </si>
  <si>
    <t>REDES DE COMPUTADORES I</t>
  </si>
  <si>
    <t>RAFAEL CARVALHO MENDONçA</t>
  </si>
  <si>
    <t>GRAD.EE.02</t>
  </si>
  <si>
    <t>ESTATíSTICA EXPERIMENTAL</t>
  </si>
  <si>
    <t>20192.02CDC20I.6M</t>
  </si>
  <si>
    <t>RV.BCC021</t>
  </si>
  <si>
    <t>SISTEMAS OPERACIONAIS</t>
  </si>
  <si>
    <t>RV.BCC023</t>
  </si>
  <si>
    <t>COMPUTAçãO GRáFICA</t>
  </si>
  <si>
    <t>DOUGLAS CEDRIM OLIVEIRA</t>
  </si>
  <si>
    <t>RV.BCC024</t>
  </si>
  <si>
    <t>COMPILADORES</t>
  </si>
  <si>
    <t>RV.BCC038</t>
  </si>
  <si>
    <t>FUNDAMENTO DE JOGOS DIGITAIS</t>
  </si>
  <si>
    <t>RV.BCCP14</t>
  </si>
  <si>
    <t>PRáTICA DE LABORATóRIO DE PESQUISA (MATURAçãO 2)</t>
  </si>
  <si>
    <t>RV.BCC030</t>
  </si>
  <si>
    <t>SEGURANçA E AUDITORIA DE SISTEMAS</t>
  </si>
  <si>
    <t>LEONEL DIóGENES CARVALHAES ALVARENGA</t>
  </si>
  <si>
    <t>20192.02CDC20I.8V</t>
  </si>
  <si>
    <t>RV.BCC032</t>
  </si>
  <si>
    <t>PROGRAMAçãO PARALELA</t>
  </si>
  <si>
    <t>RV.BCC037</t>
  </si>
  <si>
    <t>RECUPERAçãO DA INFORMAçãO</t>
  </si>
  <si>
    <t>RV.BCCP16</t>
  </si>
  <si>
    <t>PRáTICA DE LABORATóRIO DE PESQUISA (TCC PARTE 2)</t>
  </si>
  <si>
    <t>FáBIO MONTANHA RAMOS</t>
  </si>
  <si>
    <t>GRAD.ED.01</t>
  </si>
  <si>
    <t>ESTRUTURAS DE DADOS I</t>
  </si>
  <si>
    <t>20192.02CDC20I.ESPECIAL</t>
  </si>
  <si>
    <t>20192.02CIV20I.2M</t>
  </si>
  <si>
    <t>GRAD.FE-II.01</t>
  </si>
  <si>
    <t>FíSICA EXPERIMENTAL II</t>
  </si>
  <si>
    <t>GRAD.FíSICA II.01</t>
  </si>
  <si>
    <t>GRAD.PROJARQ.01</t>
  </si>
  <si>
    <t>PROJETO ARQUITETôNICO</t>
  </si>
  <si>
    <t>BRUNA OLIVEIRA CAMPOS</t>
  </si>
  <si>
    <t>GRAD.TOPOG.01</t>
  </si>
  <si>
    <t>TOPOGRAFIA - PLANIMETRIA</t>
  </si>
  <si>
    <t>GRAD..MV.01</t>
  </si>
  <si>
    <t>MECâNICA VETORIAL</t>
  </si>
  <si>
    <t>20192.02CIV20I.4V</t>
  </si>
  <si>
    <t>GRAD.ICEM.01</t>
  </si>
  <si>
    <t>INTRODUçãO EM CIêNCIAS E ENGENHARIA DOS MATERIAIS</t>
  </si>
  <si>
    <t>ALEXSANDRO DOS SANTOS FELIPE</t>
  </si>
  <si>
    <t>GRAD.IEP.01</t>
  </si>
  <si>
    <t>INSTALAçõES ELéTRICAS PREDIAIS</t>
  </si>
  <si>
    <t>JOAO AREIS FERREIRA BARBOSA JUNIOR</t>
  </si>
  <si>
    <t>GRAD.MC.02</t>
  </si>
  <si>
    <t>GRAD.MCC- I.01</t>
  </si>
  <si>
    <t>MATERIAIS DE CONSTRUçãO CIVIL I</t>
  </si>
  <si>
    <t>BACUS DE OLIVEIRA NAHIME</t>
  </si>
  <si>
    <t>GRAD.METCOMP.01</t>
  </si>
  <si>
    <t>MéTODOS COMPUTACIONAIS</t>
  </si>
  <si>
    <t>RV.EAM212</t>
  </si>
  <si>
    <t>MEIO AMBIENTE E SUSTENTABILIDADE URBANA</t>
  </si>
  <si>
    <t>20192.02CIV20I.6M</t>
  </si>
  <si>
    <t>RV.ENG224</t>
  </si>
  <si>
    <t>HIDRáULICA II</t>
  </si>
  <si>
    <t>MARCONI BATISTA TEIXEIRA</t>
  </si>
  <si>
    <t>RV.ENG240</t>
  </si>
  <si>
    <t>TEORIA DAS ESTRUTURAS II</t>
  </si>
  <si>
    <t>RV.ENG241</t>
  </si>
  <si>
    <t>FUNDAçõES E OBRAS DE TERRA</t>
  </si>
  <si>
    <t>FLAVIO HIOCHIO SATO</t>
  </si>
  <si>
    <t>RV.ENG242</t>
  </si>
  <si>
    <t>CONSTRUçãO CIVIL II</t>
  </si>
  <si>
    <t>RV.ENG243</t>
  </si>
  <si>
    <t>GRAD.TAA.01</t>
  </si>
  <si>
    <t>TRATAMENTO DE ÁGUA DE ABASTECIMENTO</t>
  </si>
  <si>
    <t>ANDRIANE DE MELO RODRIGUES</t>
  </si>
  <si>
    <t>20192.02CIV20I.8V</t>
  </si>
  <si>
    <t>RV.EAM206</t>
  </si>
  <si>
    <t>TRATAMENTO DE ESGOTO SANITáRIO</t>
  </si>
  <si>
    <t>ÉDIO DAMáSIO DA SILVA JUNIOR</t>
  </si>
  <si>
    <t>RV.ENG248</t>
  </si>
  <si>
    <t>ESTRUTURA DE CONCRETO ARMADO II</t>
  </si>
  <si>
    <t>RV.ENG249</t>
  </si>
  <si>
    <t>PAVIMENTAçãO</t>
  </si>
  <si>
    <t>DENNER FERREIRA COSTA</t>
  </si>
  <si>
    <t>RV.ENG257</t>
  </si>
  <si>
    <t>PONTES</t>
  </si>
  <si>
    <t>RV.ENG261</t>
  </si>
  <si>
    <t>TRANSPORTES</t>
  </si>
  <si>
    <t>RV.GAM224</t>
  </si>
  <si>
    <t>GESTãO DE RESíDUOS SóLIDOS</t>
  </si>
  <si>
    <t>GRAD.FíSICA III.01</t>
  </si>
  <si>
    <t>FíSICA III</t>
  </si>
  <si>
    <t>20192.02CIV20I.ESPECIAL</t>
  </si>
  <si>
    <t>RV.ENG236</t>
  </si>
  <si>
    <t>MATERIAIS DE CONSTRUçãO II</t>
  </si>
  <si>
    <t>RV.ENG245</t>
  </si>
  <si>
    <t>ESTRUTURAS METáLICAS</t>
  </si>
  <si>
    <t>RV.ENG256</t>
  </si>
  <si>
    <t>MECâNICA DOS SOLOS II</t>
  </si>
  <si>
    <t>BRUNA VILELA BUIATTE SILVA</t>
  </si>
  <si>
    <t>RV.ADM410</t>
  </si>
  <si>
    <t>20192.02COT11N.1N</t>
  </si>
  <si>
    <t>RV.CON001</t>
  </si>
  <si>
    <t>CONTABILIDADE GERAL</t>
  </si>
  <si>
    <t>RAFAEL CRISOSTOMO ALVES</t>
  </si>
  <si>
    <t>RV.CON002</t>
  </si>
  <si>
    <t>ÉTICA PROFISSIONAL</t>
  </si>
  <si>
    <t>NAYARA STEFANY DA COSTA FERREIRA,RAFAEL CRISOSTOMO ALVES</t>
  </si>
  <si>
    <t>RV.CON003</t>
  </si>
  <si>
    <t>PROCESSOS DE CONSTITUIçãO DE EMPRESAS</t>
  </si>
  <si>
    <t>RAQUEL MARIA PRADO</t>
  </si>
  <si>
    <t>RV.ADM12</t>
  </si>
  <si>
    <t>RAQUEL MARIA PRADO,NAYARA STEFANY DA COSTA FERREIRA</t>
  </si>
  <si>
    <t>20192.02COT11N.2N</t>
  </si>
  <si>
    <t>RV.CON004</t>
  </si>
  <si>
    <t>CONTABILIDADE COMERCIAL</t>
  </si>
  <si>
    <t>RV.CON005</t>
  </si>
  <si>
    <t>PRáTICA CONTáBIL I</t>
  </si>
  <si>
    <t>RV.CON100</t>
  </si>
  <si>
    <t>CONTABILIDADE FISCAL</t>
  </si>
  <si>
    <t>RV.CON107</t>
  </si>
  <si>
    <t>CONTABILIDADE DE CUSTOS</t>
  </si>
  <si>
    <t>RúBIA CRISTINA ARANTES MARQUES</t>
  </si>
  <si>
    <t>RV.CON006</t>
  </si>
  <si>
    <t>CONTABILIDADE NãO GOVERNAMENTAL</t>
  </si>
  <si>
    <t>20192.02COT11N.3N</t>
  </si>
  <si>
    <t>RV.CON007</t>
  </si>
  <si>
    <t>PRATICA CONTáBIL II</t>
  </si>
  <si>
    <t>RV.CON008</t>
  </si>
  <si>
    <t>PLANO DE NEGóCIOS E EMPREENDEDORISMO</t>
  </si>
  <si>
    <t>RV.CON111</t>
  </si>
  <si>
    <t>CONTABILIDADE DE PESSOA FíSICA</t>
  </si>
  <si>
    <t>RV.CONT102</t>
  </si>
  <si>
    <t>CONTABILIDADE RURAL</t>
  </si>
  <si>
    <t>RúBIA CRISTINA ARANTES MARQUES,NAYARA STEFANY DA COSTA FERREIRA</t>
  </si>
  <si>
    <t>20192.02EAM20I.2M</t>
  </si>
  <si>
    <t>ADRIANO CARVALHO COSTA</t>
  </si>
  <si>
    <t>GRAD.MASU.02</t>
  </si>
  <si>
    <t>GRAD.PTUR.01</t>
  </si>
  <si>
    <t>PLANEJAMENTO TERRITORIAL URBANO E RURAL</t>
  </si>
  <si>
    <t>GRAD.QAAI.01</t>
  </si>
  <si>
    <t>QUíMICA AMBIENTAL E ANáLISES INSTRUMENTAIS</t>
  </si>
  <si>
    <t>ANA CAROLINA RIBEIRO AGUIAR</t>
  </si>
  <si>
    <t>GRAD.LA.03</t>
  </si>
  <si>
    <t>20192.02EAM20I.4V</t>
  </si>
  <si>
    <t>GRAD.MA.01</t>
  </si>
  <si>
    <t>GRAD.POLAGU.01</t>
  </si>
  <si>
    <t>POLUIçãO DA ÁGUA</t>
  </si>
  <si>
    <t>LUCAS PERES ANGELINI</t>
  </si>
  <si>
    <t>GRAD.PS.02</t>
  </si>
  <si>
    <t>POLUIçãO DO SOLO</t>
  </si>
  <si>
    <t>RAFAEL MARQUES PEREIRA LEAL</t>
  </si>
  <si>
    <t>GRAD.SEDO.01</t>
  </si>
  <si>
    <t>SéRIES E EQUAçõES DIFERENCIAIS ORDINáRIAS</t>
  </si>
  <si>
    <t>RV.EAL204</t>
  </si>
  <si>
    <t>FENôMENOS DE TRANSPORTE II</t>
  </si>
  <si>
    <t>20192.02EAM20I.6M</t>
  </si>
  <si>
    <t>RV.EAM208</t>
  </si>
  <si>
    <t>TRATAMENTO DE ÁGUAS RESIDUáRIAS INDUSTRIAIS</t>
  </si>
  <si>
    <t>RV.GAM203</t>
  </si>
  <si>
    <t>GEOPROCESSAMENTO</t>
  </si>
  <si>
    <t>20192.02EAM20I.8V</t>
  </si>
  <si>
    <t>RV.EAM207</t>
  </si>
  <si>
    <t>RV.EAM209</t>
  </si>
  <si>
    <t>MéTODOS DE REMEDIAçãO DE ÁREAS CONTAMINADAS</t>
  </si>
  <si>
    <t>RV.ENG212</t>
  </si>
  <si>
    <t>ELETRICIDADE E ELETROTéCNICA</t>
  </si>
  <si>
    <t>RV.GAM218</t>
  </si>
  <si>
    <t>RV.HUM214</t>
  </si>
  <si>
    <t>ECONOMIA E VALORAçãO AMBIENTAL</t>
  </si>
  <si>
    <t>20192.02EAM20I.ESPECIAL</t>
  </si>
  <si>
    <t>RV.GAM217</t>
  </si>
  <si>
    <t>RECUPERAçãO DE ÁREAS DEGRADADAS</t>
  </si>
  <si>
    <t>RV.DTC001</t>
  </si>
  <si>
    <t>20192.02EDI11N.1N</t>
  </si>
  <si>
    <t>RV.IMP001</t>
  </si>
  <si>
    <t>INTRODUçãO à METODOLOGIA, PESQUISA E INOVAçãO</t>
  </si>
  <si>
    <t>RV.MAP001</t>
  </si>
  <si>
    <t>RV.MAS001</t>
  </si>
  <si>
    <t>RV.MCI001</t>
  </si>
  <si>
    <t>MATERIAIS DE CONSTRUçãO I</t>
  </si>
  <si>
    <t>RV.T-PL001</t>
  </si>
  <si>
    <t>RV.MCC001</t>
  </si>
  <si>
    <t>20192.02EDI11N.2N</t>
  </si>
  <si>
    <t>RV.MSL001</t>
  </si>
  <si>
    <t>MECâNICA DOS SOLOS</t>
  </si>
  <si>
    <t>RV.PAI001</t>
  </si>
  <si>
    <t>PROJETO ARQUITETôNICO I</t>
  </si>
  <si>
    <t>RV.SE-I001</t>
  </si>
  <si>
    <t>SISTEMAS ESTRUTURAIS I</t>
  </si>
  <si>
    <t>RV.T-AL001</t>
  </si>
  <si>
    <t>RV.FDC001</t>
  </si>
  <si>
    <t>FUNDAçõES</t>
  </si>
  <si>
    <t>20192.02EDI11N.3N</t>
  </si>
  <si>
    <t>RV.PA-II001</t>
  </si>
  <si>
    <t>PROJETO ARQUITETôNICO II</t>
  </si>
  <si>
    <t>RV.PHD001</t>
  </si>
  <si>
    <t>PROJETO HIDROSSANITáRIO</t>
  </si>
  <si>
    <t>RV.SE-II001</t>
  </si>
  <si>
    <t>SISTEMAS ESTRUTURAIS II</t>
  </si>
  <si>
    <t>RV.TC-I001</t>
  </si>
  <si>
    <t>TéCNICAS CONSTRUTIVAS I</t>
  </si>
  <si>
    <t>RV.EPD002</t>
  </si>
  <si>
    <t>20192.02EDI11N.4N</t>
  </si>
  <si>
    <t>RV.GOT001</t>
  </si>
  <si>
    <t>GERENCIAMENTO E ORçAMENTO</t>
  </si>
  <si>
    <t>RV.IEC001</t>
  </si>
  <si>
    <t>INSTALAçõES ELéTRICAS</t>
  </si>
  <si>
    <t>RV.PFL001</t>
  </si>
  <si>
    <t>PROJETO FINAL</t>
  </si>
  <si>
    <t>RV.SOT001</t>
  </si>
  <si>
    <t>SEGURANçA E ORGANIZAçãO DO TRABALHO</t>
  </si>
  <si>
    <t>RV.TC-II001</t>
  </si>
  <si>
    <t>TéCNICAS CONSTRUTIVAS II</t>
  </si>
  <si>
    <t>CTEDIFRV.20</t>
  </si>
  <si>
    <t>PROJETO HIDROSSANITáRIO I</t>
  </si>
  <si>
    <t>20192.02EDI12N.6N</t>
  </si>
  <si>
    <t>CTEDIFRV.21</t>
  </si>
  <si>
    <t>CTEDIFRV.22</t>
  </si>
  <si>
    <t>CTEDIFRV.30</t>
  </si>
  <si>
    <t>MECâNICA DOS SOLOS I</t>
  </si>
  <si>
    <t>RV.PRO41</t>
  </si>
  <si>
    <t>RV.PRO51</t>
  </si>
  <si>
    <t>CTEDIFRV.25</t>
  </si>
  <si>
    <t>PROJETO HIDROSSANITáRIO II</t>
  </si>
  <si>
    <t>20192.02EDI12N.7N</t>
  </si>
  <si>
    <t>CTEDIFRV.26</t>
  </si>
  <si>
    <t>CTEDIFRV.27</t>
  </si>
  <si>
    <t>CTEDIFRV.31</t>
  </si>
  <si>
    <t>INGLêS</t>
  </si>
  <si>
    <t>CTEDIFRV.32</t>
  </si>
  <si>
    <t>RV.PRO42</t>
  </si>
  <si>
    <t>RV.PRO52</t>
  </si>
  <si>
    <t>RV.INF610</t>
  </si>
  <si>
    <t>FUNDAMENTOS DE INFORMáTICA</t>
  </si>
  <si>
    <t>20192.02INF11N.1N.-</t>
  </si>
  <si>
    <t>RV.INF618</t>
  </si>
  <si>
    <t>LóGICA DE PROGRAMAçãO</t>
  </si>
  <si>
    <t>RV.INF619</t>
  </si>
  <si>
    <t>MATEMáTICA PARA INFORMáTICA</t>
  </si>
  <si>
    <t>RV.INF92</t>
  </si>
  <si>
    <t>OPERAçãO DE COMPUTADORES</t>
  </si>
  <si>
    <t>RV.INF96</t>
  </si>
  <si>
    <t>DESENVOLVIMENTO DE INTERFACES WEB I</t>
  </si>
  <si>
    <t>RV.INF100</t>
  </si>
  <si>
    <t>METODOLOGIA DE PROJETO DE SISTEMAS</t>
  </si>
  <si>
    <t>20192.02INF11N.2N.-</t>
  </si>
  <si>
    <t>RV.INF64</t>
  </si>
  <si>
    <t>MANUTENçãO DE COMPUTADORES</t>
  </si>
  <si>
    <t>RV.INF74</t>
  </si>
  <si>
    <t>BANCOS DE DADOS</t>
  </si>
  <si>
    <t>RV.INF97</t>
  </si>
  <si>
    <t>DESENVOLVIMENTO DE INTERFACES WEB II</t>
  </si>
  <si>
    <t>RV.INF98</t>
  </si>
  <si>
    <t>PORTUGUêS PARA INFORMáTICA</t>
  </si>
  <si>
    <t>RV.INF99</t>
  </si>
  <si>
    <t>LINGUAGEM DE PROGRAMAçãO I</t>
  </si>
  <si>
    <t>20192.02INF11N.3N.-</t>
  </si>
  <si>
    <t>RV.INF61</t>
  </si>
  <si>
    <t>ÉTICA E LEGISLAçãO</t>
  </si>
  <si>
    <t>RV.INF62</t>
  </si>
  <si>
    <t>INGLêS TéCNICO PARA INFORMáTICA</t>
  </si>
  <si>
    <t>RV.INF63</t>
  </si>
  <si>
    <t>DESENVOLVIMENTO DE PROJETO FINAL I</t>
  </si>
  <si>
    <t>RV.INF85</t>
  </si>
  <si>
    <t>RV.INF94</t>
  </si>
  <si>
    <t>LINGUAGEM DE PROGRAMAçãO II</t>
  </si>
  <si>
    <t>RV.INF60</t>
  </si>
  <si>
    <t>DESENVOLVIMENTO DE PROJETO FINAL II</t>
  </si>
  <si>
    <t>20192.02INF11N.4N.-</t>
  </si>
  <si>
    <t>RV.INF88</t>
  </si>
  <si>
    <t>DESENVOLVIMENTO PARA DISPOSITIVOS MóVEIS</t>
  </si>
  <si>
    <t>RV.INF91</t>
  </si>
  <si>
    <t>REDES DE COMPUTADORES II</t>
  </si>
  <si>
    <t>20192.02QUI10N.1N</t>
  </si>
  <si>
    <t>RV.EXA723</t>
  </si>
  <si>
    <t>RV.QUI720</t>
  </si>
  <si>
    <t>QUíMICA GERAL</t>
  </si>
  <si>
    <t>RV.QUI723</t>
  </si>
  <si>
    <t>HIGIENE E SEGURANçA NO TRABALHO</t>
  </si>
  <si>
    <t>RV.QUI724</t>
  </si>
  <si>
    <t>MICROBIOLOGIA INDUSTRIAL</t>
  </si>
  <si>
    <t>RV.QUI735</t>
  </si>
  <si>
    <t>TéCNICAS DE LABORATóRIO E OTIMIZAçãO DE EXPERIMENTOS</t>
  </si>
  <si>
    <t>RV.QUI736</t>
  </si>
  <si>
    <t>EVOLUçãO DO CONCEITO DE QUíMICA</t>
  </si>
  <si>
    <t>SUZANA MARIA LOURES DE OLIVEIRA MARCIONILIO</t>
  </si>
  <si>
    <t>RV.ING412</t>
  </si>
  <si>
    <t>INGLêS INSTRUMENTAL</t>
  </si>
  <si>
    <t>20192.02QUI10N.2N</t>
  </si>
  <si>
    <t>RV.QUI725</t>
  </si>
  <si>
    <t>QUíMICA INORGâNICA</t>
  </si>
  <si>
    <t>RV.QUI726</t>
  </si>
  <si>
    <t>RV.QUI731</t>
  </si>
  <si>
    <t>QUíMICA ANALíTICA QUANTITATIVA</t>
  </si>
  <si>
    <t>RV.QUI737</t>
  </si>
  <si>
    <t>QUíMICA E DESENVOLVIMENTO TECNOLóGICO</t>
  </si>
  <si>
    <t>RV.HUM805</t>
  </si>
  <si>
    <t>20192.02QUI10N.3N</t>
  </si>
  <si>
    <t>RV.QUI124</t>
  </si>
  <si>
    <t>PROCESSOS QUíMICOS INDUSTRIAIS</t>
  </si>
  <si>
    <t>CARLOS FREDERICO DE SOUZA CASTRO,ROBERTA DE ALMEIDA CARVALHO</t>
  </si>
  <si>
    <t>RV.QUI728</t>
  </si>
  <si>
    <t>QUíMICA ANALíTICA QUALITATIVA</t>
  </si>
  <si>
    <t>POLYANA FERNANDES PEREIRA</t>
  </si>
  <si>
    <t>RV.QUI729</t>
  </si>
  <si>
    <t>FíSICO-QUíMICA</t>
  </si>
  <si>
    <t>WESLEY RENATO VIALI</t>
  </si>
  <si>
    <t>RV.QUI730</t>
  </si>
  <si>
    <t>ANáLISE INSTRUMENTAL</t>
  </si>
  <si>
    <t>ELOIZA DA SILVA NUNES</t>
  </si>
  <si>
    <t>RV.QUI733</t>
  </si>
  <si>
    <t>IMPACTOS E RISCOS AMBIENTAIS</t>
  </si>
  <si>
    <t>RV.TAL10</t>
  </si>
  <si>
    <t>GRAD.CáLCULO.01</t>
  </si>
  <si>
    <t>CáLCULO</t>
  </si>
  <si>
    <t>20192.02QUI22N.2N</t>
  </si>
  <si>
    <t>GRAD.FQ.01</t>
  </si>
  <si>
    <t>FíSICO-QUíMICA I</t>
  </si>
  <si>
    <t>GRAD.FQIE.01</t>
  </si>
  <si>
    <t>FíSICO-QUíMICA I EXPERIMENTAL</t>
  </si>
  <si>
    <t>GRAD.PAQG.01</t>
  </si>
  <si>
    <t>PRáTICAS ACADêMICAS DE QUíMICA GERAL</t>
  </si>
  <si>
    <t>GRAD.QG-II.01</t>
  </si>
  <si>
    <t>QUíMICA GERAL II</t>
  </si>
  <si>
    <t>20192.02QUI22N.4N</t>
  </si>
  <si>
    <t>GRAD.FGE-II.01</t>
  </si>
  <si>
    <t>FíSICA GERAL E EXPERIMENTAL II</t>
  </si>
  <si>
    <t>GRAD.PAQAQ.01</t>
  </si>
  <si>
    <t>PRáTICAS ACADêMICAS DE QUíMICA ANALíTICA QUALITATIVA</t>
  </si>
  <si>
    <t>GRAD.QAQ.03</t>
  </si>
  <si>
    <t>RV.EDU205</t>
  </si>
  <si>
    <t>PSICOLOGIA DA APRENDIZAGEM</t>
  </si>
  <si>
    <t>20192.02QUI22N.6N</t>
  </si>
  <si>
    <t>RV.HUM223</t>
  </si>
  <si>
    <t>EDUCAçãO E CULTURA ÉTINICO-RACIAL BRASILEIRA</t>
  </si>
  <si>
    <t>RV.QUI230</t>
  </si>
  <si>
    <t>QUíMICA INORGâNICA II</t>
  </si>
  <si>
    <t>RV.EDU208</t>
  </si>
  <si>
    <t>LIBRAS</t>
  </si>
  <si>
    <t>20192.02QUI22N.8N</t>
  </si>
  <si>
    <t>RV.EDU210</t>
  </si>
  <si>
    <t>RV.QUI220</t>
  </si>
  <si>
    <t>FíSICO-QUíMICA III</t>
  </si>
  <si>
    <t>RV.QUI235</t>
  </si>
  <si>
    <t>QUíMICA AMBIENTAL</t>
  </si>
  <si>
    <t>RV.QUI239</t>
  </si>
  <si>
    <t>FíSICO-QUíMICA EXPERIMENTAL III</t>
  </si>
  <si>
    <t>RV.QUI254</t>
  </si>
  <si>
    <t>QUíMICA FINA APLICADA</t>
  </si>
  <si>
    <t>RV.EXA203</t>
  </si>
  <si>
    <t>20192.02QUI22N.ESPECIAL</t>
  </si>
  <si>
    <t>RV.EXA222</t>
  </si>
  <si>
    <t>RV.QUI228</t>
  </si>
  <si>
    <t>QUíMICA INORGâNICA I</t>
  </si>
  <si>
    <t>20192.02QUI22N.FERIAS</t>
  </si>
  <si>
    <t>20192.02SAM21N.2N</t>
  </si>
  <si>
    <t>GRAD.HIDROLOG.01</t>
  </si>
  <si>
    <t>HIDROLOGIA</t>
  </si>
  <si>
    <t>GRAD.ER.01</t>
  </si>
  <si>
    <t>ENERGIAS RENOVáVEIS</t>
  </si>
  <si>
    <t>20192.02SAM21N.4N</t>
  </si>
  <si>
    <t>GRAD.GAP.01</t>
  </si>
  <si>
    <t>GESTãO DE ÁGUAS PLUVIAIS</t>
  </si>
  <si>
    <t>GRAD.GEOPROCESS.01</t>
  </si>
  <si>
    <t>GRAD.GRS.02</t>
  </si>
  <si>
    <t>GRAD.SP.02</t>
  </si>
  <si>
    <t>SAúDE PúBLICA</t>
  </si>
  <si>
    <t>RV.GAM208</t>
  </si>
  <si>
    <t>SISTEMAS DE TRATAMENTO DE ESGOTO</t>
  </si>
  <si>
    <t>20192.02SAM21N.6N</t>
  </si>
  <si>
    <t>RV.GAM209</t>
  </si>
  <si>
    <t>SISTEMAS DE TRATAMENTO DE ÁGUA</t>
  </si>
  <si>
    <t>RV.GAM220</t>
  </si>
  <si>
    <t>MANUTENçãO E CONTROLE DE ATERRO SANITáRIO</t>
  </si>
  <si>
    <t>RV.GAM232</t>
  </si>
  <si>
    <t>AUDITORIA E PERíCIA AMBIENTAL</t>
  </si>
  <si>
    <t>GRAD.QG.01</t>
  </si>
  <si>
    <t>20192.02SAM21N.ESPECIAL</t>
  </si>
  <si>
    <t>RV.EAM211</t>
  </si>
  <si>
    <t>RESíDUOS QUíMICOS E SóLIDOS INDUSTRIAIS</t>
  </si>
  <si>
    <t>RV.GAM236</t>
  </si>
  <si>
    <t>POLUIçãO INDUSTRIAL</t>
  </si>
  <si>
    <t>CTSTRARV.1</t>
  </si>
  <si>
    <t>SEGURANçA DO TRABALHO I</t>
  </si>
  <si>
    <t>20192.02SGT11N.1N</t>
  </si>
  <si>
    <t>CTSTRARV.2</t>
  </si>
  <si>
    <t>DIREITO DO TRABALHO I</t>
  </si>
  <si>
    <t>CTSTRARV.3</t>
  </si>
  <si>
    <t>SAúDE DO TRABALHO I</t>
  </si>
  <si>
    <t>CTSTRARV.30</t>
  </si>
  <si>
    <t>GESTãO ORGANIZACIONAL</t>
  </si>
  <si>
    <t>CTSTRARV.31</t>
  </si>
  <si>
    <t>REDAçãO TéCNICA E APRESENTAçõES ORAIS</t>
  </si>
  <si>
    <t>CTSTRARV.50</t>
  </si>
  <si>
    <t>MATEMáTICA</t>
  </si>
  <si>
    <t>CTSTRARV.32</t>
  </si>
  <si>
    <t>SEGURANçA DO TRABALHO II</t>
  </si>
  <si>
    <t>20192.02SGT11N.2N</t>
  </si>
  <si>
    <t>CTSTRARV.33</t>
  </si>
  <si>
    <t>DIREITO DO TRABALHO II</t>
  </si>
  <si>
    <t>CTSTRARV.34</t>
  </si>
  <si>
    <t>SAúDE DO TRABALHO II</t>
  </si>
  <si>
    <t>CTSTRARV.35</t>
  </si>
  <si>
    <t>TOXICOLOGIA INDUSTRIAL</t>
  </si>
  <si>
    <t>CTSTRARV.36</t>
  </si>
  <si>
    <t>HIGIENE OCUPACIONAL I</t>
  </si>
  <si>
    <t>CTSTRARV.37</t>
  </si>
  <si>
    <t>ANáLISE DE PROJETOS EM SEGURANçA DO TRABALHO</t>
  </si>
  <si>
    <t>CTSTRARV.19</t>
  </si>
  <si>
    <t>PREVENçãO E CONTROLE DE RISCO</t>
  </si>
  <si>
    <t>20192.02SGT11N.3N</t>
  </si>
  <si>
    <t>CTSTRARV.38</t>
  </si>
  <si>
    <t>HIGIENE OCUPACIONAL II</t>
  </si>
  <si>
    <t>CTSTRARV.39</t>
  </si>
  <si>
    <t>GESTãO E LEGISLAçãO AMBIENTAL I</t>
  </si>
  <si>
    <t>CTSTRARV.40</t>
  </si>
  <si>
    <t>RELAçõES HUMANAS E PSICOLOGIA DO TRABALHO</t>
  </si>
  <si>
    <t>CTSTRARV.41</t>
  </si>
  <si>
    <t>PROCESSOS INDUSTRIAIS</t>
  </si>
  <si>
    <t>CTSTRARV.42</t>
  </si>
  <si>
    <t>PREVENçãO E COMBATE A INCêNDIOS</t>
  </si>
  <si>
    <t>CTSTRARV.43</t>
  </si>
  <si>
    <t>SEGURANçA NA CONSTRUçãO CIVIL</t>
  </si>
  <si>
    <t>CTSTRARV.23</t>
  </si>
  <si>
    <t>ERGONOMIA</t>
  </si>
  <si>
    <t>20192.02SGT11N.4N</t>
  </si>
  <si>
    <t>CTSTRARV.44</t>
  </si>
  <si>
    <t>SEGURANçA DO TRABALHO RURAL</t>
  </si>
  <si>
    <t>RAFAEL MARQUES PEREIRA LEAL,MATEUS SOUZA SANTOS</t>
  </si>
  <si>
    <t>CTSTRARV.45</t>
  </si>
  <si>
    <t>BIOSSEGURANçA E BIOTéTICA</t>
  </si>
  <si>
    <t>CTSTRARV.46</t>
  </si>
  <si>
    <t>GESTãO E LEGISLAçãO AMBIENTAL II</t>
  </si>
  <si>
    <t>CTSTRARV.47</t>
  </si>
  <si>
    <t>ÉTICA DO TRABALHO</t>
  </si>
  <si>
    <t>CTSTRARV.48</t>
  </si>
  <si>
    <t>GESTãO DE QUALIDADE</t>
  </si>
  <si>
    <t>CTSTRARV.49</t>
  </si>
  <si>
    <t>PROJETO DE CURSO</t>
  </si>
  <si>
    <t>20192.02ZOO20I.2M</t>
  </si>
  <si>
    <t>GRAD.FMB.02</t>
  </si>
  <si>
    <t>FíSICA-MECâNICA BáSICA</t>
  </si>
  <si>
    <t>GRAD.GMS.02</t>
  </si>
  <si>
    <t>GRAD.IBPZ.01</t>
  </si>
  <si>
    <t>INFORMáTICA BáSICA PARA A ZOOTECNIA</t>
  </si>
  <si>
    <t>GRAD.ZOOLOGIA.01</t>
  </si>
  <si>
    <t>20192.02ZOO20I.4V</t>
  </si>
  <si>
    <t>GRAD.FA.02</t>
  </si>
  <si>
    <t>FISIOLOGIA ANIMAL</t>
  </si>
  <si>
    <t>KáTIA CYLENE GUIMARãES</t>
  </si>
  <si>
    <t>GRAD.FS.03</t>
  </si>
  <si>
    <t>GRAD.FV.03</t>
  </si>
  <si>
    <t>PAULO EDUARDO DE MENEZES SILVA,FERNANDA DOS SANTOS FARNESE</t>
  </si>
  <si>
    <t>GRAD.GENéTICA.01</t>
  </si>
  <si>
    <t>GRAD.MIA.01</t>
  </si>
  <si>
    <t>MICROBIOLOGIA E IMUNOLOGIA ANIMAL</t>
  </si>
  <si>
    <t>RV.HUM207</t>
  </si>
  <si>
    <t>ECONOMIA RURAL</t>
  </si>
  <si>
    <t>20192.02ZOO20I.6M</t>
  </si>
  <si>
    <t>RV.ZOO213</t>
  </si>
  <si>
    <t>PASTAGENS</t>
  </si>
  <si>
    <t>RV.ZOO263</t>
  </si>
  <si>
    <t>REPRODUçãO ANIMAL</t>
  </si>
  <si>
    <t>SZOOTEC-RV.11</t>
  </si>
  <si>
    <t>NUTRIçãO DE RUMINANTES</t>
  </si>
  <si>
    <t>KáTIA CYLENE GUIMARãES,TIAGO PEREIRA GUIMARãES</t>
  </si>
  <si>
    <t>SZOOTEC-RV.12</t>
  </si>
  <si>
    <t>NUTRIçãO DE NãO RUMINANTES</t>
  </si>
  <si>
    <t>SZOOTEC-RV.13</t>
  </si>
  <si>
    <t>ANA PAULA CARDOSO GOMIDE,MATEUS SOUZA SANTOS</t>
  </si>
  <si>
    <t>SZOOTEC-RV.14</t>
  </si>
  <si>
    <t>COMPORTAMENTO E BEM-ESTAR ANIMAL</t>
  </si>
  <si>
    <t>JéSSIKA  MARA MARTINS RIBEIRO,ANA PAULA CARDOSO GOMIDE</t>
  </si>
  <si>
    <t>RV.EAL228</t>
  </si>
  <si>
    <t>TECNOLOGIA DE PRODUTOS DE ORIGEM ANIMAL</t>
  </si>
  <si>
    <t>20192.02ZOO20I.8V</t>
  </si>
  <si>
    <t>RV.HUM205</t>
  </si>
  <si>
    <t>SOCIOLOGIA E EXTENSãO RURAL</t>
  </si>
  <si>
    <t>RV.ZOO217</t>
  </si>
  <si>
    <t>BOVINOCULTURA DE CORTE E BUBALINOCULTURA</t>
  </si>
  <si>
    <t>RV.ZOO225</t>
  </si>
  <si>
    <t>RV.BIO201</t>
  </si>
  <si>
    <t>MARIA ANDREIA CORREA MENDONçA,VALDNéA CASAGRANDE DALVI</t>
  </si>
  <si>
    <t>20192.02ZOO20I.ESPECIAL</t>
  </si>
  <si>
    <t>RV.EXA201</t>
  </si>
  <si>
    <t>ALINE GOBBI DUTRA,TIAGO PEREIRA GUIMARãES</t>
  </si>
  <si>
    <t>RV.QUI205</t>
  </si>
  <si>
    <t>RV.ZOO202</t>
  </si>
  <si>
    <t>ANATOMIA ANIMAL</t>
  </si>
  <si>
    <t>RV.ZOO223</t>
  </si>
  <si>
    <t>FORRAGICULTURA II</t>
  </si>
  <si>
    <t>Professores</t>
  </si>
  <si>
    <t>PROF.1</t>
  </si>
  <si>
    <t>0</t>
  </si>
  <si>
    <t>PROF.2</t>
  </si>
  <si>
    <t>PROF.3</t>
  </si>
  <si>
    <t>PROF.4</t>
  </si>
  <si>
    <t>PROF.5</t>
  </si>
  <si>
    <t>PROF.6</t>
  </si>
  <si>
    <t>PROF.7</t>
  </si>
  <si>
    <t>PROF.8</t>
  </si>
  <si>
    <t>PROF.9</t>
  </si>
  <si>
    <t>PROF.10</t>
  </si>
  <si>
    <t>MáRCIA CRISTINA PUYDINGER DE FAZIO</t>
  </si>
  <si>
    <t>PROF.11</t>
  </si>
  <si>
    <t>PROF.12</t>
  </si>
  <si>
    <t>PROF.13</t>
  </si>
  <si>
    <t>PROF.14</t>
  </si>
  <si>
    <t>PROF.15</t>
  </si>
  <si>
    <t>PROF.16</t>
  </si>
  <si>
    <t>FRANKCIONE BORGES DE ALMEIDA</t>
  </si>
  <si>
    <t>PROF.17</t>
  </si>
  <si>
    <t>PROF.18</t>
  </si>
  <si>
    <t>PROF.19</t>
  </si>
  <si>
    <t>PROF.20</t>
  </si>
  <si>
    <t>PROF.21</t>
  </si>
  <si>
    <t>PROF.22</t>
  </si>
  <si>
    <t>PROF.23</t>
  </si>
  <si>
    <t>PROF.24</t>
  </si>
  <si>
    <t>PROF.25</t>
  </si>
  <si>
    <t>PROF.26</t>
  </si>
  <si>
    <t>PROF.27</t>
  </si>
  <si>
    <t>PROF.28</t>
  </si>
  <si>
    <t>PROF.29</t>
  </si>
  <si>
    <t>PROF.30</t>
  </si>
  <si>
    <t>PROF.31</t>
  </si>
  <si>
    <t>PROF.32</t>
  </si>
  <si>
    <t>PROF.33</t>
  </si>
  <si>
    <t>PROF.34</t>
  </si>
  <si>
    <t>PROF.35</t>
  </si>
  <si>
    <t>PROF.36</t>
  </si>
  <si>
    <t>PROF.37</t>
  </si>
  <si>
    <t>PROF.38</t>
  </si>
  <si>
    <t>PROF.39</t>
  </si>
  <si>
    <t>PROF.40</t>
  </si>
  <si>
    <t>PROF.41</t>
  </si>
  <si>
    <t>PROF.42</t>
  </si>
  <si>
    <t>PROF.43</t>
  </si>
  <si>
    <t>PROF.44</t>
  </si>
  <si>
    <t>PROF.45</t>
  </si>
  <si>
    <t>PROF.46</t>
  </si>
  <si>
    <t>PROF.47</t>
  </si>
  <si>
    <t>PROF.48</t>
  </si>
  <si>
    <t>PROF.49</t>
  </si>
  <si>
    <t>PROF.50</t>
  </si>
  <si>
    <t>PROF.51</t>
  </si>
  <si>
    <t>PROF.52</t>
  </si>
  <si>
    <t>PROF.53</t>
  </si>
  <si>
    <t>PROF.54</t>
  </si>
  <si>
    <t>PROF.55</t>
  </si>
  <si>
    <t>PROF.56</t>
  </si>
  <si>
    <t>PROF.57</t>
  </si>
  <si>
    <t>PROF.58</t>
  </si>
  <si>
    <t>PROF.59</t>
  </si>
  <si>
    <t>PROF.60</t>
  </si>
  <si>
    <t>PROF.61</t>
  </si>
  <si>
    <t>PROF.62</t>
  </si>
  <si>
    <t>PROF.63</t>
  </si>
  <si>
    <t>PROF.64</t>
  </si>
  <si>
    <t>PROF.65</t>
  </si>
  <si>
    <t>PROF.66</t>
  </si>
  <si>
    <t>PROF.67</t>
  </si>
  <si>
    <t>PROF.68</t>
  </si>
  <si>
    <t>PROF.69</t>
  </si>
  <si>
    <t>PROF.70</t>
  </si>
  <si>
    <t>PROF.71</t>
  </si>
  <si>
    <t>PROF.72</t>
  </si>
  <si>
    <t>PROF.73</t>
  </si>
  <si>
    <t>PROF.74</t>
  </si>
  <si>
    <t>PROF.75</t>
  </si>
  <si>
    <t>PROF.76</t>
  </si>
  <si>
    <t>PROF.77</t>
  </si>
  <si>
    <t>PROF.78</t>
  </si>
  <si>
    <t>PROF.79</t>
  </si>
  <si>
    <t>PROF.80</t>
  </si>
  <si>
    <t>PROF.81</t>
  </si>
  <si>
    <t>PROF.82</t>
  </si>
  <si>
    <t>PROF.83</t>
  </si>
  <si>
    <t>PROF.84</t>
  </si>
  <si>
    <t>PROF.85</t>
  </si>
  <si>
    <t>PROF.86</t>
  </si>
  <si>
    <t>PROF.87</t>
  </si>
  <si>
    <t>PROF.88</t>
  </si>
  <si>
    <t>PROF.89</t>
  </si>
  <si>
    <t>PROF.90</t>
  </si>
  <si>
    <t>PROF.91</t>
  </si>
  <si>
    <t>PROF.92</t>
  </si>
  <si>
    <t>PROF.93</t>
  </si>
  <si>
    <t>PROF.94</t>
  </si>
  <si>
    <t>PROF.95</t>
  </si>
  <si>
    <t>PROF.96</t>
  </si>
  <si>
    <t>PROF.97</t>
  </si>
  <si>
    <t>PROF.98</t>
  </si>
  <si>
    <t>PROF.99</t>
  </si>
  <si>
    <t>PROF.100</t>
  </si>
  <si>
    <t>PROF.101</t>
  </si>
  <si>
    <t>PROF.102</t>
  </si>
  <si>
    <t>PROF.103</t>
  </si>
  <si>
    <t>PROF.104</t>
  </si>
  <si>
    <t>PROF.105</t>
  </si>
  <si>
    <t>PROF.106</t>
  </si>
  <si>
    <t>PROF.107</t>
  </si>
  <si>
    <t>PROF.108</t>
  </si>
  <si>
    <t>PROF.109</t>
  </si>
  <si>
    <t>PROF.110</t>
  </si>
  <si>
    <t>PROF.111</t>
  </si>
  <si>
    <t>PROF.112</t>
  </si>
  <si>
    <t>PROF.113</t>
  </si>
  <si>
    <t>PROF.114</t>
  </si>
  <si>
    <t>PROF.115</t>
  </si>
  <si>
    <t>PROF.116</t>
  </si>
  <si>
    <t>PROF.117</t>
  </si>
  <si>
    <t>PROF.118</t>
  </si>
  <si>
    <t>PROF.119</t>
  </si>
  <si>
    <t>PROF.120</t>
  </si>
  <si>
    <t>PROF.121</t>
  </si>
  <si>
    <t>PROF.122</t>
  </si>
  <si>
    <t>PROF.123</t>
  </si>
  <si>
    <t>PROF.124</t>
  </si>
  <si>
    <t>PROF.125</t>
  </si>
  <si>
    <t>PROF.126</t>
  </si>
  <si>
    <t>PROF.127</t>
  </si>
  <si>
    <t>PROF.128</t>
  </si>
  <si>
    <t>PROF.129</t>
  </si>
  <si>
    <t>PROF.130</t>
  </si>
  <si>
    <t>PROF.131</t>
  </si>
  <si>
    <t>PROF.132</t>
  </si>
  <si>
    <t>PROF.133</t>
  </si>
  <si>
    <t>PROF.134</t>
  </si>
  <si>
    <t>NAYARA STEFANY DA COSTA FERREIRA</t>
  </si>
  <si>
    <t>PROF.135</t>
  </si>
  <si>
    <t>PROF.136</t>
  </si>
  <si>
    <t>PROF.137</t>
  </si>
  <si>
    <t>PROF.138</t>
  </si>
  <si>
    <t>PROF.139</t>
  </si>
  <si>
    <t>PROF.140</t>
  </si>
  <si>
    <t>PROF.141</t>
  </si>
  <si>
    <t>PROF.142</t>
  </si>
  <si>
    <t>PROF.143</t>
  </si>
  <si>
    <t>PROF.144</t>
  </si>
  <si>
    <t>PROF.145</t>
  </si>
  <si>
    <t>MARISTELA SILVESTRE SILVA</t>
  </si>
  <si>
    <t>PROF.146</t>
  </si>
  <si>
    <t>VIVIANE DE FáTIMA CARDOSO OLIVEIRA</t>
  </si>
  <si>
    <t>PROF.147</t>
  </si>
  <si>
    <t>SIMONE DE PAULA LEMES</t>
  </si>
  <si>
    <t>PROF.148</t>
  </si>
  <si>
    <t>ANDREZA ALVES VIEIRA</t>
  </si>
  <si>
    <t>PROF.149</t>
  </si>
  <si>
    <t>THOMAZ JOEZER HERLER</t>
  </si>
  <si>
    <t>PROF.150</t>
  </si>
  <si>
    <t>KELEN HELENA DE OLIVEIRA</t>
  </si>
  <si>
    <t>PROF.151</t>
  </si>
  <si>
    <t>BRUNO BOTELHO SALEH</t>
  </si>
  <si>
    <t>PROF.152</t>
  </si>
  <si>
    <t>FABIANA RAMOS DOS SANTOS</t>
  </si>
  <si>
    <t>PROF.153</t>
  </si>
  <si>
    <t>DAVID VIEIRA LIMA</t>
  </si>
  <si>
    <t>PROF.154</t>
  </si>
  <si>
    <t>ANDRé LUIZ BORGES MACHADO</t>
  </si>
  <si>
    <t>PROF.155</t>
  </si>
  <si>
    <t>CRISTIANE ALVARENGA GAJO</t>
  </si>
  <si>
    <t>PROF.156</t>
  </si>
  <si>
    <t>INDI ASSIS RODRIGUES</t>
  </si>
  <si>
    <t>PROF.157</t>
  </si>
  <si>
    <t>VALDNéA CASAGRANDE DALVI</t>
  </si>
  <si>
    <t>PROF.158</t>
  </si>
  <si>
    <t>LUIS HENRIQUE DA SILVA IGNACIO</t>
  </si>
  <si>
    <t>PROF.159</t>
  </si>
  <si>
    <t>LORENA ARAUJO SILVA</t>
  </si>
  <si>
    <t>PROF.160</t>
  </si>
  <si>
    <t>FABRICIO LOPES PAULA</t>
  </si>
  <si>
    <t>PROF.161</t>
  </si>
  <si>
    <t>FRANCISCO JOSE RIVERA PINEDO</t>
  </si>
  <si>
    <t>PROF.162</t>
  </si>
  <si>
    <t>JOCELY GOMES DE SOUZA</t>
  </si>
  <si>
    <t>PROF.163</t>
  </si>
  <si>
    <t>PRISCILA FERREIRA BATISTA</t>
  </si>
  <si>
    <t>PROF.164</t>
  </si>
  <si>
    <t>Cursos</t>
  </si>
  <si>
    <t>Tipo</t>
  </si>
  <si>
    <t>Turmas</t>
  </si>
  <si>
    <t>ADM.BC</t>
  </si>
  <si>
    <t>Administração</t>
  </si>
  <si>
    <t>Bacharelado</t>
  </si>
  <si>
    <t>13-16</t>
  </si>
  <si>
    <t>1-16</t>
  </si>
  <si>
    <t>AGNG.TL</t>
  </si>
  <si>
    <t>Agronegócio</t>
  </si>
  <si>
    <t>Tecnólogo</t>
  </si>
  <si>
    <t>1-12</t>
  </si>
  <si>
    <t>AGRO.BC</t>
  </si>
  <si>
    <t>Agronomia</t>
  </si>
  <si>
    <t>BCC.BC</t>
  </si>
  <si>
    <t>Ciência da Computação</t>
  </si>
  <si>
    <t>BIO.BC</t>
  </si>
  <si>
    <t>Ciências Biológicas (bacharelado)</t>
  </si>
  <si>
    <t>BIO.LI</t>
  </si>
  <si>
    <t>Ciências Biológicas (licenciatura)</t>
  </si>
  <si>
    <t>Licenciatura</t>
  </si>
  <si>
    <t>ENG.AMB</t>
  </si>
  <si>
    <t>Engenharia Ambiental</t>
  </si>
  <si>
    <t>ENG.ALI</t>
  </si>
  <si>
    <t>Engenharia de Alimentos</t>
  </si>
  <si>
    <t>ENG.CIV</t>
  </si>
  <si>
    <t>Engenharia Civil</t>
  </si>
  <si>
    <t>ENG.QUI</t>
  </si>
  <si>
    <t>Engenharia Química</t>
  </si>
  <si>
    <t>QUIM.LI</t>
  </si>
  <si>
    <t>Química</t>
  </si>
  <si>
    <t>SA.TL</t>
  </si>
  <si>
    <t>Saneamento Ambiental</t>
  </si>
  <si>
    <t>ZOO.TL</t>
  </si>
  <si>
    <t>Zootecnia</t>
  </si>
  <si>
    <t>ADM.TEC</t>
  </si>
  <si>
    <t>Técnico em Administração</t>
  </si>
  <si>
    <t>Técnico</t>
  </si>
  <si>
    <t>AGRO.TEC</t>
  </si>
  <si>
    <t>Técnico em Agropecuária</t>
  </si>
  <si>
    <t>ALI.TEC</t>
  </si>
  <si>
    <t>Técnico em Alimentos</t>
  </si>
  <si>
    <t>BIO.TEC</t>
  </si>
  <si>
    <t>Técnico em Biotecnologia</t>
  </si>
  <si>
    <t>CONT.TEC</t>
  </si>
  <si>
    <t>Técnico em Contabilidade</t>
  </si>
  <si>
    <t>EDI.TEC</t>
  </si>
  <si>
    <t>Técnico em Edificações</t>
  </si>
  <si>
    <t>INFO.TEC</t>
  </si>
  <si>
    <t>Técnico em Informática</t>
  </si>
  <si>
    <t>QUIM.TEC</t>
  </si>
  <si>
    <t>Técnico em Química</t>
  </si>
  <si>
    <t>SEG.TEC</t>
  </si>
  <si>
    <t>Técnico em Segurança do Trabalho</t>
  </si>
  <si>
    <t>PROEJA.ADM</t>
  </si>
  <si>
    <t>PROEJA Adminstração</t>
  </si>
  <si>
    <t>PROEJA</t>
  </si>
  <si>
    <t>PROEJA.EDI</t>
  </si>
  <si>
    <t>PROEJA Edificações</t>
  </si>
  <si>
    <t>AVULSO</t>
  </si>
  <si>
    <t>Turmas Especiais</t>
  </si>
  <si>
    <t>Curso</t>
  </si>
  <si>
    <t xml:space="preserve">Periodo </t>
  </si>
  <si>
    <t>Noite</t>
  </si>
  <si>
    <t>Tarde</t>
  </si>
  <si>
    <t>Manhã</t>
  </si>
  <si>
    <t>Integral</t>
  </si>
  <si>
    <t>Nome</t>
  </si>
  <si>
    <t>Capacidade</t>
  </si>
  <si>
    <t>É Lab?</t>
  </si>
  <si>
    <t>SL.RV.01</t>
  </si>
  <si>
    <t>Sala 01</t>
  </si>
  <si>
    <t>Não</t>
  </si>
  <si>
    <t>SL.RV.02</t>
  </si>
  <si>
    <t>Sala 02</t>
  </si>
  <si>
    <t>SL.RV.03</t>
  </si>
  <si>
    <t>Sala 03</t>
  </si>
  <si>
    <t>SL.RV.04</t>
  </si>
  <si>
    <t>Sala 04</t>
  </si>
  <si>
    <t>SL.RV.05</t>
  </si>
  <si>
    <t>Sala 05</t>
  </si>
  <si>
    <t>SL.RV.06</t>
  </si>
  <si>
    <t>Sala 06</t>
  </si>
  <si>
    <t>SL.RV.07</t>
  </si>
  <si>
    <t>Sala 07</t>
  </si>
  <si>
    <t>SL.RV.08</t>
  </si>
  <si>
    <t>Sala 07-A</t>
  </si>
  <si>
    <t>SL.RV.09</t>
  </si>
  <si>
    <t>Sala 08</t>
  </si>
  <si>
    <t>SL.RV.10</t>
  </si>
  <si>
    <t>Sala 08-A</t>
  </si>
  <si>
    <t>SL.RV.11</t>
  </si>
  <si>
    <t>Sala 08-B</t>
  </si>
  <si>
    <t>SL.RV.12</t>
  </si>
  <si>
    <t>Sala 08-C</t>
  </si>
  <si>
    <t>SL.RV.13</t>
  </si>
  <si>
    <t>Sala 08-D</t>
  </si>
  <si>
    <t>SL.RV.14</t>
  </si>
  <si>
    <t>Sala 09</t>
  </si>
  <si>
    <t>SL.RV.15</t>
  </si>
  <si>
    <t>Sala 10</t>
  </si>
  <si>
    <t>SL.RV.16</t>
  </si>
  <si>
    <t>Sala 10-A</t>
  </si>
  <si>
    <t>SL.RV.17</t>
  </si>
  <si>
    <t>Sala 10-B</t>
  </si>
  <si>
    <t>SL.RV.18</t>
  </si>
  <si>
    <t>Sala 11</t>
  </si>
  <si>
    <t>SL.RV.19</t>
  </si>
  <si>
    <t>Sala 12</t>
  </si>
  <si>
    <t>SL.RV.20</t>
  </si>
  <si>
    <t>Sala 13</t>
  </si>
  <si>
    <t>SL.RV.21</t>
  </si>
  <si>
    <t>Sala 15</t>
  </si>
  <si>
    <t>SL.RV.22</t>
  </si>
  <si>
    <t>Sala 16</t>
  </si>
  <si>
    <t>SL.RV.23</t>
  </si>
  <si>
    <t>Sala 17</t>
  </si>
  <si>
    <t>SL.RV.24</t>
  </si>
  <si>
    <t>Sala 18</t>
  </si>
  <si>
    <t>SL.RV.25</t>
  </si>
  <si>
    <t>Sala 19</t>
  </si>
  <si>
    <t>SL.RV.26</t>
  </si>
  <si>
    <t>Sala 20</t>
  </si>
  <si>
    <t>SL.RV.27</t>
  </si>
  <si>
    <t>Sala 21</t>
  </si>
  <si>
    <t>SL.RV.28</t>
  </si>
  <si>
    <t>Sala 22</t>
  </si>
  <si>
    <t>SL.RV.29</t>
  </si>
  <si>
    <t>Sala 23</t>
  </si>
  <si>
    <t>SL.RV.30</t>
  </si>
  <si>
    <t>Sala 24</t>
  </si>
  <si>
    <t>SL.RV.31</t>
  </si>
  <si>
    <t>Sala 25</t>
  </si>
  <si>
    <t>SL.RV.32</t>
  </si>
  <si>
    <t>Sala 26</t>
  </si>
  <si>
    <t>SL.RV.33</t>
  </si>
  <si>
    <t>Sala 27</t>
  </si>
  <si>
    <t>SL.RV.34</t>
  </si>
  <si>
    <t>Sala 28</t>
  </si>
  <si>
    <t>SL.RV.35</t>
  </si>
  <si>
    <t>Sala 29</t>
  </si>
  <si>
    <t>SL.RV.36</t>
  </si>
  <si>
    <t>Sala 30</t>
  </si>
  <si>
    <t>SL.RV.37</t>
  </si>
  <si>
    <t>Sala 31</t>
  </si>
  <si>
    <t>SL.RV.38</t>
  </si>
  <si>
    <t>Sala 32</t>
  </si>
  <si>
    <t>SL.RV.39</t>
  </si>
  <si>
    <t>Sala 33</t>
  </si>
  <si>
    <t>SL.RV.40</t>
  </si>
  <si>
    <t>Sala 34</t>
  </si>
  <si>
    <t>SL.RV.41</t>
  </si>
  <si>
    <t>Sala 35</t>
  </si>
  <si>
    <t>SL.RV.42</t>
  </si>
  <si>
    <t>Sala 36</t>
  </si>
  <si>
    <t>SL.RV.43</t>
  </si>
  <si>
    <t>Sala 37</t>
  </si>
  <si>
    <t>SL.RV.44</t>
  </si>
  <si>
    <t>Sala 38</t>
  </si>
  <si>
    <t>SL.RV.45</t>
  </si>
  <si>
    <t>Sala 39</t>
  </si>
  <si>
    <t>SL.RV.46</t>
  </si>
  <si>
    <t>Sala 40</t>
  </si>
  <si>
    <t>SL.RV.47</t>
  </si>
  <si>
    <t>Sala 42</t>
  </si>
  <si>
    <t>SL.RV.48</t>
  </si>
  <si>
    <t>Sala 43</t>
  </si>
  <si>
    <t>SL.RV.49</t>
  </si>
  <si>
    <t>Sala 44</t>
  </si>
  <si>
    <t>SL.RV.50</t>
  </si>
  <si>
    <t>Sala 45</t>
  </si>
  <si>
    <t>SL.RV.51</t>
  </si>
  <si>
    <t>Sala 46</t>
  </si>
  <si>
    <t>INFO.RV.01</t>
  </si>
  <si>
    <t>Lab Info 1</t>
  </si>
  <si>
    <t>Sim</t>
  </si>
  <si>
    <t>INFO.RV.02</t>
  </si>
  <si>
    <t>Lab Info 2</t>
  </si>
  <si>
    <t>INFO.RV.03</t>
  </si>
  <si>
    <t>Lab Info 3</t>
  </si>
  <si>
    <t>INFO.RV.04</t>
  </si>
  <si>
    <t>Lab Info 4</t>
  </si>
  <si>
    <t>INFO.RV.05</t>
  </si>
  <si>
    <t>Lab Info 5</t>
  </si>
  <si>
    <t>INFO.RV.06</t>
  </si>
  <si>
    <t>Lab Info 6</t>
  </si>
  <si>
    <t>INFO.RV.07</t>
  </si>
  <si>
    <t>Lab Hardware</t>
  </si>
  <si>
    <t>LAB.RV.01</t>
  </si>
  <si>
    <t>LABIG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</si>
</sst>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Inconsolata"/>
    </font>
    <font>
      <color theme="1"/>
      <name val="Calibri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9CC2E5"/>
        <bgColor rgb="FF9CC2E5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6" fontId="1" numFmtId="0" xfId="0" applyAlignment="1" applyBorder="1" applyFill="1" applyFont="1">
      <alignment horizontal="left" readingOrder="0"/>
    </xf>
    <xf borderId="1" fillId="7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Alignment="1" applyBorder="1" applyFont="1">
      <alignment horizontal="left" readingOrder="0"/>
    </xf>
    <xf borderId="1" fillId="6" fontId="2" numFmtId="0" xfId="0" applyAlignment="1" applyBorder="1" applyFont="1">
      <alignment horizontal="left" readingOrder="0"/>
    </xf>
    <xf borderId="1" fillId="7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0" numFmtId="49" xfId="0" applyFont="1" applyNumberFormat="1"/>
    <xf borderId="1" fillId="3" fontId="3" numFmtId="0" xfId="0" applyAlignment="1" applyBorder="1" applyFont="1">
      <alignment readingOrder="0"/>
    </xf>
    <xf borderId="1" fillId="8" fontId="2" numFmtId="0" xfId="0" applyAlignment="1" applyBorder="1" applyFill="1" applyFont="1">
      <alignment horizontal="left" readingOrder="0"/>
    </xf>
    <xf borderId="1" fillId="8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5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1" fillId="7" fontId="1" numFmtId="49" xfId="0" applyAlignment="1" applyBorder="1" applyFont="1" applyNumberFormat="1">
      <alignment vertical="bottom"/>
    </xf>
    <xf borderId="1" fillId="4" fontId="4" numFmtId="0" xfId="0" applyBorder="1" applyFont="1"/>
    <xf borderId="1" fillId="7" fontId="2" numFmtId="49" xfId="0" applyAlignment="1" applyBorder="1" applyFont="1" applyNumberFormat="1">
      <alignment vertical="bottom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vertical="bottom"/>
    </xf>
    <xf borderId="1" fillId="0" fontId="6" numFmtId="0" xfId="0" applyAlignment="1" applyBorder="1" applyFont="1">
      <alignment horizontal="left" vertical="bottom"/>
    </xf>
    <xf borderId="1" fillId="0" fontId="6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1" fillId="9" fontId="6" numFmtId="0" xfId="0" applyAlignment="1" applyBorder="1" applyFill="1" applyFont="1">
      <alignment horizontal="left"/>
    </xf>
    <xf borderId="0" fillId="10" fontId="1" numFmtId="49" xfId="0" applyFill="1" applyFont="1" applyNumberFormat="1"/>
    <xf borderId="1" fillId="11" fontId="1" numFmtId="49" xfId="0" applyBorder="1" applyFill="1" applyFont="1" applyNumberFormat="1"/>
    <xf borderId="1" fillId="0" fontId="1" numFmtId="49" xfId="0" applyBorder="1" applyFont="1" applyNumberFormat="1"/>
    <xf borderId="1" fillId="4" fontId="1" numFmtId="49" xfId="0" applyBorder="1" applyFont="1" applyNumberFormat="1"/>
    <xf borderId="0" fillId="0" fontId="2" numFmtId="49" xfId="0" applyAlignment="1" applyFont="1" applyNumberFormat="1">
      <alignment vertical="bottom"/>
    </xf>
    <xf borderId="1" fillId="10" fontId="5" numFmtId="49" xfId="0" applyAlignment="1" applyBorder="1" applyFont="1" applyNumberFormat="1">
      <alignment readingOrder="0"/>
    </xf>
    <xf borderId="1" fillId="11" fontId="2" numFmtId="49" xfId="0" applyAlignment="1" applyBorder="1" applyFont="1" applyNumberFormat="1">
      <alignment readingOrder="0"/>
    </xf>
    <xf borderId="1" fillId="4" fontId="4" numFmtId="0" xfId="0" applyAlignment="1" applyBorder="1" applyFont="1">
      <alignment shrinkToFit="0" wrapText="0"/>
    </xf>
    <xf borderId="1" fillId="10" fontId="2" numFmtId="0" xfId="0" applyAlignment="1" applyBorder="1" applyFont="1">
      <alignment readingOrder="0"/>
    </xf>
    <xf borderId="1" fillId="10" fontId="2" numFmtId="49" xfId="0" applyAlignment="1" applyBorder="1" applyFont="1" applyNumberFormat="1">
      <alignment readingOrder="0"/>
    </xf>
    <xf borderId="1" fillId="10" fontId="6" numFmtId="49" xfId="0" applyAlignment="1" applyBorder="1" applyFont="1" applyNumberFormat="1">
      <alignment readingOrder="0" vertical="bottom"/>
    </xf>
    <xf borderId="1" fillId="0" fontId="6" numFmtId="49" xfId="0" applyAlignment="1" applyBorder="1" applyFont="1" applyNumberFormat="1">
      <alignment readingOrder="0" vertical="bottom"/>
    </xf>
    <xf borderId="1" fillId="11" fontId="6" numFmtId="49" xfId="0" applyAlignment="1" applyBorder="1" applyFont="1" applyNumberFormat="1">
      <alignment readingOrder="0" vertical="bottom"/>
    </xf>
    <xf borderId="1" fillId="10" fontId="2" numFmtId="49" xfId="0" applyAlignment="1" applyBorder="1" applyFont="1" applyNumberFormat="1">
      <alignment readingOrder="0" vertical="bottom"/>
    </xf>
    <xf borderId="1" fillId="11" fontId="2" numFmtId="49" xfId="0" applyAlignment="1" applyBorder="1" applyFont="1" applyNumberFormat="1">
      <alignment readingOrder="0" vertical="bottom"/>
    </xf>
    <xf borderId="1" fillId="0" fontId="2" numFmtId="49" xfId="0" applyAlignment="1" applyBorder="1" applyFont="1" applyNumberFormat="1">
      <alignment readingOrder="0" vertical="bottom"/>
    </xf>
    <xf borderId="1" fillId="11" fontId="5" numFmtId="0" xfId="0" applyAlignment="1" applyBorder="1" applyFont="1">
      <alignment readingOrder="0"/>
    </xf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  <xf borderId="1" fillId="0" fontId="2" numFmtId="49" xfId="0" applyBorder="1" applyFont="1" applyNumberFormat="1"/>
    <xf borderId="1" fillId="0" fontId="5" numFmtId="0" xfId="0" applyBorder="1" applyFont="1"/>
    <xf borderId="1" fillId="0" fontId="2" numFmtId="49" xfId="0" applyAlignment="1" applyBorder="1" applyFont="1" applyNumberFormat="1">
      <alignment vertical="bottom"/>
    </xf>
    <xf borderId="1" fillId="0" fontId="6" numFmtId="49" xfId="0" applyAlignment="1" applyBorder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5.43"/>
    <col customWidth="1" min="2" max="2" width="61.57"/>
    <col customWidth="1" min="3" max="3" width="54.14"/>
    <col customWidth="1" min="4" max="4" width="19.0"/>
    <col customWidth="1" min="5" max="5" width="10.86"/>
    <col customWidth="1" min="6" max="6" width="11.0"/>
    <col customWidth="1" min="7" max="7" width="9.14"/>
    <col customWidth="1" min="8" max="8" width="7.29"/>
    <col customWidth="1" min="9" max="14" width="9.29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5"/>
      <c r="P1" s="5"/>
      <c r="Q1" s="5"/>
      <c r="R1" s="5"/>
      <c r="S1" s="5"/>
      <c r="T1" s="5"/>
      <c r="U1" s="5"/>
      <c r="V1" s="5"/>
      <c r="W1" s="5"/>
    </row>
    <row r="2" ht="14.25" customHeight="1">
      <c r="A2" s="9" t="s">
        <v>14</v>
      </c>
      <c r="B2" s="10" t="s">
        <v>15</v>
      </c>
      <c r="C2" s="11" t="s">
        <v>16</v>
      </c>
      <c r="D2" s="12" t="s">
        <v>17</v>
      </c>
      <c r="E2" s="13" t="str">
        <f t="array" ref="E2">INDEX(Turmas!C2:C103,MATCH(D2,Turmas!A2:A104,0))</f>
        <v>Noite</v>
      </c>
      <c r="F2" s="14">
        <v>40.0</v>
      </c>
      <c r="G2" s="15">
        <v>3.0</v>
      </c>
      <c r="H2" s="15">
        <v>0.0</v>
      </c>
      <c r="I2" s="16" t="str">
        <f t="shared" ref="I2:I575" si="1">ifs(E2 = "Manhã", "7-16", E2 = "Tarde", "1-6,13-16", E2 = "Noite", "1-12", E2 = "Integral", "13-16")</f>
        <v>1-12</v>
      </c>
      <c r="J2" s="16" t="str">
        <f t="shared" ref="J2:J575" si="2">ifs(E2 = "Manhã", "7-16", E2 = "Tarde", "1-6,13-16", E2 = "Noite", "1-12", E2 = "Integral", "13-16")</f>
        <v>1-12</v>
      </c>
      <c r="K2" s="16" t="str">
        <f t="shared" ref="K2:K575" si="3">ifs(E2 = "Manhã", "7-16", E2 = "Tarde", "1-6,13-16", E2 = "Noite", "1-12", E2 = "Integral", "13-16")</f>
        <v>1-12</v>
      </c>
      <c r="L2" s="16" t="str">
        <f t="shared" ref="L2:L575" si="4">ifs(E2 = "Manhã", "7-16", E2 = "Tarde", "1-6,13-16", E2 = "Noite", "1-12", E2 = "Integral", "13-16")</f>
        <v>1-12</v>
      </c>
      <c r="M2" s="16" t="str">
        <f t="shared" ref="M2:M575" si="5">ifs(E2 = "Manhã", "7-16", E2 = "Tarde", "1-6,13-16", E2 = "Noite", "1-12", E2 = "Integral", "13-16")</f>
        <v>1-12</v>
      </c>
      <c r="N2" s="16" t="str">
        <f t="shared" ref="N2:N575" si="6">ifs(E2 = "Manhã", "1-16", E2 = "Tarde", "1-16", E2 = "Noite", "0", E2 = "Integral", "1-16")</f>
        <v>0</v>
      </c>
      <c r="O2" s="17"/>
      <c r="P2" s="17"/>
      <c r="Q2" s="17"/>
      <c r="R2" s="17"/>
      <c r="S2" s="17"/>
      <c r="T2" s="17"/>
      <c r="U2" s="17"/>
      <c r="V2" s="17"/>
      <c r="W2" s="17"/>
    </row>
    <row r="3" ht="14.25" customHeight="1">
      <c r="A3" s="9" t="s">
        <v>18</v>
      </c>
      <c r="B3" s="10" t="s">
        <v>19</v>
      </c>
      <c r="C3" s="11" t="s">
        <v>16</v>
      </c>
      <c r="D3" s="12" t="s">
        <v>17</v>
      </c>
      <c r="E3" s="13" t="str">
        <f t="array" ref="E3">INDEX(Turmas!C2:C103,MATCH(D3,Turmas!A2:A103,0))</f>
        <v>Noite</v>
      </c>
      <c r="F3" s="14">
        <v>40.0</v>
      </c>
      <c r="G3" s="15">
        <v>3.0</v>
      </c>
      <c r="H3" s="15">
        <v>0.0</v>
      </c>
      <c r="I3" s="16" t="str">
        <f t="shared" si="1"/>
        <v>1-12</v>
      </c>
      <c r="J3" s="16" t="str">
        <f t="shared" si="2"/>
        <v>1-12</v>
      </c>
      <c r="K3" s="16" t="str">
        <f t="shared" si="3"/>
        <v>1-12</v>
      </c>
      <c r="L3" s="16" t="str">
        <f t="shared" si="4"/>
        <v>1-12</v>
      </c>
      <c r="M3" s="16" t="str">
        <f t="shared" si="5"/>
        <v>1-12</v>
      </c>
      <c r="N3" s="16" t="str">
        <f t="shared" si="6"/>
        <v>0</v>
      </c>
      <c r="O3" s="17"/>
      <c r="P3" s="17"/>
      <c r="Q3" s="17"/>
      <c r="R3" s="17"/>
      <c r="S3" s="17"/>
      <c r="T3" s="17"/>
      <c r="U3" s="17"/>
      <c r="V3" s="17"/>
      <c r="W3" s="17"/>
    </row>
    <row r="4" ht="14.25" customHeight="1">
      <c r="A4" s="9" t="s">
        <v>20</v>
      </c>
      <c r="B4" s="10" t="s">
        <v>21</v>
      </c>
      <c r="C4" s="11" t="s">
        <v>22</v>
      </c>
      <c r="D4" s="12" t="s">
        <v>17</v>
      </c>
      <c r="E4" s="13" t="str">
        <f t="array" ref="E4">INDEX(Turmas!C2:C103,MATCH(D4,Turmas!A2:A103,0))</f>
        <v>Noite</v>
      </c>
      <c r="F4" s="14">
        <v>40.0</v>
      </c>
      <c r="G4" s="15">
        <v>2.0</v>
      </c>
      <c r="H4" s="15">
        <v>0.0</v>
      </c>
      <c r="I4" s="16" t="str">
        <f t="shared" si="1"/>
        <v>1-12</v>
      </c>
      <c r="J4" s="16" t="str">
        <f t="shared" si="2"/>
        <v>1-12</v>
      </c>
      <c r="K4" s="16" t="str">
        <f t="shared" si="3"/>
        <v>1-12</v>
      </c>
      <c r="L4" s="16" t="str">
        <f t="shared" si="4"/>
        <v>1-12</v>
      </c>
      <c r="M4" s="16" t="str">
        <f t="shared" si="5"/>
        <v>1-12</v>
      </c>
      <c r="N4" s="16" t="str">
        <f t="shared" si="6"/>
        <v>0</v>
      </c>
      <c r="O4" s="17"/>
      <c r="P4" s="17"/>
      <c r="Q4" s="17"/>
      <c r="R4" s="17"/>
      <c r="S4" s="17"/>
      <c r="T4" s="17"/>
      <c r="U4" s="17"/>
      <c r="V4" s="17"/>
      <c r="W4" s="17"/>
    </row>
    <row r="5" ht="14.25" customHeight="1">
      <c r="A5" s="9" t="s">
        <v>23</v>
      </c>
      <c r="B5" s="10" t="s">
        <v>24</v>
      </c>
      <c r="C5" s="11" t="s">
        <v>16</v>
      </c>
      <c r="D5" s="12" t="s">
        <v>17</v>
      </c>
      <c r="E5" s="13" t="str">
        <f t="array" ref="E5">INDEX(Turmas!C2:C103,MATCH(D5,Turmas!A2:A103,0))</f>
        <v>Noite</v>
      </c>
      <c r="F5" s="14">
        <v>40.0</v>
      </c>
      <c r="G5" s="15">
        <v>2.0</v>
      </c>
      <c r="H5" s="15">
        <v>0.0</v>
      </c>
      <c r="I5" s="16" t="str">
        <f t="shared" si="1"/>
        <v>1-12</v>
      </c>
      <c r="J5" s="16" t="str">
        <f t="shared" si="2"/>
        <v>1-12</v>
      </c>
      <c r="K5" s="16" t="str">
        <f t="shared" si="3"/>
        <v>1-12</v>
      </c>
      <c r="L5" s="16" t="str">
        <f t="shared" si="4"/>
        <v>1-12</v>
      </c>
      <c r="M5" s="16" t="str">
        <f t="shared" si="5"/>
        <v>1-12</v>
      </c>
      <c r="N5" s="16" t="str">
        <f t="shared" si="6"/>
        <v>0</v>
      </c>
      <c r="O5" s="17"/>
      <c r="P5" s="17"/>
      <c r="Q5" s="17"/>
      <c r="R5" s="17"/>
      <c r="S5" s="17"/>
      <c r="T5" s="17"/>
      <c r="U5" s="17"/>
      <c r="V5" s="17"/>
      <c r="W5" s="17"/>
    </row>
    <row r="6" ht="14.25" customHeight="1">
      <c r="A6" s="9" t="s">
        <v>25</v>
      </c>
      <c r="B6" s="10" t="s">
        <v>26</v>
      </c>
      <c r="C6" s="11" t="s">
        <v>27</v>
      </c>
      <c r="D6" s="12" t="s">
        <v>17</v>
      </c>
      <c r="E6" s="13" t="str">
        <f t="array" ref="E6">INDEX(Turmas!C2:C103,MATCH(D6,Turmas!A2:A103,0))</f>
        <v>Noite</v>
      </c>
      <c r="F6" s="14">
        <v>40.0</v>
      </c>
      <c r="G6" s="15">
        <v>3.0</v>
      </c>
      <c r="H6" s="15">
        <v>0.0</v>
      </c>
      <c r="I6" s="16" t="str">
        <f t="shared" si="1"/>
        <v>1-12</v>
      </c>
      <c r="J6" s="16" t="str">
        <f t="shared" si="2"/>
        <v>1-12</v>
      </c>
      <c r="K6" s="16" t="str">
        <f t="shared" si="3"/>
        <v>1-12</v>
      </c>
      <c r="L6" s="16" t="str">
        <f t="shared" si="4"/>
        <v>1-12</v>
      </c>
      <c r="M6" s="16" t="str">
        <f t="shared" si="5"/>
        <v>1-12</v>
      </c>
      <c r="N6" s="16" t="str">
        <f t="shared" si="6"/>
        <v>0</v>
      </c>
      <c r="O6" s="17"/>
      <c r="P6" s="17"/>
      <c r="Q6" s="17"/>
      <c r="R6" s="17"/>
      <c r="S6" s="17"/>
      <c r="T6" s="17"/>
      <c r="U6" s="17"/>
      <c r="V6" s="17"/>
      <c r="W6" s="17"/>
    </row>
    <row r="7" ht="14.25" customHeight="1">
      <c r="A7" s="9" t="s">
        <v>28</v>
      </c>
      <c r="B7" s="10" t="s">
        <v>29</v>
      </c>
      <c r="C7" s="11" t="s">
        <v>22</v>
      </c>
      <c r="D7" s="12" t="s">
        <v>17</v>
      </c>
      <c r="E7" s="13" t="str">
        <f t="array" ref="E7">INDEX(Turmas!C2:C103,MATCH(D7,Turmas!A2:A103,0))</f>
        <v>Noite</v>
      </c>
      <c r="F7" s="14">
        <v>40.0</v>
      </c>
      <c r="G7" s="15">
        <v>4.0</v>
      </c>
      <c r="H7" s="15">
        <v>0.0</v>
      </c>
      <c r="I7" s="16" t="str">
        <f t="shared" si="1"/>
        <v>1-12</v>
      </c>
      <c r="J7" s="16" t="str">
        <f t="shared" si="2"/>
        <v>1-12</v>
      </c>
      <c r="K7" s="16" t="str">
        <f t="shared" si="3"/>
        <v>1-12</v>
      </c>
      <c r="L7" s="16" t="str">
        <f t="shared" si="4"/>
        <v>1-12</v>
      </c>
      <c r="M7" s="16" t="str">
        <f t="shared" si="5"/>
        <v>1-12</v>
      </c>
      <c r="N7" s="16" t="str">
        <f t="shared" si="6"/>
        <v>0</v>
      </c>
      <c r="O7" s="17"/>
      <c r="P7" s="17"/>
      <c r="Q7" s="17"/>
      <c r="R7" s="17"/>
      <c r="S7" s="17"/>
      <c r="T7" s="17"/>
      <c r="U7" s="17"/>
      <c r="V7" s="17"/>
      <c r="W7" s="17"/>
    </row>
    <row r="8" ht="14.25" customHeight="1">
      <c r="A8" s="9" t="s">
        <v>30</v>
      </c>
      <c r="B8" s="10" t="s">
        <v>31</v>
      </c>
      <c r="C8" s="11" t="s">
        <v>16</v>
      </c>
      <c r="D8" s="12" t="s">
        <v>17</v>
      </c>
      <c r="E8" s="13" t="str">
        <f t="array" ref="E8">INDEX(Turmas!C2:C103,MATCH(D8,Turmas!A2:A103,0))</f>
        <v>Noite</v>
      </c>
      <c r="F8" s="14">
        <v>40.0</v>
      </c>
      <c r="G8" s="15">
        <v>3.0</v>
      </c>
      <c r="H8" s="15">
        <v>0.0</v>
      </c>
      <c r="I8" s="16" t="str">
        <f t="shared" si="1"/>
        <v>1-12</v>
      </c>
      <c r="J8" s="16" t="str">
        <f t="shared" si="2"/>
        <v>1-12</v>
      </c>
      <c r="K8" s="16" t="str">
        <f t="shared" si="3"/>
        <v>1-12</v>
      </c>
      <c r="L8" s="16" t="str">
        <f t="shared" si="4"/>
        <v>1-12</v>
      </c>
      <c r="M8" s="16" t="str">
        <f t="shared" si="5"/>
        <v>1-12</v>
      </c>
      <c r="N8" s="16" t="str">
        <f t="shared" si="6"/>
        <v>0</v>
      </c>
      <c r="O8" s="17"/>
      <c r="P8" s="17"/>
      <c r="Q8" s="17"/>
      <c r="R8" s="17"/>
      <c r="S8" s="17"/>
      <c r="T8" s="17"/>
      <c r="U8" s="17"/>
      <c r="V8" s="17"/>
      <c r="W8" s="17"/>
    </row>
    <row r="9" ht="14.25" customHeight="1">
      <c r="A9" s="9" t="s">
        <v>32</v>
      </c>
      <c r="B9" s="10" t="s">
        <v>33</v>
      </c>
      <c r="C9" s="11" t="s">
        <v>22</v>
      </c>
      <c r="D9" s="12" t="s">
        <v>34</v>
      </c>
      <c r="E9" s="13" t="str">
        <f t="array" ref="E9">INDEX(Turmas!C2:C103,MATCH(D9,Turmas!A2:A103,0))</f>
        <v>Noite</v>
      </c>
      <c r="F9" s="14">
        <v>60.0</v>
      </c>
      <c r="G9" s="15">
        <v>2.0</v>
      </c>
      <c r="H9" s="15">
        <v>0.0</v>
      </c>
      <c r="I9" s="16" t="str">
        <f t="shared" si="1"/>
        <v>1-12</v>
      </c>
      <c r="J9" s="16" t="str">
        <f t="shared" si="2"/>
        <v>1-12</v>
      </c>
      <c r="K9" s="16" t="str">
        <f t="shared" si="3"/>
        <v>1-12</v>
      </c>
      <c r="L9" s="16" t="str">
        <f t="shared" si="4"/>
        <v>1-12</v>
      </c>
      <c r="M9" s="16" t="str">
        <f t="shared" si="5"/>
        <v>1-12</v>
      </c>
      <c r="N9" s="16" t="str">
        <f t="shared" si="6"/>
        <v>0</v>
      </c>
      <c r="O9" s="17"/>
      <c r="P9" s="17"/>
      <c r="Q9" s="17"/>
      <c r="R9" s="17"/>
      <c r="S9" s="17"/>
      <c r="T9" s="17"/>
      <c r="U9" s="17"/>
      <c r="V9" s="17"/>
      <c r="W9" s="17"/>
    </row>
    <row r="10" ht="14.25" customHeight="1">
      <c r="A10" s="9" t="s">
        <v>35</v>
      </c>
      <c r="B10" s="10" t="s">
        <v>36</v>
      </c>
      <c r="C10" s="11" t="s">
        <v>16</v>
      </c>
      <c r="D10" s="12" t="s">
        <v>34</v>
      </c>
      <c r="E10" s="18" t="str">
        <f t="array" ref="E10">INDEX(Turmas!C2:C103,MATCH(D10,Turmas!A2:A103,0))</f>
        <v>Noite</v>
      </c>
      <c r="F10" s="14">
        <v>60.0</v>
      </c>
      <c r="G10" s="15">
        <v>3.0</v>
      </c>
      <c r="H10" s="15">
        <v>0.0</v>
      </c>
      <c r="I10" s="16" t="str">
        <f t="shared" si="1"/>
        <v>1-12</v>
      </c>
      <c r="J10" s="16" t="str">
        <f t="shared" si="2"/>
        <v>1-12</v>
      </c>
      <c r="K10" s="16" t="str">
        <f t="shared" si="3"/>
        <v>1-12</v>
      </c>
      <c r="L10" s="16" t="str">
        <f t="shared" si="4"/>
        <v>1-12</v>
      </c>
      <c r="M10" s="16" t="str">
        <f t="shared" si="5"/>
        <v>1-12</v>
      </c>
      <c r="N10" s="16" t="str">
        <f t="shared" si="6"/>
        <v>0</v>
      </c>
      <c r="O10" s="17"/>
      <c r="P10" s="17"/>
      <c r="Q10" s="17"/>
      <c r="R10" s="17"/>
      <c r="S10" s="17"/>
      <c r="T10" s="17"/>
      <c r="U10" s="17"/>
      <c r="V10" s="17"/>
      <c r="W10" s="17"/>
    </row>
    <row r="11" ht="14.25" customHeight="1">
      <c r="A11" s="9" t="s">
        <v>37</v>
      </c>
      <c r="B11" s="10" t="s">
        <v>38</v>
      </c>
      <c r="C11" s="11" t="s">
        <v>16</v>
      </c>
      <c r="D11" s="12" t="s">
        <v>34</v>
      </c>
      <c r="E11" s="13" t="str">
        <f t="array" ref="E11">INDEX(Turmas!C2:C103,MATCH(D11,Turmas!A2:A103,0))</f>
        <v>Noite</v>
      </c>
      <c r="F11" s="14">
        <v>60.0</v>
      </c>
      <c r="G11" s="15">
        <v>3.0</v>
      </c>
      <c r="H11" s="15">
        <v>0.0</v>
      </c>
      <c r="I11" s="16" t="str">
        <f t="shared" si="1"/>
        <v>1-12</v>
      </c>
      <c r="J11" s="16" t="str">
        <f t="shared" si="2"/>
        <v>1-12</v>
      </c>
      <c r="K11" s="16" t="str">
        <f t="shared" si="3"/>
        <v>1-12</v>
      </c>
      <c r="L11" s="16" t="str">
        <f t="shared" si="4"/>
        <v>1-12</v>
      </c>
      <c r="M11" s="16" t="str">
        <f t="shared" si="5"/>
        <v>1-12</v>
      </c>
      <c r="N11" s="16" t="str">
        <f t="shared" si="6"/>
        <v>0</v>
      </c>
      <c r="O11" s="17"/>
      <c r="P11" s="17"/>
      <c r="Q11" s="17"/>
      <c r="R11" s="17"/>
      <c r="S11" s="17"/>
      <c r="T11" s="17"/>
      <c r="U11" s="17"/>
      <c r="V11" s="17"/>
      <c r="W11" s="17"/>
    </row>
    <row r="12" ht="14.25" customHeight="1">
      <c r="A12" s="9" t="s">
        <v>39</v>
      </c>
      <c r="B12" s="10" t="s">
        <v>40</v>
      </c>
      <c r="C12" s="11" t="s">
        <v>27</v>
      </c>
      <c r="D12" s="12" t="s">
        <v>34</v>
      </c>
      <c r="E12" s="13" t="str">
        <f t="array" ref="E12">INDEX(Turmas!C2:C103,MATCH(D12,Turmas!A2:A103,0))</f>
        <v>Noite</v>
      </c>
      <c r="F12" s="14">
        <v>60.0</v>
      </c>
      <c r="G12" s="15">
        <v>2.0</v>
      </c>
      <c r="H12" s="15">
        <v>0.0</v>
      </c>
      <c r="I12" s="16" t="str">
        <f t="shared" si="1"/>
        <v>1-12</v>
      </c>
      <c r="J12" s="16" t="str">
        <f t="shared" si="2"/>
        <v>1-12</v>
      </c>
      <c r="K12" s="16" t="str">
        <f t="shared" si="3"/>
        <v>1-12</v>
      </c>
      <c r="L12" s="16" t="str">
        <f t="shared" si="4"/>
        <v>1-12</v>
      </c>
      <c r="M12" s="16" t="str">
        <f t="shared" si="5"/>
        <v>1-12</v>
      </c>
      <c r="N12" s="16" t="str">
        <f t="shared" si="6"/>
        <v>0</v>
      </c>
      <c r="O12" s="17"/>
      <c r="P12" s="17"/>
      <c r="Q12" s="17"/>
      <c r="R12" s="17"/>
      <c r="S12" s="17"/>
      <c r="T12" s="17"/>
      <c r="U12" s="17"/>
      <c r="V12" s="17"/>
      <c r="W12" s="17"/>
    </row>
    <row r="13" ht="14.25" customHeight="1">
      <c r="A13" s="9" t="s">
        <v>41</v>
      </c>
      <c r="B13" s="10" t="s">
        <v>42</v>
      </c>
      <c r="C13" s="11" t="s">
        <v>22</v>
      </c>
      <c r="D13" s="12" t="s">
        <v>34</v>
      </c>
      <c r="E13" s="13" t="str">
        <f t="array" ref="E13">INDEX(Turmas!C2:C103,MATCH(D13,Turmas!A2:A103,0))</f>
        <v>Noite</v>
      </c>
      <c r="F13" s="14">
        <v>60.0</v>
      </c>
      <c r="G13" s="15">
        <v>3.0</v>
      </c>
      <c r="H13" s="15">
        <v>0.0</v>
      </c>
      <c r="I13" s="16" t="str">
        <f t="shared" si="1"/>
        <v>1-12</v>
      </c>
      <c r="J13" s="16" t="str">
        <f t="shared" si="2"/>
        <v>1-12</v>
      </c>
      <c r="K13" s="16" t="str">
        <f t="shared" si="3"/>
        <v>1-12</v>
      </c>
      <c r="L13" s="16" t="str">
        <f t="shared" si="4"/>
        <v>1-12</v>
      </c>
      <c r="M13" s="16" t="str">
        <f t="shared" si="5"/>
        <v>1-12</v>
      </c>
      <c r="N13" s="16" t="str">
        <f t="shared" si="6"/>
        <v>0</v>
      </c>
      <c r="O13" s="17"/>
      <c r="P13" s="17"/>
      <c r="Q13" s="17"/>
      <c r="R13" s="17"/>
      <c r="S13" s="17"/>
      <c r="T13" s="17"/>
      <c r="U13" s="17"/>
      <c r="V13" s="17"/>
      <c r="W13" s="17"/>
    </row>
    <row r="14" ht="14.25" customHeight="1">
      <c r="A14" s="9" t="s">
        <v>43</v>
      </c>
      <c r="B14" s="10" t="s">
        <v>44</v>
      </c>
      <c r="C14" s="11" t="s">
        <v>22</v>
      </c>
      <c r="D14" s="12" t="s">
        <v>34</v>
      </c>
      <c r="E14" s="13" t="str">
        <f t="array" ref="E14">INDEX(Turmas!C2:C103,MATCH(D14,Turmas!A2:A103,0))</f>
        <v>Noite</v>
      </c>
      <c r="F14" s="14">
        <v>60.0</v>
      </c>
      <c r="G14" s="15">
        <v>4.0</v>
      </c>
      <c r="H14" s="15">
        <v>0.0</v>
      </c>
      <c r="I14" s="16" t="str">
        <f t="shared" si="1"/>
        <v>1-12</v>
      </c>
      <c r="J14" s="16" t="str">
        <f t="shared" si="2"/>
        <v>1-12</v>
      </c>
      <c r="K14" s="16" t="str">
        <f t="shared" si="3"/>
        <v>1-12</v>
      </c>
      <c r="L14" s="16" t="str">
        <f t="shared" si="4"/>
        <v>1-12</v>
      </c>
      <c r="M14" s="16" t="str">
        <f t="shared" si="5"/>
        <v>1-12</v>
      </c>
      <c r="N14" s="16" t="str">
        <f t="shared" si="6"/>
        <v>0</v>
      </c>
      <c r="O14" s="17"/>
      <c r="P14" s="17"/>
      <c r="Q14" s="17"/>
      <c r="R14" s="17"/>
      <c r="S14" s="17"/>
      <c r="T14" s="17"/>
      <c r="U14" s="17"/>
      <c r="V14" s="17"/>
      <c r="W14" s="17"/>
    </row>
    <row r="15" ht="14.25" customHeight="1">
      <c r="A15" s="9" t="s">
        <v>45</v>
      </c>
      <c r="B15" s="10" t="s">
        <v>46</v>
      </c>
      <c r="C15" s="11" t="s">
        <v>22</v>
      </c>
      <c r="D15" s="12" t="s">
        <v>34</v>
      </c>
      <c r="E15" s="13" t="str">
        <f t="array" ref="E15">INDEX(Turmas!C2:C103,MATCH(D15,Turmas!A2:A103,0))</f>
        <v>Noite</v>
      </c>
      <c r="F15" s="14">
        <v>60.0</v>
      </c>
      <c r="G15" s="15">
        <v>3.0</v>
      </c>
      <c r="H15" s="15">
        <v>0.0</v>
      </c>
      <c r="I15" s="16" t="str">
        <f t="shared" si="1"/>
        <v>1-12</v>
      </c>
      <c r="J15" s="16" t="str">
        <f t="shared" si="2"/>
        <v>1-12</v>
      </c>
      <c r="K15" s="16" t="str">
        <f t="shared" si="3"/>
        <v>1-12</v>
      </c>
      <c r="L15" s="16" t="str">
        <f t="shared" si="4"/>
        <v>1-12</v>
      </c>
      <c r="M15" s="16" t="str">
        <f t="shared" si="5"/>
        <v>1-12</v>
      </c>
      <c r="N15" s="16" t="str">
        <f t="shared" si="6"/>
        <v>0</v>
      </c>
      <c r="O15" s="17"/>
      <c r="P15" s="17"/>
      <c r="Q15" s="17"/>
      <c r="R15" s="17"/>
      <c r="S15" s="17"/>
      <c r="T15" s="17"/>
      <c r="U15" s="17"/>
      <c r="V15" s="17"/>
      <c r="W15" s="17"/>
    </row>
    <row r="16" ht="14.25" customHeight="1">
      <c r="A16" s="9" t="s">
        <v>14</v>
      </c>
      <c r="B16" s="10" t="s">
        <v>15</v>
      </c>
      <c r="C16" s="11" t="s">
        <v>47</v>
      </c>
      <c r="D16" s="12" t="s">
        <v>48</v>
      </c>
      <c r="E16" s="13" t="str">
        <f t="array" ref="E16">INDEX(Turmas!C2:C103,MATCH(D16,Turmas!A2:A103,0))</f>
        <v>Tarde</v>
      </c>
      <c r="F16" s="14">
        <v>60.0</v>
      </c>
      <c r="G16" s="15">
        <v>3.0</v>
      </c>
      <c r="H16" s="15">
        <v>0.0</v>
      </c>
      <c r="I16" s="16" t="str">
        <f t="shared" si="1"/>
        <v>1-6,13-16</v>
      </c>
      <c r="J16" s="16" t="str">
        <f t="shared" si="2"/>
        <v>1-6,13-16</v>
      </c>
      <c r="K16" s="16" t="str">
        <f t="shared" si="3"/>
        <v>1-6,13-16</v>
      </c>
      <c r="L16" s="16" t="str">
        <f t="shared" si="4"/>
        <v>1-6,13-16</v>
      </c>
      <c r="M16" s="16" t="str">
        <f t="shared" si="5"/>
        <v>1-6,13-16</v>
      </c>
      <c r="N16" s="16" t="str">
        <f t="shared" si="6"/>
        <v>1-16</v>
      </c>
      <c r="O16" s="17"/>
      <c r="P16" s="17"/>
      <c r="Q16" s="17"/>
      <c r="R16" s="17"/>
      <c r="S16" s="17"/>
      <c r="T16" s="17"/>
      <c r="U16" s="17"/>
      <c r="V16" s="17"/>
      <c r="W16" s="17"/>
    </row>
    <row r="17" ht="14.25" customHeight="1">
      <c r="A17" s="9" t="s">
        <v>18</v>
      </c>
      <c r="B17" s="10" t="s">
        <v>19</v>
      </c>
      <c r="C17" s="11" t="s">
        <v>49</v>
      </c>
      <c r="D17" s="12" t="s">
        <v>48</v>
      </c>
      <c r="E17" s="13" t="str">
        <f t="array" ref="E17">INDEX(Turmas!C2:C103,MATCH(D17,Turmas!A2:A103,0))</f>
        <v>Tarde</v>
      </c>
      <c r="F17" s="14">
        <v>60.0</v>
      </c>
      <c r="G17" s="15">
        <v>3.0</v>
      </c>
      <c r="H17" s="15">
        <v>0.0</v>
      </c>
      <c r="I17" s="16" t="str">
        <f t="shared" si="1"/>
        <v>1-6,13-16</v>
      </c>
      <c r="J17" s="16" t="str">
        <f t="shared" si="2"/>
        <v>1-6,13-16</v>
      </c>
      <c r="K17" s="16" t="str">
        <f t="shared" si="3"/>
        <v>1-6,13-16</v>
      </c>
      <c r="L17" s="16" t="str">
        <f t="shared" si="4"/>
        <v>1-6,13-16</v>
      </c>
      <c r="M17" s="16" t="str">
        <f t="shared" si="5"/>
        <v>1-6,13-16</v>
      </c>
      <c r="N17" s="16" t="str">
        <f t="shared" si="6"/>
        <v>1-16</v>
      </c>
      <c r="O17" s="17"/>
      <c r="P17" s="17"/>
      <c r="Q17" s="17"/>
      <c r="R17" s="17"/>
      <c r="S17" s="17"/>
      <c r="T17" s="17"/>
      <c r="U17" s="17"/>
      <c r="V17" s="17"/>
      <c r="W17" s="17"/>
    </row>
    <row r="18" ht="14.25" customHeight="1">
      <c r="A18" s="9" t="s">
        <v>20</v>
      </c>
      <c r="B18" s="10" t="s">
        <v>21</v>
      </c>
      <c r="C18" s="11" t="s">
        <v>50</v>
      </c>
      <c r="D18" s="12" t="s">
        <v>48</v>
      </c>
      <c r="E18" s="13" t="str">
        <f t="array" ref="E18">INDEX(Turmas!C2:C103,MATCH(D18,Turmas!A2:A103,0))</f>
        <v>Tarde</v>
      </c>
      <c r="F18" s="14">
        <v>60.0</v>
      </c>
      <c r="G18" s="15">
        <v>3.0</v>
      </c>
      <c r="H18" s="15">
        <v>0.0</v>
      </c>
      <c r="I18" s="16" t="str">
        <f t="shared" si="1"/>
        <v>1-6,13-16</v>
      </c>
      <c r="J18" s="16" t="str">
        <f t="shared" si="2"/>
        <v>1-6,13-16</v>
      </c>
      <c r="K18" s="16" t="str">
        <f t="shared" si="3"/>
        <v>1-6,13-16</v>
      </c>
      <c r="L18" s="16" t="str">
        <f t="shared" si="4"/>
        <v>1-6,13-16</v>
      </c>
      <c r="M18" s="16" t="str">
        <f t="shared" si="5"/>
        <v>1-6,13-16</v>
      </c>
      <c r="N18" s="16" t="str">
        <f t="shared" si="6"/>
        <v>1-16</v>
      </c>
      <c r="O18" s="17"/>
      <c r="P18" s="17"/>
      <c r="Q18" s="17"/>
      <c r="R18" s="17"/>
      <c r="S18" s="17"/>
      <c r="T18" s="17"/>
      <c r="U18" s="17"/>
      <c r="V18" s="17"/>
      <c r="W18" s="17"/>
    </row>
    <row r="19" ht="14.25" customHeight="1">
      <c r="A19" s="9" t="s">
        <v>23</v>
      </c>
      <c r="B19" s="10" t="s">
        <v>24</v>
      </c>
      <c r="C19" s="11" t="s">
        <v>51</v>
      </c>
      <c r="D19" s="12" t="s">
        <v>48</v>
      </c>
      <c r="E19" s="13" t="str">
        <f t="array" ref="E19">INDEX(Turmas!C2:C103,MATCH(D19,Turmas!A2:A103,0))</f>
        <v>Tarde</v>
      </c>
      <c r="F19" s="14">
        <v>60.0</v>
      </c>
      <c r="G19" s="15">
        <v>2.0</v>
      </c>
      <c r="H19" s="15">
        <v>0.0</v>
      </c>
      <c r="I19" s="16" t="str">
        <f t="shared" si="1"/>
        <v>1-6,13-16</v>
      </c>
      <c r="J19" s="16" t="str">
        <f t="shared" si="2"/>
        <v>1-6,13-16</v>
      </c>
      <c r="K19" s="16" t="str">
        <f t="shared" si="3"/>
        <v>1-6,13-16</v>
      </c>
      <c r="L19" s="16" t="str">
        <f t="shared" si="4"/>
        <v>1-6,13-16</v>
      </c>
      <c r="M19" s="16" t="str">
        <f t="shared" si="5"/>
        <v>1-6,13-16</v>
      </c>
      <c r="N19" s="16" t="str">
        <f t="shared" si="6"/>
        <v>1-16</v>
      </c>
      <c r="O19" s="17"/>
      <c r="P19" s="17"/>
      <c r="Q19" s="17"/>
      <c r="R19" s="17"/>
      <c r="S19" s="17"/>
      <c r="T19" s="17"/>
      <c r="U19" s="17"/>
      <c r="V19" s="17"/>
      <c r="W19" s="17"/>
    </row>
    <row r="20" ht="14.25" customHeight="1">
      <c r="A20" s="9" t="s">
        <v>25</v>
      </c>
      <c r="B20" s="10" t="s">
        <v>26</v>
      </c>
      <c r="C20" s="11" t="s">
        <v>52</v>
      </c>
      <c r="D20" s="12" t="s">
        <v>48</v>
      </c>
      <c r="E20" s="13" t="str">
        <f t="array" ref="E20">INDEX(Turmas!C2:C103,MATCH(D20,Turmas!A2:A103,0))</f>
        <v>Tarde</v>
      </c>
      <c r="F20" s="14">
        <v>60.0</v>
      </c>
      <c r="G20" s="15">
        <v>4.0</v>
      </c>
      <c r="H20" s="15">
        <v>0.0</v>
      </c>
      <c r="I20" s="16" t="str">
        <f t="shared" si="1"/>
        <v>1-6,13-16</v>
      </c>
      <c r="J20" s="16" t="str">
        <f t="shared" si="2"/>
        <v>1-6,13-16</v>
      </c>
      <c r="K20" s="16" t="str">
        <f t="shared" si="3"/>
        <v>1-6,13-16</v>
      </c>
      <c r="L20" s="16" t="str">
        <f t="shared" si="4"/>
        <v>1-6,13-16</v>
      </c>
      <c r="M20" s="16" t="str">
        <f t="shared" si="5"/>
        <v>1-6,13-16</v>
      </c>
      <c r="N20" s="16" t="str">
        <f t="shared" si="6"/>
        <v>1-16</v>
      </c>
      <c r="O20" s="17"/>
      <c r="P20" s="17"/>
      <c r="Q20" s="17"/>
      <c r="R20" s="17"/>
      <c r="S20" s="17"/>
      <c r="T20" s="17"/>
      <c r="U20" s="17"/>
      <c r="V20" s="17"/>
      <c r="W20" s="17"/>
    </row>
    <row r="21" ht="14.25" customHeight="1">
      <c r="A21" s="9" t="s">
        <v>28</v>
      </c>
      <c r="B21" s="10" t="s">
        <v>29</v>
      </c>
      <c r="C21" s="11" t="s">
        <v>53</v>
      </c>
      <c r="D21" s="12" t="s">
        <v>48</v>
      </c>
      <c r="E21" s="13" t="str">
        <f t="array" ref="E21">INDEX(Turmas!C2:C103,MATCH(D21,Turmas!A2:A103,0))</f>
        <v>Tarde</v>
      </c>
      <c r="F21" s="14">
        <v>60.0</v>
      </c>
      <c r="G21" s="15">
        <v>4.0</v>
      </c>
      <c r="H21" s="15">
        <v>0.0</v>
      </c>
      <c r="I21" s="16" t="str">
        <f t="shared" si="1"/>
        <v>1-6,13-16</v>
      </c>
      <c r="J21" s="16" t="str">
        <f t="shared" si="2"/>
        <v>1-6,13-16</v>
      </c>
      <c r="K21" s="16" t="str">
        <f t="shared" si="3"/>
        <v>1-6,13-16</v>
      </c>
      <c r="L21" s="16" t="str">
        <f t="shared" si="4"/>
        <v>1-6,13-16</v>
      </c>
      <c r="M21" s="16" t="str">
        <f t="shared" si="5"/>
        <v>1-6,13-16</v>
      </c>
      <c r="N21" s="16" t="str">
        <f t="shared" si="6"/>
        <v>1-16</v>
      </c>
      <c r="O21" s="17"/>
      <c r="P21" s="17"/>
      <c r="Q21" s="17"/>
      <c r="R21" s="17"/>
      <c r="S21" s="17"/>
      <c r="T21" s="17"/>
      <c r="U21" s="17"/>
      <c r="V21" s="17"/>
      <c r="W21" s="17"/>
    </row>
    <row r="22" ht="14.25" customHeight="1">
      <c r="A22" s="9" t="s">
        <v>30</v>
      </c>
      <c r="B22" s="10" t="s">
        <v>31</v>
      </c>
      <c r="C22" s="11" t="s">
        <v>54</v>
      </c>
      <c r="D22" s="12" t="s">
        <v>48</v>
      </c>
      <c r="E22" s="13" t="str">
        <f t="array" ref="E22">INDEX(Turmas!C2:C103,MATCH(D22,Turmas!A2:A103,0))</f>
        <v>Tarde</v>
      </c>
      <c r="F22" s="14">
        <v>60.0</v>
      </c>
      <c r="G22" s="15">
        <v>4.0</v>
      </c>
      <c r="H22" s="15">
        <v>0.0</v>
      </c>
      <c r="I22" s="16" t="str">
        <f t="shared" si="1"/>
        <v>1-6,13-16</v>
      </c>
      <c r="J22" s="16" t="str">
        <f t="shared" si="2"/>
        <v>1-6,13-16</v>
      </c>
      <c r="K22" s="16" t="str">
        <f t="shared" si="3"/>
        <v>1-6,13-16</v>
      </c>
      <c r="L22" s="16" t="str">
        <f t="shared" si="4"/>
        <v>1-6,13-16</v>
      </c>
      <c r="M22" s="16" t="str">
        <f t="shared" si="5"/>
        <v>1-6,13-16</v>
      </c>
      <c r="N22" s="16" t="str">
        <f t="shared" si="6"/>
        <v>1-16</v>
      </c>
      <c r="O22" s="17"/>
      <c r="P22" s="17"/>
      <c r="Q22" s="17"/>
      <c r="R22" s="17"/>
      <c r="S22" s="17"/>
      <c r="T22" s="17"/>
      <c r="U22" s="17"/>
      <c r="V22" s="17"/>
      <c r="W22" s="17"/>
    </row>
    <row r="23" ht="14.25" customHeight="1">
      <c r="A23" s="9" t="s">
        <v>32</v>
      </c>
      <c r="B23" s="10" t="s">
        <v>33</v>
      </c>
      <c r="C23" s="11" t="s">
        <v>55</v>
      </c>
      <c r="D23" s="12" t="s">
        <v>56</v>
      </c>
      <c r="E23" s="13" t="str">
        <f t="array" ref="E23">INDEX(Turmas!C2:C103,MATCH(D23,Turmas!A2:A103,0))</f>
        <v>Tarde</v>
      </c>
      <c r="F23" s="14">
        <v>60.0</v>
      </c>
      <c r="G23" s="15">
        <v>3.0</v>
      </c>
      <c r="H23" s="15">
        <v>0.0</v>
      </c>
      <c r="I23" s="16" t="str">
        <f t="shared" si="1"/>
        <v>1-6,13-16</v>
      </c>
      <c r="J23" s="16" t="str">
        <f t="shared" si="2"/>
        <v>1-6,13-16</v>
      </c>
      <c r="K23" s="16" t="str">
        <f t="shared" si="3"/>
        <v>1-6,13-16</v>
      </c>
      <c r="L23" s="16" t="str">
        <f t="shared" si="4"/>
        <v>1-6,13-16</v>
      </c>
      <c r="M23" s="16" t="str">
        <f t="shared" si="5"/>
        <v>1-6,13-16</v>
      </c>
      <c r="N23" s="16" t="str">
        <f t="shared" si="6"/>
        <v>1-16</v>
      </c>
      <c r="O23" s="17"/>
      <c r="P23" s="17"/>
      <c r="Q23" s="17"/>
      <c r="R23" s="17"/>
      <c r="S23" s="17"/>
      <c r="T23" s="17"/>
      <c r="U23" s="17"/>
      <c r="V23" s="17"/>
      <c r="W23" s="17"/>
    </row>
    <row r="24" ht="14.25" customHeight="1">
      <c r="A24" s="9" t="s">
        <v>35</v>
      </c>
      <c r="B24" s="10" t="s">
        <v>36</v>
      </c>
      <c r="C24" s="11" t="s">
        <v>57</v>
      </c>
      <c r="D24" s="12" t="s">
        <v>56</v>
      </c>
      <c r="E24" s="13" t="str">
        <f t="array" ref="E24">INDEX(Turmas!C2:C103,MATCH(D24,Turmas!A2:A103,0))</f>
        <v>Tarde</v>
      </c>
      <c r="F24" s="14">
        <v>60.0</v>
      </c>
      <c r="G24" s="15">
        <v>3.0</v>
      </c>
      <c r="H24" s="15">
        <v>0.0</v>
      </c>
      <c r="I24" s="16" t="str">
        <f t="shared" si="1"/>
        <v>1-6,13-16</v>
      </c>
      <c r="J24" s="16" t="str">
        <f t="shared" si="2"/>
        <v>1-6,13-16</v>
      </c>
      <c r="K24" s="16" t="str">
        <f t="shared" si="3"/>
        <v>1-6,13-16</v>
      </c>
      <c r="L24" s="16" t="str">
        <f t="shared" si="4"/>
        <v>1-6,13-16</v>
      </c>
      <c r="M24" s="16" t="str">
        <f t="shared" si="5"/>
        <v>1-6,13-16</v>
      </c>
      <c r="N24" s="16" t="str">
        <f t="shared" si="6"/>
        <v>1-16</v>
      </c>
      <c r="O24" s="17"/>
      <c r="P24" s="17"/>
      <c r="Q24" s="17"/>
      <c r="R24" s="17"/>
      <c r="S24" s="17"/>
      <c r="T24" s="17"/>
      <c r="U24" s="17"/>
      <c r="V24" s="17"/>
      <c r="W24" s="17"/>
    </row>
    <row r="25" ht="14.25" customHeight="1">
      <c r="A25" s="9" t="s">
        <v>37</v>
      </c>
      <c r="B25" s="10" t="s">
        <v>38</v>
      </c>
      <c r="C25" s="11" t="s">
        <v>58</v>
      </c>
      <c r="D25" s="12" t="s">
        <v>56</v>
      </c>
      <c r="E25" s="13" t="str">
        <f t="array" ref="E25">INDEX(Turmas!C2:C103,MATCH(D25,Turmas!A2:A103,0))</f>
        <v>Tarde</v>
      </c>
      <c r="F25" s="14">
        <v>60.0</v>
      </c>
      <c r="G25" s="15">
        <v>3.0</v>
      </c>
      <c r="H25" s="15">
        <v>0.0</v>
      </c>
      <c r="I25" s="16" t="str">
        <f t="shared" si="1"/>
        <v>1-6,13-16</v>
      </c>
      <c r="J25" s="16" t="str">
        <f t="shared" si="2"/>
        <v>1-6,13-16</v>
      </c>
      <c r="K25" s="16" t="str">
        <f t="shared" si="3"/>
        <v>1-6,13-16</v>
      </c>
      <c r="L25" s="16" t="str">
        <f t="shared" si="4"/>
        <v>1-6,13-16</v>
      </c>
      <c r="M25" s="16" t="str">
        <f t="shared" si="5"/>
        <v>1-6,13-16</v>
      </c>
      <c r="N25" s="16" t="str">
        <f t="shared" si="6"/>
        <v>1-16</v>
      </c>
      <c r="O25" s="17"/>
      <c r="P25" s="17"/>
      <c r="Q25" s="17"/>
      <c r="R25" s="17"/>
      <c r="S25" s="17"/>
      <c r="T25" s="17"/>
      <c r="U25" s="17"/>
      <c r="V25" s="17"/>
      <c r="W25" s="17"/>
    </row>
    <row r="26" ht="14.25" customHeight="1">
      <c r="A26" s="9" t="s">
        <v>39</v>
      </c>
      <c r="B26" s="10" t="s">
        <v>40</v>
      </c>
      <c r="C26" s="11" t="s">
        <v>59</v>
      </c>
      <c r="D26" s="12" t="s">
        <v>56</v>
      </c>
      <c r="E26" s="13" t="str">
        <f t="array" ref="E26">INDEX(Turmas!C2:C103,MATCH(D26,Turmas!A2:A103,0))</f>
        <v>Tarde</v>
      </c>
      <c r="F26" s="14">
        <v>60.0</v>
      </c>
      <c r="G26" s="15">
        <v>3.0</v>
      </c>
      <c r="H26" s="15">
        <v>0.0</v>
      </c>
      <c r="I26" s="16" t="str">
        <f t="shared" si="1"/>
        <v>1-6,13-16</v>
      </c>
      <c r="J26" s="16" t="str">
        <f t="shared" si="2"/>
        <v>1-6,13-16</v>
      </c>
      <c r="K26" s="16" t="str">
        <f t="shared" si="3"/>
        <v>1-6,13-16</v>
      </c>
      <c r="L26" s="16" t="str">
        <f t="shared" si="4"/>
        <v>1-6,13-16</v>
      </c>
      <c r="M26" s="16" t="str">
        <f t="shared" si="5"/>
        <v>1-6,13-16</v>
      </c>
      <c r="N26" s="16" t="str">
        <f t="shared" si="6"/>
        <v>1-16</v>
      </c>
      <c r="O26" s="17"/>
      <c r="P26" s="17"/>
      <c r="Q26" s="17"/>
      <c r="R26" s="17"/>
      <c r="S26" s="17"/>
      <c r="T26" s="17"/>
      <c r="U26" s="17"/>
      <c r="V26" s="17"/>
      <c r="W26" s="17"/>
    </row>
    <row r="27" ht="14.25" customHeight="1">
      <c r="A27" s="9" t="s">
        <v>41</v>
      </c>
      <c r="B27" s="10" t="s">
        <v>42</v>
      </c>
      <c r="C27" s="11" t="s">
        <v>60</v>
      </c>
      <c r="D27" s="12" t="s">
        <v>56</v>
      </c>
      <c r="E27" s="13" t="str">
        <f t="array" ref="E27">INDEX(Turmas!C2:C103,MATCH(D27,Turmas!A2:A103,0))</f>
        <v>Tarde</v>
      </c>
      <c r="F27" s="14">
        <v>60.0</v>
      </c>
      <c r="G27" s="15">
        <v>4.0</v>
      </c>
      <c r="H27" s="15">
        <v>0.0</v>
      </c>
      <c r="I27" s="16" t="str">
        <f t="shared" si="1"/>
        <v>1-6,13-16</v>
      </c>
      <c r="J27" s="16" t="str">
        <f t="shared" si="2"/>
        <v>1-6,13-16</v>
      </c>
      <c r="K27" s="16" t="str">
        <f t="shared" si="3"/>
        <v>1-6,13-16</v>
      </c>
      <c r="L27" s="16" t="str">
        <f t="shared" si="4"/>
        <v>1-6,13-16</v>
      </c>
      <c r="M27" s="16" t="str">
        <f t="shared" si="5"/>
        <v>1-6,13-16</v>
      </c>
      <c r="N27" s="16" t="str">
        <f t="shared" si="6"/>
        <v>1-16</v>
      </c>
      <c r="O27" s="17"/>
      <c r="P27" s="17"/>
      <c r="Q27" s="17"/>
      <c r="R27" s="17"/>
      <c r="S27" s="17"/>
      <c r="T27" s="17"/>
      <c r="U27" s="17"/>
      <c r="V27" s="17"/>
      <c r="W27" s="17"/>
    </row>
    <row r="28" ht="14.25" customHeight="1">
      <c r="A28" s="9" t="s">
        <v>43</v>
      </c>
      <c r="B28" s="10" t="s">
        <v>44</v>
      </c>
      <c r="C28" s="11" t="s">
        <v>61</v>
      </c>
      <c r="D28" s="12" t="s">
        <v>56</v>
      </c>
      <c r="E28" s="13" t="str">
        <f t="array" ref="E28">INDEX(Turmas!C2:C103,MATCH(D28,Turmas!A2:A103,0))</f>
        <v>Tarde</v>
      </c>
      <c r="F28" s="14">
        <v>60.0</v>
      </c>
      <c r="G28" s="15">
        <v>4.0</v>
      </c>
      <c r="H28" s="15">
        <v>0.0</v>
      </c>
      <c r="I28" s="16" t="str">
        <f t="shared" si="1"/>
        <v>1-6,13-16</v>
      </c>
      <c r="J28" s="16" t="str">
        <f t="shared" si="2"/>
        <v>1-6,13-16</v>
      </c>
      <c r="K28" s="16" t="str">
        <f t="shared" si="3"/>
        <v>1-6,13-16</v>
      </c>
      <c r="L28" s="16" t="str">
        <f t="shared" si="4"/>
        <v>1-6,13-16</v>
      </c>
      <c r="M28" s="16" t="str">
        <f t="shared" si="5"/>
        <v>1-6,13-16</v>
      </c>
      <c r="N28" s="16" t="str">
        <f t="shared" si="6"/>
        <v>1-16</v>
      </c>
      <c r="O28" s="17"/>
      <c r="P28" s="17"/>
      <c r="Q28" s="17"/>
      <c r="R28" s="17"/>
      <c r="S28" s="17"/>
      <c r="T28" s="17"/>
      <c r="U28" s="17"/>
      <c r="V28" s="17"/>
      <c r="W28" s="17"/>
    </row>
    <row r="29" ht="14.25" customHeight="1">
      <c r="A29" s="9" t="s">
        <v>45</v>
      </c>
      <c r="B29" s="10" t="s">
        <v>46</v>
      </c>
      <c r="C29" s="11" t="s">
        <v>62</v>
      </c>
      <c r="D29" s="12" t="s">
        <v>56</v>
      </c>
      <c r="E29" s="13" t="str">
        <f t="array" ref="E29">INDEX(Turmas!C2:C103,MATCH(D29,Turmas!A2:A103,0))</f>
        <v>Tarde</v>
      </c>
      <c r="F29" s="14">
        <v>60.0</v>
      </c>
      <c r="G29" s="15">
        <v>3.0</v>
      </c>
      <c r="H29" s="15">
        <v>0.0</v>
      </c>
      <c r="I29" s="16" t="str">
        <f t="shared" si="1"/>
        <v>1-6,13-16</v>
      </c>
      <c r="J29" s="16" t="str">
        <f t="shared" si="2"/>
        <v>1-6,13-16</v>
      </c>
      <c r="K29" s="16" t="str">
        <f t="shared" si="3"/>
        <v>1-6,13-16</v>
      </c>
      <c r="L29" s="16" t="str">
        <f t="shared" si="4"/>
        <v>1-6,13-16</v>
      </c>
      <c r="M29" s="16" t="str">
        <f t="shared" si="5"/>
        <v>1-6,13-16</v>
      </c>
      <c r="N29" s="16" t="str">
        <f t="shared" si="6"/>
        <v>1-16</v>
      </c>
      <c r="O29" s="17"/>
      <c r="P29" s="17"/>
      <c r="Q29" s="17"/>
      <c r="R29" s="17"/>
      <c r="S29" s="17"/>
      <c r="T29" s="17"/>
      <c r="U29" s="17"/>
      <c r="V29" s="17"/>
      <c r="W29" s="17"/>
    </row>
    <row r="30" ht="14.25" customHeight="1">
      <c r="A30" s="9" t="s">
        <v>63</v>
      </c>
      <c r="B30" s="10" t="s">
        <v>64</v>
      </c>
      <c r="C30" s="11" t="s">
        <v>60</v>
      </c>
      <c r="D30" s="12" t="s">
        <v>65</v>
      </c>
      <c r="E30" s="13" t="str">
        <f t="array" ref="E30">INDEX(Turmas!C2:C103,MATCH(D30,Turmas!A2:A103,0))</f>
        <v>Tarde</v>
      </c>
      <c r="F30" s="14">
        <v>60.0</v>
      </c>
      <c r="G30" s="15">
        <v>4.0</v>
      </c>
      <c r="H30" s="15">
        <v>0.0</v>
      </c>
      <c r="I30" s="16" t="str">
        <f t="shared" si="1"/>
        <v>1-6,13-16</v>
      </c>
      <c r="J30" s="16" t="str">
        <f t="shared" si="2"/>
        <v>1-6,13-16</v>
      </c>
      <c r="K30" s="16" t="str">
        <f t="shared" si="3"/>
        <v>1-6,13-16</v>
      </c>
      <c r="L30" s="16" t="str">
        <f t="shared" si="4"/>
        <v>1-6,13-16</v>
      </c>
      <c r="M30" s="16" t="str">
        <f t="shared" si="5"/>
        <v>1-6,13-16</v>
      </c>
      <c r="N30" s="16" t="str">
        <f t="shared" si="6"/>
        <v>1-16</v>
      </c>
      <c r="O30" s="17"/>
      <c r="P30" s="17"/>
      <c r="Q30" s="17"/>
      <c r="R30" s="17"/>
      <c r="S30" s="17"/>
      <c r="T30" s="17"/>
      <c r="U30" s="17"/>
      <c r="V30" s="17"/>
      <c r="W30" s="17"/>
    </row>
    <row r="31" ht="14.25" customHeight="1">
      <c r="A31" s="9" t="s">
        <v>66</v>
      </c>
      <c r="B31" s="10" t="s">
        <v>67</v>
      </c>
      <c r="C31" s="11" t="s">
        <v>68</v>
      </c>
      <c r="D31" s="12" t="s">
        <v>65</v>
      </c>
      <c r="E31" s="13" t="str">
        <f t="array" ref="E31">INDEX(Turmas!C2:C103,MATCH(D31,Turmas!A2:A103,0))</f>
        <v>Tarde</v>
      </c>
      <c r="F31" s="14">
        <v>60.0</v>
      </c>
      <c r="G31" s="15">
        <v>3.0</v>
      </c>
      <c r="H31" s="15">
        <v>0.0</v>
      </c>
      <c r="I31" s="16" t="str">
        <f t="shared" si="1"/>
        <v>1-6,13-16</v>
      </c>
      <c r="J31" s="16" t="str">
        <f t="shared" si="2"/>
        <v>1-6,13-16</v>
      </c>
      <c r="K31" s="16" t="str">
        <f t="shared" si="3"/>
        <v>1-6,13-16</v>
      </c>
      <c r="L31" s="16" t="str">
        <f t="shared" si="4"/>
        <v>1-6,13-16</v>
      </c>
      <c r="M31" s="16" t="str">
        <f t="shared" si="5"/>
        <v>1-6,13-16</v>
      </c>
      <c r="N31" s="16" t="str">
        <f t="shared" si="6"/>
        <v>1-16</v>
      </c>
      <c r="O31" s="17"/>
      <c r="P31" s="17"/>
      <c r="Q31" s="17"/>
      <c r="R31" s="17"/>
      <c r="S31" s="17"/>
      <c r="T31" s="17"/>
      <c r="U31" s="17"/>
      <c r="V31" s="17"/>
      <c r="W31" s="17"/>
    </row>
    <row r="32" ht="14.25" customHeight="1">
      <c r="A32" s="9" t="s">
        <v>69</v>
      </c>
      <c r="B32" s="10" t="s">
        <v>70</v>
      </c>
      <c r="C32" s="11" t="s">
        <v>58</v>
      </c>
      <c r="D32" s="12" t="s">
        <v>65</v>
      </c>
      <c r="E32" s="13" t="str">
        <f t="array" ref="E32">INDEX(Turmas!C2:C103,MATCH(D32,Turmas!A2:A103,0))</f>
        <v>Tarde</v>
      </c>
      <c r="F32" s="14">
        <v>60.0</v>
      </c>
      <c r="G32" s="15">
        <v>3.0</v>
      </c>
      <c r="H32" s="15">
        <v>0.0</v>
      </c>
      <c r="I32" s="16" t="str">
        <f t="shared" si="1"/>
        <v>1-6,13-16</v>
      </c>
      <c r="J32" s="16" t="str">
        <f t="shared" si="2"/>
        <v>1-6,13-16</v>
      </c>
      <c r="K32" s="16" t="str">
        <f t="shared" si="3"/>
        <v>1-6,13-16</v>
      </c>
      <c r="L32" s="16" t="str">
        <f t="shared" si="4"/>
        <v>1-6,13-16</v>
      </c>
      <c r="M32" s="16" t="str">
        <f t="shared" si="5"/>
        <v>1-6,13-16</v>
      </c>
      <c r="N32" s="16" t="str">
        <f t="shared" si="6"/>
        <v>1-16</v>
      </c>
      <c r="O32" s="17"/>
      <c r="P32" s="17"/>
      <c r="Q32" s="17"/>
      <c r="R32" s="17"/>
      <c r="S32" s="17"/>
      <c r="T32" s="17"/>
      <c r="U32" s="17"/>
      <c r="V32" s="17"/>
      <c r="W32" s="17"/>
    </row>
    <row r="33" ht="15.75" customHeight="1">
      <c r="A33" s="9" t="s">
        <v>71</v>
      </c>
      <c r="B33" s="19" t="s">
        <v>72</v>
      </c>
      <c r="C33" s="11" t="s">
        <v>73</v>
      </c>
      <c r="D33" s="12" t="s">
        <v>65</v>
      </c>
      <c r="E33" s="13" t="str">
        <f t="array" ref="E33">INDEX(Turmas!C2:C103,MATCH(D33,Turmas!A2:A103,0))</f>
        <v>Tarde</v>
      </c>
      <c r="F33" s="20">
        <v>60.0</v>
      </c>
      <c r="G33" s="15">
        <v>4.0</v>
      </c>
      <c r="H33" s="15">
        <v>0.0</v>
      </c>
      <c r="I33" s="16" t="str">
        <f t="shared" si="1"/>
        <v>1-6,13-16</v>
      </c>
      <c r="J33" s="16" t="str">
        <f t="shared" si="2"/>
        <v>1-6,13-16</v>
      </c>
      <c r="K33" s="16" t="str">
        <f t="shared" si="3"/>
        <v>1-6,13-16</v>
      </c>
      <c r="L33" s="16" t="str">
        <f t="shared" si="4"/>
        <v>1-6,13-16</v>
      </c>
      <c r="M33" s="16" t="str">
        <f t="shared" si="5"/>
        <v>1-6,13-16</v>
      </c>
      <c r="N33" s="16" t="str">
        <f t="shared" si="6"/>
        <v>1-16</v>
      </c>
      <c r="O33" s="21"/>
      <c r="P33" s="21"/>
      <c r="Q33" s="21"/>
      <c r="R33" s="21"/>
      <c r="S33" s="21"/>
      <c r="T33" s="21"/>
      <c r="U33" s="21"/>
      <c r="V33" s="21"/>
      <c r="W33" s="21"/>
    </row>
    <row r="34" ht="14.25" customHeight="1">
      <c r="A34" s="9" t="s">
        <v>74</v>
      </c>
      <c r="B34" s="10" t="s">
        <v>75</v>
      </c>
      <c r="C34" s="11" t="s">
        <v>76</v>
      </c>
      <c r="D34" s="12" t="s">
        <v>65</v>
      </c>
      <c r="E34" s="13" t="str">
        <f t="array" ref="E34">INDEX(Turmas!C2:C103,MATCH(D34,Turmas!A2:A103,0))</f>
        <v>Tarde</v>
      </c>
      <c r="F34" s="14">
        <v>60.0</v>
      </c>
      <c r="G34" s="15">
        <v>4.0</v>
      </c>
      <c r="H34" s="15">
        <v>0.0</v>
      </c>
      <c r="I34" s="16" t="str">
        <f t="shared" si="1"/>
        <v>1-6,13-16</v>
      </c>
      <c r="J34" s="16" t="str">
        <f t="shared" si="2"/>
        <v>1-6,13-16</v>
      </c>
      <c r="K34" s="16" t="str">
        <f t="shared" si="3"/>
        <v>1-6,13-16</v>
      </c>
      <c r="L34" s="16" t="str">
        <f t="shared" si="4"/>
        <v>1-6,13-16</v>
      </c>
      <c r="M34" s="16" t="str">
        <f t="shared" si="5"/>
        <v>1-6,13-16</v>
      </c>
      <c r="N34" s="16" t="str">
        <f t="shared" si="6"/>
        <v>1-16</v>
      </c>
      <c r="O34" s="17"/>
      <c r="P34" s="17"/>
      <c r="Q34" s="17"/>
      <c r="R34" s="17"/>
      <c r="S34" s="17"/>
      <c r="T34" s="17"/>
      <c r="U34" s="17"/>
      <c r="V34" s="17"/>
      <c r="W34" s="17"/>
    </row>
    <row r="35" ht="14.25" customHeight="1">
      <c r="A35" s="9" t="s">
        <v>77</v>
      </c>
      <c r="B35" s="10" t="s">
        <v>78</v>
      </c>
      <c r="C35" s="11" t="s">
        <v>57</v>
      </c>
      <c r="D35" s="12" t="s">
        <v>65</v>
      </c>
      <c r="E35" s="13" t="str">
        <f t="array" ref="E35">INDEX(Turmas!C2:C103,MATCH(D35,Turmas!A2:A103,0))</f>
        <v>Tarde</v>
      </c>
      <c r="F35" s="14">
        <v>60.0</v>
      </c>
      <c r="G35" s="15">
        <v>3.0</v>
      </c>
      <c r="H35" s="15">
        <v>0.0</v>
      </c>
      <c r="I35" s="16" t="str">
        <f t="shared" si="1"/>
        <v>1-6,13-16</v>
      </c>
      <c r="J35" s="16" t="str">
        <f t="shared" si="2"/>
        <v>1-6,13-16</v>
      </c>
      <c r="K35" s="16" t="str">
        <f t="shared" si="3"/>
        <v>1-6,13-16</v>
      </c>
      <c r="L35" s="16" t="str">
        <f t="shared" si="4"/>
        <v>1-6,13-16</v>
      </c>
      <c r="M35" s="16" t="str">
        <f t="shared" si="5"/>
        <v>1-6,13-16</v>
      </c>
      <c r="N35" s="16" t="str">
        <f t="shared" si="6"/>
        <v>1-16</v>
      </c>
      <c r="O35" s="17"/>
      <c r="P35" s="17"/>
      <c r="Q35" s="17"/>
      <c r="R35" s="17"/>
      <c r="S35" s="17"/>
      <c r="T35" s="17"/>
      <c r="U35" s="17"/>
      <c r="V35" s="17"/>
      <c r="W35" s="17"/>
    </row>
    <row r="36" ht="14.25" customHeight="1">
      <c r="A36" s="9" t="s">
        <v>14</v>
      </c>
      <c r="B36" s="10" t="s">
        <v>15</v>
      </c>
      <c r="C36" s="11" t="s">
        <v>47</v>
      </c>
      <c r="D36" s="12" t="s">
        <v>79</v>
      </c>
      <c r="E36" s="13" t="str">
        <f t="array" ref="E36">INDEX(Turmas!C2:C103,MATCH(D36,Turmas!A2:A103,0))</f>
        <v>Noite</v>
      </c>
      <c r="F36" s="14">
        <v>60.0</v>
      </c>
      <c r="G36" s="15">
        <v>3.0</v>
      </c>
      <c r="H36" s="15">
        <v>0.0</v>
      </c>
      <c r="I36" s="16" t="str">
        <f t="shared" si="1"/>
        <v>1-12</v>
      </c>
      <c r="J36" s="16" t="str">
        <f t="shared" si="2"/>
        <v>1-12</v>
      </c>
      <c r="K36" s="16" t="str">
        <f t="shared" si="3"/>
        <v>1-12</v>
      </c>
      <c r="L36" s="16" t="str">
        <f t="shared" si="4"/>
        <v>1-12</v>
      </c>
      <c r="M36" s="16" t="str">
        <f t="shared" si="5"/>
        <v>1-12</v>
      </c>
      <c r="N36" s="16" t="str">
        <f t="shared" si="6"/>
        <v>0</v>
      </c>
      <c r="O36" s="17"/>
      <c r="P36" s="17"/>
      <c r="Q36" s="17"/>
      <c r="R36" s="17"/>
      <c r="S36" s="17"/>
      <c r="T36" s="17"/>
      <c r="U36" s="17"/>
      <c r="V36" s="17"/>
      <c r="W36" s="17"/>
    </row>
    <row r="37" ht="14.25" customHeight="1">
      <c r="A37" s="9" t="s">
        <v>18</v>
      </c>
      <c r="B37" s="10" t="s">
        <v>19</v>
      </c>
      <c r="C37" s="11" t="s">
        <v>49</v>
      </c>
      <c r="D37" s="12" t="s">
        <v>79</v>
      </c>
      <c r="E37" s="13" t="str">
        <f t="array" ref="E37">INDEX(Turmas!C2:C103,MATCH(D37,Turmas!A2:A103,0))</f>
        <v>Noite</v>
      </c>
      <c r="F37" s="14">
        <v>60.0</v>
      </c>
      <c r="G37" s="15">
        <v>4.0</v>
      </c>
      <c r="H37" s="15">
        <v>0.0</v>
      </c>
      <c r="I37" s="16" t="str">
        <f t="shared" si="1"/>
        <v>1-12</v>
      </c>
      <c r="J37" s="16" t="str">
        <f t="shared" si="2"/>
        <v>1-12</v>
      </c>
      <c r="K37" s="16" t="str">
        <f t="shared" si="3"/>
        <v>1-12</v>
      </c>
      <c r="L37" s="16" t="str">
        <f t="shared" si="4"/>
        <v>1-12</v>
      </c>
      <c r="M37" s="16" t="str">
        <f t="shared" si="5"/>
        <v>1-12</v>
      </c>
      <c r="N37" s="16" t="str">
        <f t="shared" si="6"/>
        <v>0</v>
      </c>
      <c r="O37" s="17"/>
      <c r="P37" s="17"/>
      <c r="Q37" s="17"/>
      <c r="R37" s="17"/>
      <c r="S37" s="17"/>
      <c r="T37" s="17"/>
      <c r="U37" s="17"/>
      <c r="V37" s="17"/>
      <c r="W37" s="17"/>
    </row>
    <row r="38" ht="14.25" customHeight="1">
      <c r="A38" s="9" t="s">
        <v>20</v>
      </c>
      <c r="B38" s="10" t="s">
        <v>21</v>
      </c>
      <c r="C38" s="11" t="s">
        <v>80</v>
      </c>
      <c r="D38" s="12" t="s">
        <v>79</v>
      </c>
      <c r="E38" s="13" t="str">
        <f t="array" ref="E38">INDEX(Turmas!C2:C103,MATCH(D38,Turmas!A2:A103,0))</f>
        <v>Noite</v>
      </c>
      <c r="F38" s="14">
        <v>60.0</v>
      </c>
      <c r="G38" s="15">
        <v>3.0</v>
      </c>
      <c r="H38" s="15">
        <v>0.0</v>
      </c>
      <c r="I38" s="16" t="str">
        <f t="shared" si="1"/>
        <v>1-12</v>
      </c>
      <c r="J38" s="16" t="str">
        <f t="shared" si="2"/>
        <v>1-12</v>
      </c>
      <c r="K38" s="16" t="str">
        <f t="shared" si="3"/>
        <v>1-12</v>
      </c>
      <c r="L38" s="16" t="str">
        <f t="shared" si="4"/>
        <v>1-12</v>
      </c>
      <c r="M38" s="16" t="str">
        <f t="shared" si="5"/>
        <v>1-12</v>
      </c>
      <c r="N38" s="16" t="str">
        <f t="shared" si="6"/>
        <v>0</v>
      </c>
      <c r="O38" s="17"/>
      <c r="P38" s="17"/>
      <c r="Q38" s="17"/>
      <c r="R38" s="17"/>
      <c r="S38" s="17"/>
      <c r="T38" s="17"/>
      <c r="U38" s="17"/>
      <c r="V38" s="17"/>
      <c r="W38" s="17"/>
    </row>
    <row r="39" ht="14.25" customHeight="1">
      <c r="A39" s="9" t="s">
        <v>23</v>
      </c>
      <c r="B39" s="10" t="s">
        <v>24</v>
      </c>
      <c r="C39" s="11" t="s">
        <v>51</v>
      </c>
      <c r="D39" s="12" t="s">
        <v>79</v>
      </c>
      <c r="E39" s="13" t="str">
        <f t="array" ref="E39">INDEX(Turmas!C2:C103,MATCH(D39,Turmas!A2:A103,0))</f>
        <v>Noite</v>
      </c>
      <c r="F39" s="14">
        <v>60.0</v>
      </c>
      <c r="G39" s="15">
        <v>2.0</v>
      </c>
      <c r="H39" s="15">
        <v>0.0</v>
      </c>
      <c r="I39" s="16" t="str">
        <f t="shared" si="1"/>
        <v>1-12</v>
      </c>
      <c r="J39" s="16" t="str">
        <f t="shared" si="2"/>
        <v>1-12</v>
      </c>
      <c r="K39" s="16" t="str">
        <f t="shared" si="3"/>
        <v>1-12</v>
      </c>
      <c r="L39" s="16" t="str">
        <f t="shared" si="4"/>
        <v>1-12</v>
      </c>
      <c r="M39" s="16" t="str">
        <f t="shared" si="5"/>
        <v>1-12</v>
      </c>
      <c r="N39" s="16" t="str">
        <f t="shared" si="6"/>
        <v>0</v>
      </c>
      <c r="O39" s="17"/>
      <c r="P39" s="17"/>
      <c r="Q39" s="17"/>
      <c r="R39" s="17"/>
      <c r="S39" s="17"/>
      <c r="T39" s="17"/>
      <c r="U39" s="17"/>
      <c r="V39" s="17"/>
      <c r="W39" s="17"/>
    </row>
    <row r="40" ht="14.25" customHeight="1">
      <c r="A40" s="9" t="s">
        <v>25</v>
      </c>
      <c r="B40" s="10" t="s">
        <v>26</v>
      </c>
      <c r="C40" s="11" t="s">
        <v>52</v>
      </c>
      <c r="D40" s="12" t="s">
        <v>79</v>
      </c>
      <c r="E40" s="13" t="str">
        <f t="array" ref="E40">INDEX(Turmas!C2:C103,MATCH(D40,Turmas!A2:A103,0))</f>
        <v>Noite</v>
      </c>
      <c r="F40" s="14">
        <v>61.0</v>
      </c>
      <c r="G40" s="15">
        <v>4.0</v>
      </c>
      <c r="H40" s="15">
        <v>0.0</v>
      </c>
      <c r="I40" s="16" t="str">
        <f t="shared" si="1"/>
        <v>1-12</v>
      </c>
      <c r="J40" s="16" t="str">
        <f t="shared" si="2"/>
        <v>1-12</v>
      </c>
      <c r="K40" s="16" t="str">
        <f t="shared" si="3"/>
        <v>1-12</v>
      </c>
      <c r="L40" s="16" t="str">
        <f t="shared" si="4"/>
        <v>1-12</v>
      </c>
      <c r="M40" s="16" t="str">
        <f t="shared" si="5"/>
        <v>1-12</v>
      </c>
      <c r="N40" s="16" t="str">
        <f t="shared" si="6"/>
        <v>0</v>
      </c>
      <c r="O40" s="17"/>
      <c r="P40" s="17"/>
      <c r="Q40" s="17"/>
      <c r="R40" s="17"/>
      <c r="S40" s="17"/>
      <c r="T40" s="17"/>
      <c r="U40" s="17"/>
      <c r="V40" s="17"/>
      <c r="W40" s="17"/>
    </row>
    <row r="41" ht="14.25" customHeight="1">
      <c r="A41" s="9" t="s">
        <v>28</v>
      </c>
      <c r="B41" s="10" t="s">
        <v>29</v>
      </c>
      <c r="C41" s="11" t="s">
        <v>53</v>
      </c>
      <c r="D41" s="12" t="s">
        <v>79</v>
      </c>
      <c r="E41" s="13" t="str">
        <f t="array" ref="E41">INDEX(Turmas!C2:C103,MATCH(D41,Turmas!A2:A103,0))</f>
        <v>Noite</v>
      </c>
      <c r="F41" s="14">
        <v>61.0</v>
      </c>
      <c r="G41" s="15">
        <v>4.0</v>
      </c>
      <c r="H41" s="15">
        <v>0.0</v>
      </c>
      <c r="I41" s="16" t="str">
        <f t="shared" si="1"/>
        <v>1-12</v>
      </c>
      <c r="J41" s="16" t="str">
        <f t="shared" si="2"/>
        <v>1-12</v>
      </c>
      <c r="K41" s="16" t="str">
        <f t="shared" si="3"/>
        <v>1-12</v>
      </c>
      <c r="L41" s="16" t="str">
        <f t="shared" si="4"/>
        <v>1-12</v>
      </c>
      <c r="M41" s="16" t="str">
        <f t="shared" si="5"/>
        <v>1-12</v>
      </c>
      <c r="N41" s="16" t="str">
        <f t="shared" si="6"/>
        <v>0</v>
      </c>
      <c r="O41" s="17"/>
      <c r="P41" s="17"/>
      <c r="Q41" s="17"/>
      <c r="R41" s="17"/>
      <c r="S41" s="17"/>
      <c r="T41" s="17"/>
      <c r="U41" s="17"/>
      <c r="V41" s="17"/>
      <c r="W41" s="17"/>
    </row>
    <row r="42" ht="14.25" customHeight="1">
      <c r="A42" s="9" t="s">
        <v>30</v>
      </c>
      <c r="B42" s="10" t="s">
        <v>31</v>
      </c>
      <c r="C42" s="11" t="s">
        <v>54</v>
      </c>
      <c r="D42" s="12" t="s">
        <v>79</v>
      </c>
      <c r="E42" s="13" t="str">
        <f t="array" ref="E42">INDEX(Turmas!C2:C103,MATCH(D42,Turmas!A2:A103,0))</f>
        <v>Noite</v>
      </c>
      <c r="F42" s="14">
        <v>60.0</v>
      </c>
      <c r="G42" s="15">
        <v>3.0</v>
      </c>
      <c r="H42" s="15">
        <v>0.0</v>
      </c>
      <c r="I42" s="16" t="str">
        <f t="shared" si="1"/>
        <v>1-12</v>
      </c>
      <c r="J42" s="16" t="str">
        <f t="shared" si="2"/>
        <v>1-12</v>
      </c>
      <c r="K42" s="16" t="str">
        <f t="shared" si="3"/>
        <v>1-12</v>
      </c>
      <c r="L42" s="16" t="str">
        <f t="shared" si="4"/>
        <v>1-12</v>
      </c>
      <c r="M42" s="16" t="str">
        <f t="shared" si="5"/>
        <v>1-12</v>
      </c>
      <c r="N42" s="16" t="str">
        <f t="shared" si="6"/>
        <v>0</v>
      </c>
      <c r="O42" s="17"/>
      <c r="P42" s="17"/>
      <c r="Q42" s="17"/>
      <c r="R42" s="17"/>
      <c r="S42" s="17"/>
      <c r="T42" s="17"/>
      <c r="U42" s="17"/>
      <c r="V42" s="17"/>
      <c r="W42" s="17"/>
    </row>
    <row r="43" ht="14.25" customHeight="1">
      <c r="A43" s="9" t="s">
        <v>32</v>
      </c>
      <c r="B43" s="10" t="s">
        <v>33</v>
      </c>
      <c r="C43" s="11" t="s">
        <v>55</v>
      </c>
      <c r="D43" s="12" t="s">
        <v>81</v>
      </c>
      <c r="E43" s="13" t="str">
        <f t="array" ref="E43">INDEX(Turmas!C2:C103,MATCH(D43,Turmas!A2:A103,0))</f>
        <v>Noite</v>
      </c>
      <c r="F43" s="14">
        <v>60.0</v>
      </c>
      <c r="G43" s="15">
        <v>3.0</v>
      </c>
      <c r="H43" s="15">
        <v>0.0</v>
      </c>
      <c r="I43" s="16" t="str">
        <f t="shared" si="1"/>
        <v>1-12</v>
      </c>
      <c r="J43" s="16" t="str">
        <f t="shared" si="2"/>
        <v>1-12</v>
      </c>
      <c r="K43" s="16" t="str">
        <f t="shared" si="3"/>
        <v>1-12</v>
      </c>
      <c r="L43" s="16" t="str">
        <f t="shared" si="4"/>
        <v>1-12</v>
      </c>
      <c r="M43" s="16" t="str">
        <f t="shared" si="5"/>
        <v>1-12</v>
      </c>
      <c r="N43" s="16" t="str">
        <f t="shared" si="6"/>
        <v>0</v>
      </c>
      <c r="O43" s="17"/>
      <c r="P43" s="17"/>
      <c r="Q43" s="17"/>
      <c r="R43" s="17"/>
      <c r="S43" s="17"/>
      <c r="T43" s="17"/>
      <c r="U43" s="17"/>
      <c r="V43" s="17"/>
      <c r="W43" s="17"/>
    </row>
    <row r="44" ht="14.25" customHeight="1">
      <c r="A44" s="9" t="s">
        <v>35</v>
      </c>
      <c r="B44" s="10" t="s">
        <v>36</v>
      </c>
      <c r="C44" s="11" t="s">
        <v>52</v>
      </c>
      <c r="D44" s="12" t="s">
        <v>81</v>
      </c>
      <c r="E44" s="13" t="str">
        <f t="array" ref="E44">INDEX(Turmas!C2:C103,MATCH(D44,Turmas!A2:A103,0))</f>
        <v>Noite</v>
      </c>
      <c r="F44" s="14">
        <v>60.0</v>
      </c>
      <c r="G44" s="15">
        <v>3.0</v>
      </c>
      <c r="H44" s="15">
        <v>0.0</v>
      </c>
      <c r="I44" s="16" t="str">
        <f t="shared" si="1"/>
        <v>1-12</v>
      </c>
      <c r="J44" s="16" t="str">
        <f t="shared" si="2"/>
        <v>1-12</v>
      </c>
      <c r="K44" s="16" t="str">
        <f t="shared" si="3"/>
        <v>1-12</v>
      </c>
      <c r="L44" s="16" t="str">
        <f t="shared" si="4"/>
        <v>1-12</v>
      </c>
      <c r="M44" s="16" t="str">
        <f t="shared" si="5"/>
        <v>1-12</v>
      </c>
      <c r="N44" s="16" t="str">
        <f t="shared" si="6"/>
        <v>0</v>
      </c>
      <c r="O44" s="17"/>
      <c r="P44" s="17"/>
      <c r="Q44" s="17"/>
      <c r="R44" s="17"/>
      <c r="S44" s="17"/>
      <c r="T44" s="17"/>
      <c r="U44" s="17"/>
      <c r="V44" s="17"/>
      <c r="W44" s="17"/>
    </row>
    <row r="45" ht="14.25" customHeight="1">
      <c r="A45" s="9" t="s">
        <v>37</v>
      </c>
      <c r="B45" s="10" t="s">
        <v>38</v>
      </c>
      <c r="C45" s="11" t="s">
        <v>80</v>
      </c>
      <c r="D45" s="12" t="s">
        <v>81</v>
      </c>
      <c r="E45" s="13" t="str">
        <f t="array" ref="E45">INDEX(Turmas!C2:C103,MATCH(D45,Turmas!A2:A103,0))</f>
        <v>Noite</v>
      </c>
      <c r="F45" s="14">
        <v>60.0</v>
      </c>
      <c r="G45" s="15">
        <v>3.0</v>
      </c>
      <c r="H45" s="15">
        <v>0.0</v>
      </c>
      <c r="I45" s="16" t="str">
        <f t="shared" si="1"/>
        <v>1-12</v>
      </c>
      <c r="J45" s="16" t="str">
        <f t="shared" si="2"/>
        <v>1-12</v>
      </c>
      <c r="K45" s="16" t="str">
        <f t="shared" si="3"/>
        <v>1-12</v>
      </c>
      <c r="L45" s="16" t="str">
        <f t="shared" si="4"/>
        <v>1-12</v>
      </c>
      <c r="M45" s="16" t="str">
        <f t="shared" si="5"/>
        <v>1-12</v>
      </c>
      <c r="N45" s="16" t="str">
        <f t="shared" si="6"/>
        <v>0</v>
      </c>
      <c r="O45" s="17"/>
      <c r="P45" s="17"/>
      <c r="Q45" s="17"/>
      <c r="R45" s="17"/>
      <c r="S45" s="17"/>
      <c r="T45" s="17"/>
      <c r="U45" s="17"/>
      <c r="V45" s="17"/>
      <c r="W45" s="17"/>
    </row>
    <row r="46" ht="14.25" customHeight="1">
      <c r="A46" s="9" t="s">
        <v>39</v>
      </c>
      <c r="B46" s="10" t="s">
        <v>40</v>
      </c>
      <c r="C46" s="11" t="s">
        <v>73</v>
      </c>
      <c r="D46" s="12" t="s">
        <v>81</v>
      </c>
      <c r="E46" s="13" t="str">
        <f t="array" ref="E46">INDEX(Turmas!C2:C103,MATCH(D46,Turmas!A2:A103,0))</f>
        <v>Noite</v>
      </c>
      <c r="F46" s="14">
        <v>60.0</v>
      </c>
      <c r="G46" s="15">
        <v>3.0</v>
      </c>
      <c r="H46" s="15">
        <v>0.0</v>
      </c>
      <c r="I46" s="16" t="str">
        <f t="shared" si="1"/>
        <v>1-12</v>
      </c>
      <c r="J46" s="16" t="str">
        <f t="shared" si="2"/>
        <v>1-12</v>
      </c>
      <c r="K46" s="16" t="str">
        <f t="shared" si="3"/>
        <v>1-12</v>
      </c>
      <c r="L46" s="16" t="str">
        <f t="shared" si="4"/>
        <v>1-12</v>
      </c>
      <c r="M46" s="16" t="str">
        <f t="shared" si="5"/>
        <v>1-12</v>
      </c>
      <c r="N46" s="16" t="str">
        <f t="shared" si="6"/>
        <v>0</v>
      </c>
      <c r="O46" s="17"/>
      <c r="P46" s="17"/>
      <c r="Q46" s="17"/>
      <c r="R46" s="17"/>
      <c r="S46" s="17"/>
      <c r="T46" s="17"/>
      <c r="U46" s="17"/>
      <c r="V46" s="17"/>
      <c r="W46" s="17"/>
    </row>
    <row r="47" ht="14.25" customHeight="1">
      <c r="A47" s="9" t="s">
        <v>41</v>
      </c>
      <c r="B47" s="10" t="s">
        <v>42</v>
      </c>
      <c r="C47" s="11" t="s">
        <v>60</v>
      </c>
      <c r="D47" s="12" t="s">
        <v>81</v>
      </c>
      <c r="E47" s="13" t="str">
        <f t="array" ref="E47">INDEX(Turmas!C2:C103,MATCH(D47,Turmas!A2:A103,0))</f>
        <v>Noite</v>
      </c>
      <c r="F47" s="14">
        <v>60.0</v>
      </c>
      <c r="G47" s="15">
        <v>5.0</v>
      </c>
      <c r="H47" s="15">
        <v>0.0</v>
      </c>
      <c r="I47" s="16" t="str">
        <f t="shared" si="1"/>
        <v>1-12</v>
      </c>
      <c r="J47" s="16" t="str">
        <f t="shared" si="2"/>
        <v>1-12</v>
      </c>
      <c r="K47" s="16" t="str">
        <f t="shared" si="3"/>
        <v>1-12</v>
      </c>
      <c r="L47" s="16" t="str">
        <f t="shared" si="4"/>
        <v>1-12</v>
      </c>
      <c r="M47" s="16" t="str">
        <f t="shared" si="5"/>
        <v>1-12</v>
      </c>
      <c r="N47" s="16" t="str">
        <f t="shared" si="6"/>
        <v>0</v>
      </c>
      <c r="O47" s="17"/>
      <c r="P47" s="17"/>
      <c r="Q47" s="17"/>
      <c r="R47" s="17"/>
      <c r="S47" s="17"/>
      <c r="T47" s="17"/>
      <c r="U47" s="17"/>
      <c r="V47" s="17"/>
      <c r="W47" s="17"/>
    </row>
    <row r="48" ht="14.25" customHeight="1">
      <c r="A48" s="9" t="s">
        <v>43</v>
      </c>
      <c r="B48" s="10" t="s">
        <v>44</v>
      </c>
      <c r="C48" s="11" t="s">
        <v>61</v>
      </c>
      <c r="D48" s="12" t="s">
        <v>81</v>
      </c>
      <c r="E48" s="13" t="str">
        <f t="array" ref="E48">INDEX(Turmas!C2:C103,MATCH(D48,Turmas!A2:A103,0))</f>
        <v>Noite</v>
      </c>
      <c r="F48" s="14">
        <v>60.0</v>
      </c>
      <c r="G48" s="15">
        <v>4.0</v>
      </c>
      <c r="H48" s="15">
        <v>0.0</v>
      </c>
      <c r="I48" s="16" t="str">
        <f t="shared" si="1"/>
        <v>1-12</v>
      </c>
      <c r="J48" s="16" t="str">
        <f t="shared" si="2"/>
        <v>1-12</v>
      </c>
      <c r="K48" s="16" t="str">
        <f t="shared" si="3"/>
        <v>1-12</v>
      </c>
      <c r="L48" s="16" t="str">
        <f t="shared" si="4"/>
        <v>1-12</v>
      </c>
      <c r="M48" s="16" t="str">
        <f t="shared" si="5"/>
        <v>1-12</v>
      </c>
      <c r="N48" s="16" t="str">
        <f t="shared" si="6"/>
        <v>0</v>
      </c>
      <c r="O48" s="17"/>
      <c r="P48" s="17"/>
      <c r="Q48" s="17"/>
      <c r="R48" s="17"/>
      <c r="S48" s="17"/>
      <c r="T48" s="17"/>
      <c r="U48" s="17"/>
      <c r="V48" s="17"/>
      <c r="W48" s="17"/>
    </row>
    <row r="49" ht="14.25" customHeight="1">
      <c r="A49" s="9" t="s">
        <v>45</v>
      </c>
      <c r="B49" s="10" t="s">
        <v>46</v>
      </c>
      <c r="C49" s="11" t="s">
        <v>53</v>
      </c>
      <c r="D49" s="12" t="s">
        <v>81</v>
      </c>
      <c r="E49" s="13" t="str">
        <f t="array" ref="E49">INDEX(Turmas!C2:C103,MATCH(D49,Turmas!A2:A103,0))</f>
        <v>Noite</v>
      </c>
      <c r="F49" s="14">
        <v>60.0</v>
      </c>
      <c r="G49" s="15">
        <v>3.0</v>
      </c>
      <c r="H49" s="15">
        <v>0.0</v>
      </c>
      <c r="I49" s="16" t="str">
        <f t="shared" si="1"/>
        <v>1-12</v>
      </c>
      <c r="J49" s="16" t="str">
        <f t="shared" si="2"/>
        <v>1-12</v>
      </c>
      <c r="K49" s="16" t="str">
        <f t="shared" si="3"/>
        <v>1-12</v>
      </c>
      <c r="L49" s="16" t="str">
        <f t="shared" si="4"/>
        <v>1-12</v>
      </c>
      <c r="M49" s="16" t="str">
        <f t="shared" si="5"/>
        <v>1-12</v>
      </c>
      <c r="N49" s="16" t="str">
        <f t="shared" si="6"/>
        <v>0</v>
      </c>
      <c r="O49" s="17"/>
      <c r="P49" s="17"/>
      <c r="Q49" s="17"/>
      <c r="R49" s="17"/>
      <c r="S49" s="17"/>
      <c r="T49" s="17"/>
      <c r="U49" s="17"/>
      <c r="V49" s="17"/>
      <c r="W49" s="17"/>
    </row>
    <row r="50" ht="14.25" customHeight="1">
      <c r="A50" s="9" t="s">
        <v>63</v>
      </c>
      <c r="B50" s="10" t="s">
        <v>64</v>
      </c>
      <c r="C50" s="11" t="s">
        <v>73</v>
      </c>
      <c r="D50" s="12" t="s">
        <v>82</v>
      </c>
      <c r="E50" s="13" t="str">
        <f t="array" ref="E50">INDEX(Turmas!C2:C103,MATCH(D50,Turmas!A2:A103,0))</f>
        <v>Noite</v>
      </c>
      <c r="F50" s="14">
        <v>60.0</v>
      </c>
      <c r="G50" s="15">
        <v>4.0</v>
      </c>
      <c r="H50" s="15">
        <v>0.0</v>
      </c>
      <c r="I50" s="16" t="str">
        <f t="shared" si="1"/>
        <v>1-12</v>
      </c>
      <c r="J50" s="16" t="str">
        <f t="shared" si="2"/>
        <v>1-12</v>
      </c>
      <c r="K50" s="16" t="str">
        <f t="shared" si="3"/>
        <v>1-12</v>
      </c>
      <c r="L50" s="16" t="str">
        <f t="shared" si="4"/>
        <v>1-12</v>
      </c>
      <c r="M50" s="16" t="str">
        <f t="shared" si="5"/>
        <v>1-12</v>
      </c>
      <c r="N50" s="16" t="str">
        <f t="shared" si="6"/>
        <v>0</v>
      </c>
      <c r="O50" s="17"/>
      <c r="P50" s="17"/>
      <c r="Q50" s="17"/>
      <c r="R50" s="17"/>
      <c r="S50" s="17"/>
      <c r="T50" s="17"/>
      <c r="U50" s="17"/>
      <c r="V50" s="17"/>
      <c r="W50" s="17"/>
    </row>
    <row r="51" ht="14.25" customHeight="1">
      <c r="A51" s="9" t="s">
        <v>66</v>
      </c>
      <c r="B51" s="10" t="s">
        <v>67</v>
      </c>
      <c r="C51" s="11" t="s">
        <v>83</v>
      </c>
      <c r="D51" s="12" t="s">
        <v>82</v>
      </c>
      <c r="E51" s="13" t="str">
        <f t="array" ref="E51">INDEX(Turmas!C2:C103,MATCH(D51,Turmas!A2:A103,0))</f>
        <v>Noite</v>
      </c>
      <c r="F51" s="14">
        <v>60.0</v>
      </c>
      <c r="G51" s="15">
        <v>2.0</v>
      </c>
      <c r="H51" s="15">
        <v>0.0</v>
      </c>
      <c r="I51" s="16" t="str">
        <f t="shared" si="1"/>
        <v>1-12</v>
      </c>
      <c r="J51" s="16" t="str">
        <f t="shared" si="2"/>
        <v>1-12</v>
      </c>
      <c r="K51" s="16" t="str">
        <f t="shared" si="3"/>
        <v>1-12</v>
      </c>
      <c r="L51" s="16" t="str">
        <f t="shared" si="4"/>
        <v>1-12</v>
      </c>
      <c r="M51" s="16" t="str">
        <f t="shared" si="5"/>
        <v>1-12</v>
      </c>
      <c r="N51" s="16" t="str">
        <f t="shared" si="6"/>
        <v>0</v>
      </c>
      <c r="O51" s="17"/>
      <c r="P51" s="17"/>
      <c r="Q51" s="17"/>
      <c r="R51" s="17"/>
      <c r="S51" s="17"/>
      <c r="T51" s="17"/>
      <c r="U51" s="17"/>
      <c r="V51" s="17"/>
      <c r="W51" s="17"/>
    </row>
    <row r="52" ht="14.25" customHeight="1">
      <c r="A52" s="9" t="s">
        <v>69</v>
      </c>
      <c r="B52" s="10" t="s">
        <v>70</v>
      </c>
      <c r="C52" s="11" t="s">
        <v>58</v>
      </c>
      <c r="D52" s="12" t="s">
        <v>82</v>
      </c>
      <c r="E52" s="13" t="str">
        <f t="array" ref="E52">INDEX(Turmas!C2:C103,MATCH(D52,Turmas!A2:A103,0))</f>
        <v>Noite</v>
      </c>
      <c r="F52" s="14">
        <v>60.0</v>
      </c>
      <c r="G52" s="15">
        <v>2.0</v>
      </c>
      <c r="H52" s="15">
        <v>0.0</v>
      </c>
      <c r="I52" s="16" t="str">
        <f t="shared" si="1"/>
        <v>1-12</v>
      </c>
      <c r="J52" s="16" t="str">
        <f t="shared" si="2"/>
        <v>1-12</v>
      </c>
      <c r="K52" s="16" t="str">
        <f t="shared" si="3"/>
        <v>1-12</v>
      </c>
      <c r="L52" s="16" t="str">
        <f t="shared" si="4"/>
        <v>1-12</v>
      </c>
      <c r="M52" s="16" t="str">
        <f t="shared" si="5"/>
        <v>1-12</v>
      </c>
      <c r="N52" s="16" t="str">
        <f t="shared" si="6"/>
        <v>0</v>
      </c>
      <c r="O52" s="17"/>
      <c r="P52" s="17"/>
      <c r="Q52" s="17"/>
      <c r="R52" s="17"/>
      <c r="S52" s="17"/>
      <c r="T52" s="17"/>
      <c r="U52" s="17"/>
      <c r="V52" s="17"/>
      <c r="W52" s="17"/>
    </row>
    <row r="53" ht="14.25" customHeight="1">
      <c r="A53" s="9" t="s">
        <v>71</v>
      </c>
      <c r="B53" s="10" t="s">
        <v>72</v>
      </c>
      <c r="C53" s="11" t="s">
        <v>55</v>
      </c>
      <c r="D53" s="12" t="s">
        <v>82</v>
      </c>
      <c r="E53" s="13" t="str">
        <f t="array" ref="E53">INDEX(Turmas!C2:C103,MATCH(D53,Turmas!A2:A103,0))</f>
        <v>Noite</v>
      </c>
      <c r="F53" s="14">
        <v>60.0</v>
      </c>
      <c r="G53" s="15">
        <v>4.0</v>
      </c>
      <c r="H53" s="15">
        <v>0.0</v>
      </c>
      <c r="I53" s="16" t="str">
        <f t="shared" si="1"/>
        <v>1-12</v>
      </c>
      <c r="J53" s="16" t="str">
        <f t="shared" si="2"/>
        <v>1-12</v>
      </c>
      <c r="K53" s="16" t="str">
        <f t="shared" si="3"/>
        <v>1-12</v>
      </c>
      <c r="L53" s="16" t="str">
        <f t="shared" si="4"/>
        <v>1-12</v>
      </c>
      <c r="M53" s="16" t="str">
        <f t="shared" si="5"/>
        <v>1-12</v>
      </c>
      <c r="N53" s="16" t="str">
        <f t="shared" si="6"/>
        <v>0</v>
      </c>
      <c r="O53" s="17"/>
      <c r="P53" s="17"/>
      <c r="Q53" s="17"/>
      <c r="R53" s="17"/>
      <c r="S53" s="17"/>
      <c r="T53" s="17"/>
      <c r="U53" s="17"/>
      <c r="V53" s="17"/>
      <c r="W53" s="17"/>
    </row>
    <row r="54" ht="14.25" customHeight="1">
      <c r="A54" s="9" t="s">
        <v>74</v>
      </c>
      <c r="B54" s="10" t="s">
        <v>75</v>
      </c>
      <c r="C54" s="11" t="s">
        <v>76</v>
      </c>
      <c r="D54" s="12" t="s">
        <v>82</v>
      </c>
      <c r="E54" s="13" t="str">
        <f t="array" ref="E54">INDEX(Turmas!C2:C103,MATCH(D54,Turmas!A2:A103,0))</f>
        <v>Noite</v>
      </c>
      <c r="F54" s="14">
        <v>60.0</v>
      </c>
      <c r="G54" s="15">
        <v>4.0</v>
      </c>
      <c r="H54" s="15">
        <v>0.0</v>
      </c>
      <c r="I54" s="16" t="str">
        <f t="shared" si="1"/>
        <v>1-12</v>
      </c>
      <c r="J54" s="16" t="str">
        <f t="shared" si="2"/>
        <v>1-12</v>
      </c>
      <c r="K54" s="16" t="str">
        <f t="shared" si="3"/>
        <v>1-12</v>
      </c>
      <c r="L54" s="16" t="str">
        <f t="shared" si="4"/>
        <v>1-12</v>
      </c>
      <c r="M54" s="16" t="str">
        <f t="shared" si="5"/>
        <v>1-12</v>
      </c>
      <c r="N54" s="16" t="str">
        <f t="shared" si="6"/>
        <v>0</v>
      </c>
      <c r="O54" s="17"/>
      <c r="P54" s="17"/>
      <c r="Q54" s="17"/>
      <c r="R54" s="17"/>
      <c r="S54" s="17"/>
      <c r="T54" s="17"/>
      <c r="U54" s="17"/>
      <c r="V54" s="17"/>
      <c r="W54" s="17"/>
    </row>
    <row r="55" ht="14.25" customHeight="1">
      <c r="A55" s="9" t="s">
        <v>77</v>
      </c>
      <c r="B55" s="10" t="s">
        <v>78</v>
      </c>
      <c r="C55" s="11" t="s">
        <v>59</v>
      </c>
      <c r="D55" s="12" t="s">
        <v>82</v>
      </c>
      <c r="E55" s="13" t="str">
        <f t="array" ref="E55">INDEX(Turmas!C2:C103,MATCH(D55,Turmas!A2:A103,0))</f>
        <v>Noite</v>
      </c>
      <c r="F55" s="14">
        <v>60.0</v>
      </c>
      <c r="G55" s="15">
        <v>4.0</v>
      </c>
      <c r="H55" s="15">
        <v>0.0</v>
      </c>
      <c r="I55" s="16" t="str">
        <f t="shared" si="1"/>
        <v>1-12</v>
      </c>
      <c r="J55" s="16" t="str">
        <f t="shared" si="2"/>
        <v>1-12</v>
      </c>
      <c r="K55" s="16" t="str">
        <f t="shared" si="3"/>
        <v>1-12</v>
      </c>
      <c r="L55" s="16" t="str">
        <f t="shared" si="4"/>
        <v>1-12</v>
      </c>
      <c r="M55" s="16" t="str">
        <f t="shared" si="5"/>
        <v>1-12</v>
      </c>
      <c r="N55" s="16" t="str">
        <f t="shared" si="6"/>
        <v>0</v>
      </c>
      <c r="O55" s="17"/>
      <c r="P55" s="17"/>
      <c r="Q55" s="17"/>
      <c r="R55" s="17"/>
      <c r="S55" s="17"/>
      <c r="T55" s="17"/>
      <c r="U55" s="17"/>
      <c r="V55" s="17"/>
      <c r="W55" s="17"/>
    </row>
    <row r="56" ht="14.25" customHeight="1">
      <c r="A56" s="9" t="s">
        <v>25</v>
      </c>
      <c r="B56" s="10" t="s">
        <v>26</v>
      </c>
      <c r="C56" s="11" t="s">
        <v>83</v>
      </c>
      <c r="D56" s="12" t="s">
        <v>84</v>
      </c>
      <c r="E56" s="13" t="str">
        <f t="array" ref="E56">INDEX(Turmas!C2:C103,MATCH(D56,Turmas!A2:A103,0))</f>
        <v>Noite</v>
      </c>
      <c r="F56" s="14">
        <v>60.0</v>
      </c>
      <c r="G56" s="15">
        <v>4.0</v>
      </c>
      <c r="H56" s="15">
        <v>0.0</v>
      </c>
      <c r="I56" s="16" t="str">
        <f t="shared" si="1"/>
        <v>1-12</v>
      </c>
      <c r="J56" s="16" t="str">
        <f t="shared" si="2"/>
        <v>1-12</v>
      </c>
      <c r="K56" s="16" t="str">
        <f t="shared" si="3"/>
        <v>1-12</v>
      </c>
      <c r="L56" s="16" t="str">
        <f t="shared" si="4"/>
        <v>1-12</v>
      </c>
      <c r="M56" s="16" t="str">
        <f t="shared" si="5"/>
        <v>1-12</v>
      </c>
      <c r="N56" s="16" t="str">
        <f t="shared" si="6"/>
        <v>0</v>
      </c>
      <c r="O56" s="17"/>
      <c r="P56" s="17"/>
      <c r="Q56" s="17"/>
      <c r="R56" s="17"/>
      <c r="S56" s="17"/>
      <c r="T56" s="17"/>
      <c r="U56" s="17"/>
      <c r="V56" s="17"/>
      <c r="W56" s="17"/>
    </row>
    <row r="57" ht="14.25" customHeight="1">
      <c r="A57" s="9" t="s">
        <v>85</v>
      </c>
      <c r="B57" s="10" t="s">
        <v>86</v>
      </c>
      <c r="C57" s="11" t="s">
        <v>87</v>
      </c>
      <c r="D57" s="12" t="s">
        <v>84</v>
      </c>
      <c r="E57" s="13" t="str">
        <f t="array" ref="E57">INDEX(Turmas!C2:C103,MATCH(D57,Turmas!A2:A103,0))</f>
        <v>Noite</v>
      </c>
      <c r="F57" s="14">
        <v>60.0</v>
      </c>
      <c r="G57" s="15">
        <v>2.0</v>
      </c>
      <c r="H57" s="15">
        <v>0.0</v>
      </c>
      <c r="I57" s="16" t="str">
        <f t="shared" si="1"/>
        <v>1-12</v>
      </c>
      <c r="J57" s="16" t="str">
        <f t="shared" si="2"/>
        <v>1-12</v>
      </c>
      <c r="K57" s="16" t="str">
        <f t="shared" si="3"/>
        <v>1-12</v>
      </c>
      <c r="L57" s="16" t="str">
        <f t="shared" si="4"/>
        <v>1-12</v>
      </c>
      <c r="M57" s="16" t="str">
        <f t="shared" si="5"/>
        <v>1-12</v>
      </c>
      <c r="N57" s="16" t="str">
        <f t="shared" si="6"/>
        <v>0</v>
      </c>
      <c r="O57" s="17"/>
      <c r="P57" s="17"/>
      <c r="Q57" s="17"/>
      <c r="R57" s="17"/>
      <c r="S57" s="17"/>
      <c r="T57" s="17"/>
      <c r="U57" s="17"/>
      <c r="V57" s="17"/>
      <c r="W57" s="17"/>
    </row>
    <row r="58" ht="14.25" customHeight="1">
      <c r="A58" s="9" t="s">
        <v>88</v>
      </c>
      <c r="B58" s="10" t="s">
        <v>89</v>
      </c>
      <c r="C58" s="11" t="s">
        <v>90</v>
      </c>
      <c r="D58" s="12" t="s">
        <v>84</v>
      </c>
      <c r="E58" s="13" t="str">
        <f t="array" ref="E58">INDEX(Turmas!C2:C103,MATCH(D58,Turmas!A2:A103,0))</f>
        <v>Noite</v>
      </c>
      <c r="F58" s="14">
        <v>60.0</v>
      </c>
      <c r="G58" s="15">
        <v>3.0</v>
      </c>
      <c r="H58" s="15">
        <v>0.0</v>
      </c>
      <c r="I58" s="16" t="str">
        <f t="shared" si="1"/>
        <v>1-12</v>
      </c>
      <c r="J58" s="16" t="str">
        <f t="shared" si="2"/>
        <v>1-12</v>
      </c>
      <c r="K58" s="16" t="str">
        <f t="shared" si="3"/>
        <v>1-12</v>
      </c>
      <c r="L58" s="16" t="str">
        <f t="shared" si="4"/>
        <v>1-12</v>
      </c>
      <c r="M58" s="16" t="str">
        <f t="shared" si="5"/>
        <v>1-12</v>
      </c>
      <c r="N58" s="16" t="str">
        <f t="shared" si="6"/>
        <v>0</v>
      </c>
      <c r="O58" s="17"/>
      <c r="P58" s="17"/>
      <c r="Q58" s="17"/>
      <c r="R58" s="17"/>
      <c r="S58" s="17"/>
      <c r="T58" s="17"/>
      <c r="U58" s="17"/>
      <c r="V58" s="17"/>
      <c r="W58" s="17"/>
    </row>
    <row r="59" ht="14.25" customHeight="1">
      <c r="A59" s="9" t="s">
        <v>91</v>
      </c>
      <c r="B59" s="10" t="s">
        <v>92</v>
      </c>
      <c r="C59" s="11" t="s">
        <v>47</v>
      </c>
      <c r="D59" s="12" t="s">
        <v>84</v>
      </c>
      <c r="E59" s="13" t="str">
        <f t="array" ref="E59">INDEX(Turmas!C2:C103,MATCH(D59,Turmas!A2:A103,0))</f>
        <v>Noite</v>
      </c>
      <c r="F59" s="14">
        <v>60.0</v>
      </c>
      <c r="G59" s="15">
        <v>3.0</v>
      </c>
      <c r="H59" s="15">
        <v>0.0</v>
      </c>
      <c r="I59" s="16" t="str">
        <f t="shared" si="1"/>
        <v>1-12</v>
      </c>
      <c r="J59" s="16" t="str">
        <f t="shared" si="2"/>
        <v>1-12</v>
      </c>
      <c r="K59" s="16" t="str">
        <f t="shared" si="3"/>
        <v>1-12</v>
      </c>
      <c r="L59" s="16" t="str">
        <f t="shared" si="4"/>
        <v>1-12</v>
      </c>
      <c r="M59" s="16" t="str">
        <f t="shared" si="5"/>
        <v>1-12</v>
      </c>
      <c r="N59" s="16" t="str">
        <f t="shared" si="6"/>
        <v>0</v>
      </c>
      <c r="O59" s="17"/>
      <c r="P59" s="17"/>
      <c r="Q59" s="17"/>
      <c r="R59" s="17"/>
      <c r="S59" s="17"/>
      <c r="T59" s="17"/>
      <c r="U59" s="17"/>
      <c r="V59" s="17"/>
      <c r="W59" s="17"/>
    </row>
    <row r="60" ht="14.25" customHeight="1">
      <c r="A60" s="9" t="s">
        <v>93</v>
      </c>
      <c r="B60" s="10" t="s">
        <v>94</v>
      </c>
      <c r="C60" s="11" t="s">
        <v>49</v>
      </c>
      <c r="D60" s="12" t="s">
        <v>84</v>
      </c>
      <c r="E60" s="13" t="str">
        <f t="array" ref="E60">INDEX(Turmas!C2:C103,MATCH(D60,Turmas!A2:A103,0))</f>
        <v>Noite</v>
      </c>
      <c r="F60" s="14">
        <v>60.0</v>
      </c>
      <c r="G60" s="15">
        <v>3.0</v>
      </c>
      <c r="H60" s="15">
        <v>0.0</v>
      </c>
      <c r="I60" s="16" t="str">
        <f t="shared" si="1"/>
        <v>1-12</v>
      </c>
      <c r="J60" s="16" t="str">
        <f t="shared" si="2"/>
        <v>1-12</v>
      </c>
      <c r="K60" s="16" t="str">
        <f t="shared" si="3"/>
        <v>1-12</v>
      </c>
      <c r="L60" s="16" t="str">
        <f t="shared" si="4"/>
        <v>1-12</v>
      </c>
      <c r="M60" s="16" t="str">
        <f t="shared" si="5"/>
        <v>1-12</v>
      </c>
      <c r="N60" s="16" t="str">
        <f t="shared" si="6"/>
        <v>0</v>
      </c>
      <c r="O60" s="17"/>
      <c r="P60" s="17"/>
      <c r="Q60" s="17"/>
      <c r="R60" s="17"/>
      <c r="S60" s="17"/>
      <c r="T60" s="17"/>
      <c r="U60" s="17"/>
      <c r="V60" s="17"/>
      <c r="W60" s="17"/>
    </row>
    <row r="61" ht="14.25" customHeight="1">
      <c r="A61" s="9" t="s">
        <v>95</v>
      </c>
      <c r="B61" s="10" t="s">
        <v>96</v>
      </c>
      <c r="C61" s="11" t="s">
        <v>97</v>
      </c>
      <c r="D61" s="12" t="s">
        <v>84</v>
      </c>
      <c r="E61" s="13" t="str">
        <f t="array" ref="E61">INDEX(Turmas!C2:C103,MATCH(D61,Turmas!A2:A103,0))</f>
        <v>Noite</v>
      </c>
      <c r="F61" s="14">
        <v>60.0</v>
      </c>
      <c r="G61" s="15">
        <v>3.0</v>
      </c>
      <c r="H61" s="15">
        <v>0.0</v>
      </c>
      <c r="I61" s="16" t="str">
        <f t="shared" si="1"/>
        <v>1-12</v>
      </c>
      <c r="J61" s="16" t="str">
        <f t="shared" si="2"/>
        <v>1-12</v>
      </c>
      <c r="K61" s="16" t="str">
        <f t="shared" si="3"/>
        <v>1-12</v>
      </c>
      <c r="L61" s="16" t="str">
        <f t="shared" si="4"/>
        <v>1-12</v>
      </c>
      <c r="M61" s="16" t="str">
        <f t="shared" si="5"/>
        <v>1-12</v>
      </c>
      <c r="N61" s="16" t="str">
        <f t="shared" si="6"/>
        <v>0</v>
      </c>
      <c r="O61" s="17"/>
      <c r="P61" s="17"/>
      <c r="Q61" s="17"/>
      <c r="R61" s="17"/>
      <c r="S61" s="17"/>
      <c r="T61" s="17"/>
      <c r="U61" s="17"/>
      <c r="V61" s="17"/>
      <c r="W61" s="17"/>
    </row>
    <row r="62" ht="14.25" customHeight="1">
      <c r="A62" s="9" t="s">
        <v>98</v>
      </c>
      <c r="B62" s="10" t="s">
        <v>99</v>
      </c>
      <c r="C62" s="11" t="s">
        <v>49</v>
      </c>
      <c r="D62" s="12" t="s">
        <v>84</v>
      </c>
      <c r="E62" s="13" t="str">
        <f t="array" ref="E62">INDEX(Turmas!C2:C103,MATCH(D62,Turmas!A2:A103,0))</f>
        <v>Noite</v>
      </c>
      <c r="F62" s="14">
        <v>60.0</v>
      </c>
      <c r="G62" s="15">
        <v>2.0</v>
      </c>
      <c r="H62" s="15">
        <v>0.0</v>
      </c>
      <c r="I62" s="16" t="str">
        <f t="shared" si="1"/>
        <v>1-12</v>
      </c>
      <c r="J62" s="16" t="str">
        <f t="shared" si="2"/>
        <v>1-12</v>
      </c>
      <c r="K62" s="16" t="str">
        <f t="shared" si="3"/>
        <v>1-12</v>
      </c>
      <c r="L62" s="16" t="str">
        <f t="shared" si="4"/>
        <v>1-12</v>
      </c>
      <c r="M62" s="16" t="str">
        <f t="shared" si="5"/>
        <v>1-12</v>
      </c>
      <c r="N62" s="16" t="str">
        <f t="shared" si="6"/>
        <v>0</v>
      </c>
      <c r="O62" s="17"/>
      <c r="P62" s="17"/>
      <c r="Q62" s="17"/>
      <c r="R62" s="17"/>
      <c r="S62" s="17"/>
      <c r="T62" s="17"/>
      <c r="U62" s="17"/>
      <c r="V62" s="17"/>
      <c r="W62" s="17"/>
    </row>
    <row r="63" ht="14.25" customHeight="1">
      <c r="A63" s="9" t="s">
        <v>20</v>
      </c>
      <c r="B63" s="10" t="s">
        <v>21</v>
      </c>
      <c r="C63" s="11" t="s">
        <v>80</v>
      </c>
      <c r="D63" s="12" t="s">
        <v>100</v>
      </c>
      <c r="E63" s="13" t="str">
        <f t="array" ref="E63">INDEX(Turmas!C2:C103,MATCH(D63,Turmas!A2:A103,0))</f>
        <v>Noite</v>
      </c>
      <c r="F63" s="14">
        <v>60.0</v>
      </c>
      <c r="G63" s="15">
        <v>3.0</v>
      </c>
      <c r="H63" s="15">
        <v>0.0</v>
      </c>
      <c r="I63" s="16" t="str">
        <f t="shared" si="1"/>
        <v>1-12</v>
      </c>
      <c r="J63" s="16" t="str">
        <f t="shared" si="2"/>
        <v>1-12</v>
      </c>
      <c r="K63" s="16" t="str">
        <f t="shared" si="3"/>
        <v>1-12</v>
      </c>
      <c r="L63" s="16" t="str">
        <f t="shared" si="4"/>
        <v>1-12</v>
      </c>
      <c r="M63" s="16" t="str">
        <f t="shared" si="5"/>
        <v>1-12</v>
      </c>
      <c r="N63" s="16" t="str">
        <f t="shared" si="6"/>
        <v>0</v>
      </c>
      <c r="O63" s="17"/>
      <c r="P63" s="17"/>
      <c r="Q63" s="17"/>
      <c r="R63" s="17"/>
      <c r="S63" s="17"/>
      <c r="T63" s="17"/>
      <c r="U63" s="17"/>
      <c r="V63" s="17"/>
      <c r="W63" s="17"/>
    </row>
    <row r="64" ht="14.25" customHeight="1">
      <c r="A64" s="9" t="s">
        <v>101</v>
      </c>
      <c r="B64" s="10" t="s">
        <v>102</v>
      </c>
      <c r="C64" s="11" t="s">
        <v>103</v>
      </c>
      <c r="D64" s="12" t="s">
        <v>100</v>
      </c>
      <c r="E64" s="13" t="str">
        <f t="array" ref="E64">INDEX(Turmas!C2:C103,MATCH(D64,Turmas!A2:A103,0))</f>
        <v>Noite</v>
      </c>
      <c r="F64" s="14">
        <v>60.0</v>
      </c>
      <c r="G64" s="15">
        <v>3.0</v>
      </c>
      <c r="H64" s="15">
        <v>0.0</v>
      </c>
      <c r="I64" s="16" t="str">
        <f t="shared" si="1"/>
        <v>1-12</v>
      </c>
      <c r="J64" s="16" t="str">
        <f t="shared" si="2"/>
        <v>1-12</v>
      </c>
      <c r="K64" s="16" t="str">
        <f t="shared" si="3"/>
        <v>1-12</v>
      </c>
      <c r="L64" s="16" t="str">
        <f t="shared" si="4"/>
        <v>1-12</v>
      </c>
      <c r="M64" s="16" t="str">
        <f t="shared" si="5"/>
        <v>1-12</v>
      </c>
      <c r="N64" s="16" t="str">
        <f t="shared" si="6"/>
        <v>0</v>
      </c>
      <c r="O64" s="17"/>
      <c r="P64" s="17"/>
      <c r="Q64" s="17"/>
      <c r="R64" s="17"/>
      <c r="S64" s="17"/>
      <c r="T64" s="17"/>
      <c r="U64" s="17"/>
      <c r="V64" s="17"/>
      <c r="W64" s="17"/>
    </row>
    <row r="65" ht="14.25" customHeight="1">
      <c r="A65" s="9" t="s">
        <v>104</v>
      </c>
      <c r="B65" s="10" t="s">
        <v>105</v>
      </c>
      <c r="C65" s="11" t="s">
        <v>106</v>
      </c>
      <c r="D65" s="12" t="s">
        <v>100</v>
      </c>
      <c r="E65" s="13" t="str">
        <f t="array" ref="E65">INDEX(Turmas!C2:C103,MATCH(D65,Turmas!A2:A103,0))</f>
        <v>Noite</v>
      </c>
      <c r="F65" s="14">
        <v>60.0</v>
      </c>
      <c r="G65" s="15">
        <v>2.0</v>
      </c>
      <c r="H65" s="15">
        <v>0.0</v>
      </c>
      <c r="I65" s="16" t="str">
        <f t="shared" si="1"/>
        <v>1-12</v>
      </c>
      <c r="J65" s="16" t="str">
        <f t="shared" si="2"/>
        <v>1-12</v>
      </c>
      <c r="K65" s="16" t="str">
        <f t="shared" si="3"/>
        <v>1-12</v>
      </c>
      <c r="L65" s="16" t="str">
        <f t="shared" si="4"/>
        <v>1-12</v>
      </c>
      <c r="M65" s="16" t="str">
        <f t="shared" si="5"/>
        <v>1-12</v>
      </c>
      <c r="N65" s="16" t="str">
        <f t="shared" si="6"/>
        <v>0</v>
      </c>
      <c r="O65" s="17"/>
      <c r="P65" s="17"/>
      <c r="Q65" s="17"/>
      <c r="R65" s="17"/>
      <c r="S65" s="17"/>
      <c r="T65" s="17"/>
      <c r="U65" s="17"/>
      <c r="V65" s="17"/>
      <c r="W65" s="17"/>
    </row>
    <row r="66" ht="14.25" customHeight="1">
      <c r="A66" s="9" t="s">
        <v>107</v>
      </c>
      <c r="B66" s="10" t="s">
        <v>108</v>
      </c>
      <c r="C66" s="11" t="s">
        <v>49</v>
      </c>
      <c r="D66" s="12" t="s">
        <v>100</v>
      </c>
      <c r="E66" s="13" t="str">
        <f t="array" ref="E66">INDEX(Turmas!C2:C103,MATCH(D66,Turmas!A2:A103,0))</f>
        <v>Noite</v>
      </c>
      <c r="F66" s="14">
        <v>60.0</v>
      </c>
      <c r="G66" s="15">
        <v>3.0</v>
      </c>
      <c r="H66" s="15">
        <v>0.0</v>
      </c>
      <c r="I66" s="16" t="str">
        <f t="shared" si="1"/>
        <v>1-12</v>
      </c>
      <c r="J66" s="16" t="str">
        <f t="shared" si="2"/>
        <v>1-12</v>
      </c>
      <c r="K66" s="16" t="str">
        <f t="shared" si="3"/>
        <v>1-12</v>
      </c>
      <c r="L66" s="16" t="str">
        <f t="shared" si="4"/>
        <v>1-12</v>
      </c>
      <c r="M66" s="16" t="str">
        <f t="shared" si="5"/>
        <v>1-12</v>
      </c>
      <c r="N66" s="16" t="str">
        <f t="shared" si="6"/>
        <v>0</v>
      </c>
      <c r="O66" s="17"/>
      <c r="P66" s="17"/>
      <c r="Q66" s="17"/>
      <c r="R66" s="17"/>
      <c r="S66" s="17"/>
      <c r="T66" s="17"/>
      <c r="U66" s="17"/>
      <c r="V66" s="17"/>
      <c r="W66" s="17"/>
    </row>
    <row r="67" ht="14.25" customHeight="1">
      <c r="A67" s="9" t="s">
        <v>109</v>
      </c>
      <c r="B67" s="10" t="s">
        <v>110</v>
      </c>
      <c r="C67" s="11" t="s">
        <v>97</v>
      </c>
      <c r="D67" s="12" t="s">
        <v>100</v>
      </c>
      <c r="E67" s="13" t="str">
        <f t="array" ref="E67">INDEX(Turmas!C2:C103,MATCH(D67,Turmas!A2:A103,0))</f>
        <v>Noite</v>
      </c>
      <c r="F67" s="14">
        <v>60.0</v>
      </c>
      <c r="G67" s="15">
        <v>2.0</v>
      </c>
      <c r="H67" s="15">
        <v>0.0</v>
      </c>
      <c r="I67" s="16" t="str">
        <f t="shared" si="1"/>
        <v>1-12</v>
      </c>
      <c r="J67" s="16" t="str">
        <f t="shared" si="2"/>
        <v>1-12</v>
      </c>
      <c r="K67" s="16" t="str">
        <f t="shared" si="3"/>
        <v>1-12</v>
      </c>
      <c r="L67" s="16" t="str">
        <f t="shared" si="4"/>
        <v>1-12</v>
      </c>
      <c r="M67" s="16" t="str">
        <f t="shared" si="5"/>
        <v>1-12</v>
      </c>
      <c r="N67" s="16" t="str">
        <f t="shared" si="6"/>
        <v>0</v>
      </c>
      <c r="O67" s="17"/>
      <c r="P67" s="17"/>
      <c r="Q67" s="17"/>
      <c r="R67" s="17"/>
      <c r="S67" s="17"/>
      <c r="T67" s="17"/>
      <c r="U67" s="17"/>
      <c r="V67" s="17"/>
      <c r="W67" s="17"/>
    </row>
    <row r="68" ht="14.25" customHeight="1">
      <c r="A68" s="9" t="s">
        <v>111</v>
      </c>
      <c r="B68" s="10" t="s">
        <v>112</v>
      </c>
      <c r="C68" s="11" t="s">
        <v>53</v>
      </c>
      <c r="D68" s="12" t="s">
        <v>100</v>
      </c>
      <c r="E68" s="13" t="str">
        <f t="array" ref="E68">INDEX(Turmas!C2:C103,MATCH(D68,Turmas!A2:A103,0))</f>
        <v>Noite</v>
      </c>
      <c r="F68" s="14">
        <v>60.0</v>
      </c>
      <c r="G68" s="15">
        <v>3.0</v>
      </c>
      <c r="H68" s="15">
        <v>0.0</v>
      </c>
      <c r="I68" s="16" t="str">
        <f t="shared" si="1"/>
        <v>1-12</v>
      </c>
      <c r="J68" s="16" t="str">
        <f t="shared" si="2"/>
        <v>1-12</v>
      </c>
      <c r="K68" s="16" t="str">
        <f t="shared" si="3"/>
        <v>1-12</v>
      </c>
      <c r="L68" s="16" t="str">
        <f t="shared" si="4"/>
        <v>1-12</v>
      </c>
      <c r="M68" s="16" t="str">
        <f t="shared" si="5"/>
        <v>1-12</v>
      </c>
      <c r="N68" s="16" t="str">
        <f t="shared" si="6"/>
        <v>0</v>
      </c>
      <c r="O68" s="17"/>
      <c r="P68" s="17"/>
      <c r="Q68" s="17"/>
      <c r="R68" s="17"/>
      <c r="S68" s="17"/>
      <c r="T68" s="17"/>
      <c r="U68" s="17"/>
      <c r="V68" s="17"/>
      <c r="W68" s="17"/>
    </row>
    <row r="69" ht="14.25" customHeight="1">
      <c r="A69" s="9" t="s">
        <v>113</v>
      </c>
      <c r="B69" s="10" t="s">
        <v>114</v>
      </c>
      <c r="C69" s="11" t="s">
        <v>115</v>
      </c>
      <c r="D69" s="12" t="s">
        <v>116</v>
      </c>
      <c r="E69" s="13" t="str">
        <f t="array" ref="E69">INDEX(Turmas!C2:C103,MATCH(D69,Turmas!A2:A103,0))</f>
        <v>Noite</v>
      </c>
      <c r="F69" s="14">
        <v>60.0</v>
      </c>
      <c r="G69" s="15">
        <v>2.0</v>
      </c>
      <c r="H69" s="15">
        <v>0.0</v>
      </c>
      <c r="I69" s="16" t="str">
        <f t="shared" si="1"/>
        <v>1-12</v>
      </c>
      <c r="J69" s="16" t="str">
        <f t="shared" si="2"/>
        <v>1-12</v>
      </c>
      <c r="K69" s="16" t="str">
        <f t="shared" si="3"/>
        <v>1-12</v>
      </c>
      <c r="L69" s="16" t="str">
        <f t="shared" si="4"/>
        <v>1-12</v>
      </c>
      <c r="M69" s="16" t="str">
        <f t="shared" si="5"/>
        <v>1-12</v>
      </c>
      <c r="N69" s="16" t="str">
        <f t="shared" si="6"/>
        <v>0</v>
      </c>
      <c r="O69" s="17"/>
      <c r="P69" s="17"/>
      <c r="Q69" s="17"/>
      <c r="R69" s="17"/>
      <c r="S69" s="17"/>
      <c r="T69" s="17"/>
      <c r="U69" s="17"/>
      <c r="V69" s="17"/>
      <c r="W69" s="17"/>
    </row>
    <row r="70" ht="14.25" customHeight="1">
      <c r="A70" s="9" t="s">
        <v>117</v>
      </c>
      <c r="B70" s="10" t="s">
        <v>118</v>
      </c>
      <c r="C70" s="11" t="s">
        <v>103</v>
      </c>
      <c r="D70" s="12" t="s">
        <v>116</v>
      </c>
      <c r="E70" s="13" t="str">
        <f t="array" ref="E70">INDEX(Turmas!C2:C103,MATCH(D70,Turmas!A2:A103,0))</f>
        <v>Noite</v>
      </c>
      <c r="F70" s="14">
        <v>60.0</v>
      </c>
      <c r="G70" s="15">
        <v>3.0</v>
      </c>
      <c r="H70" s="15">
        <v>0.0</v>
      </c>
      <c r="I70" s="16" t="str">
        <f t="shared" si="1"/>
        <v>1-12</v>
      </c>
      <c r="J70" s="16" t="str">
        <f t="shared" si="2"/>
        <v>1-12</v>
      </c>
      <c r="K70" s="16" t="str">
        <f t="shared" si="3"/>
        <v>1-12</v>
      </c>
      <c r="L70" s="16" t="str">
        <f t="shared" si="4"/>
        <v>1-12</v>
      </c>
      <c r="M70" s="16" t="str">
        <f t="shared" si="5"/>
        <v>1-12</v>
      </c>
      <c r="N70" s="16" t="str">
        <f t="shared" si="6"/>
        <v>0</v>
      </c>
      <c r="O70" s="17"/>
      <c r="P70" s="17"/>
      <c r="Q70" s="17"/>
      <c r="R70" s="17"/>
      <c r="S70" s="17"/>
      <c r="T70" s="17"/>
      <c r="U70" s="17"/>
      <c r="V70" s="17"/>
      <c r="W70" s="17"/>
    </row>
    <row r="71" ht="14.25" customHeight="1">
      <c r="A71" s="9" t="s">
        <v>119</v>
      </c>
      <c r="B71" s="10" t="s">
        <v>120</v>
      </c>
      <c r="C71" s="11" t="s">
        <v>49</v>
      </c>
      <c r="D71" s="12" t="s">
        <v>116</v>
      </c>
      <c r="E71" s="13" t="str">
        <f t="array" ref="E71">INDEX(Turmas!C2:C103,MATCH(D71,Turmas!A2:A103,0))</f>
        <v>Noite</v>
      </c>
      <c r="F71" s="14">
        <v>60.0</v>
      </c>
      <c r="G71" s="15">
        <v>2.0</v>
      </c>
      <c r="H71" s="15">
        <v>0.0</v>
      </c>
      <c r="I71" s="16" t="str">
        <f t="shared" si="1"/>
        <v>1-12</v>
      </c>
      <c r="J71" s="16" t="str">
        <f t="shared" si="2"/>
        <v>1-12</v>
      </c>
      <c r="K71" s="16" t="str">
        <f t="shared" si="3"/>
        <v>1-12</v>
      </c>
      <c r="L71" s="16" t="str">
        <f t="shared" si="4"/>
        <v>1-12</v>
      </c>
      <c r="M71" s="16" t="str">
        <f t="shared" si="5"/>
        <v>1-12</v>
      </c>
      <c r="N71" s="16" t="str">
        <f t="shared" si="6"/>
        <v>0</v>
      </c>
      <c r="O71" s="17"/>
      <c r="P71" s="17"/>
      <c r="Q71" s="17"/>
      <c r="R71" s="17"/>
      <c r="S71" s="17"/>
      <c r="T71" s="17"/>
      <c r="U71" s="17"/>
      <c r="V71" s="17"/>
      <c r="W71" s="17"/>
    </row>
    <row r="72" ht="14.25" customHeight="1">
      <c r="A72" s="9" t="s">
        <v>121</v>
      </c>
      <c r="B72" s="10" t="s">
        <v>122</v>
      </c>
      <c r="C72" s="11" t="s">
        <v>123</v>
      </c>
      <c r="D72" s="12" t="s">
        <v>116</v>
      </c>
      <c r="E72" s="13" t="str">
        <f t="array" ref="E72">INDEX(Turmas!C2:C103,MATCH(D72,Turmas!A2:A103,0))</f>
        <v>Noite</v>
      </c>
      <c r="F72" s="14">
        <v>60.0</v>
      </c>
      <c r="G72" s="15">
        <v>2.0</v>
      </c>
      <c r="H72" s="15">
        <v>0.0</v>
      </c>
      <c r="I72" s="16" t="str">
        <f t="shared" si="1"/>
        <v>1-12</v>
      </c>
      <c r="J72" s="16" t="str">
        <f t="shared" si="2"/>
        <v>1-12</v>
      </c>
      <c r="K72" s="16" t="str">
        <f t="shared" si="3"/>
        <v>1-12</v>
      </c>
      <c r="L72" s="16" t="str">
        <f t="shared" si="4"/>
        <v>1-12</v>
      </c>
      <c r="M72" s="16" t="str">
        <f t="shared" si="5"/>
        <v>1-12</v>
      </c>
      <c r="N72" s="16" t="str">
        <f t="shared" si="6"/>
        <v>0</v>
      </c>
      <c r="O72" s="17"/>
      <c r="P72" s="17"/>
      <c r="Q72" s="17"/>
      <c r="R72" s="17"/>
      <c r="S72" s="17"/>
      <c r="T72" s="17"/>
      <c r="U72" s="17"/>
      <c r="V72" s="17"/>
      <c r="W72" s="17"/>
    </row>
    <row r="73" ht="14.25" customHeight="1">
      <c r="A73" s="9" t="s">
        <v>124</v>
      </c>
      <c r="B73" s="10" t="s">
        <v>125</v>
      </c>
      <c r="C73" s="11" t="s">
        <v>90</v>
      </c>
      <c r="D73" s="12" t="s">
        <v>116</v>
      </c>
      <c r="E73" s="13" t="str">
        <f t="array" ref="E73">INDEX(Turmas!C2:C103,MATCH(D73,Turmas!A2:A103,0))</f>
        <v>Noite</v>
      </c>
      <c r="F73" s="14">
        <v>60.0</v>
      </c>
      <c r="G73" s="15">
        <v>3.0</v>
      </c>
      <c r="H73" s="15">
        <v>0.0</v>
      </c>
      <c r="I73" s="16" t="str">
        <f t="shared" si="1"/>
        <v>1-12</v>
      </c>
      <c r="J73" s="16" t="str">
        <f t="shared" si="2"/>
        <v>1-12</v>
      </c>
      <c r="K73" s="16" t="str">
        <f t="shared" si="3"/>
        <v>1-12</v>
      </c>
      <c r="L73" s="16" t="str">
        <f t="shared" si="4"/>
        <v>1-12</v>
      </c>
      <c r="M73" s="16" t="str">
        <f t="shared" si="5"/>
        <v>1-12</v>
      </c>
      <c r="N73" s="16" t="str">
        <f t="shared" si="6"/>
        <v>0</v>
      </c>
      <c r="O73" s="17"/>
      <c r="P73" s="17"/>
      <c r="Q73" s="17"/>
      <c r="R73" s="17"/>
      <c r="S73" s="17"/>
      <c r="T73" s="17"/>
      <c r="U73" s="17"/>
      <c r="V73" s="17"/>
      <c r="W73" s="17"/>
    </row>
    <row r="74" ht="14.25" customHeight="1">
      <c r="A74" s="9" t="s">
        <v>126</v>
      </c>
      <c r="B74" s="10" t="s">
        <v>33</v>
      </c>
      <c r="C74" s="11" t="s">
        <v>58</v>
      </c>
      <c r="D74" s="12" t="s">
        <v>116</v>
      </c>
      <c r="E74" s="13" t="str">
        <f t="array" ref="E74">INDEX(Turmas!C2:C103,MATCH(D74,Turmas!A2:A103,0))</f>
        <v>Noite</v>
      </c>
      <c r="F74" s="14">
        <v>60.0</v>
      </c>
      <c r="G74" s="15">
        <v>2.0</v>
      </c>
      <c r="H74" s="15">
        <v>0.0</v>
      </c>
      <c r="I74" s="16" t="str">
        <f t="shared" si="1"/>
        <v>1-12</v>
      </c>
      <c r="J74" s="16" t="str">
        <f t="shared" si="2"/>
        <v>1-12</v>
      </c>
      <c r="K74" s="16" t="str">
        <f t="shared" si="3"/>
        <v>1-12</v>
      </c>
      <c r="L74" s="16" t="str">
        <f t="shared" si="4"/>
        <v>1-12</v>
      </c>
      <c r="M74" s="16" t="str">
        <f t="shared" si="5"/>
        <v>1-12</v>
      </c>
      <c r="N74" s="16" t="str">
        <f t="shared" si="6"/>
        <v>0</v>
      </c>
      <c r="O74" s="17"/>
      <c r="P74" s="17"/>
      <c r="Q74" s="17"/>
      <c r="R74" s="17"/>
      <c r="S74" s="17"/>
      <c r="T74" s="17"/>
      <c r="U74" s="17"/>
      <c r="V74" s="17"/>
      <c r="W74" s="17"/>
    </row>
    <row r="75" ht="14.25" customHeight="1">
      <c r="A75" s="9" t="s">
        <v>127</v>
      </c>
      <c r="B75" s="10" t="s">
        <v>128</v>
      </c>
      <c r="C75" s="11" t="s">
        <v>129</v>
      </c>
      <c r="D75" s="12" t="s">
        <v>116</v>
      </c>
      <c r="E75" s="13" t="str">
        <f t="array" ref="E75">INDEX(Turmas!C2:C103,MATCH(D75,Turmas!A2:A103,0))</f>
        <v>Noite</v>
      </c>
      <c r="F75" s="14">
        <v>60.0</v>
      </c>
      <c r="G75" s="15">
        <v>2.0</v>
      </c>
      <c r="H75" s="15">
        <v>0.0</v>
      </c>
      <c r="I75" s="16" t="str">
        <f t="shared" si="1"/>
        <v>1-12</v>
      </c>
      <c r="J75" s="16" t="str">
        <f t="shared" si="2"/>
        <v>1-12</v>
      </c>
      <c r="K75" s="16" t="str">
        <f t="shared" si="3"/>
        <v>1-12</v>
      </c>
      <c r="L75" s="16" t="str">
        <f t="shared" si="4"/>
        <v>1-12</v>
      </c>
      <c r="M75" s="16" t="str">
        <f t="shared" si="5"/>
        <v>1-12</v>
      </c>
      <c r="N75" s="16" t="str">
        <f t="shared" si="6"/>
        <v>0</v>
      </c>
      <c r="O75" s="17"/>
      <c r="P75" s="17"/>
      <c r="Q75" s="17"/>
      <c r="R75" s="17"/>
      <c r="S75" s="17"/>
      <c r="T75" s="17"/>
      <c r="U75" s="17"/>
      <c r="V75" s="17"/>
      <c r="W75" s="17"/>
    </row>
    <row r="76" ht="14.25" customHeight="1">
      <c r="A76" s="9" t="s">
        <v>130</v>
      </c>
      <c r="B76" s="10" t="s">
        <v>131</v>
      </c>
      <c r="C76" s="11" t="s">
        <v>97</v>
      </c>
      <c r="D76" s="12" t="s">
        <v>116</v>
      </c>
      <c r="E76" s="13" t="str">
        <f t="array" ref="E76">INDEX(Turmas!C2:C103,MATCH(D76,Turmas!A2:A103,0))</f>
        <v>Noite</v>
      </c>
      <c r="F76" s="14">
        <v>60.0</v>
      </c>
      <c r="G76" s="15">
        <v>2.0</v>
      </c>
      <c r="H76" s="15">
        <v>0.0</v>
      </c>
      <c r="I76" s="16" t="str">
        <f t="shared" si="1"/>
        <v>1-12</v>
      </c>
      <c r="J76" s="16" t="str">
        <f t="shared" si="2"/>
        <v>1-12</v>
      </c>
      <c r="K76" s="16" t="str">
        <f t="shared" si="3"/>
        <v>1-12</v>
      </c>
      <c r="L76" s="16" t="str">
        <f t="shared" si="4"/>
        <v>1-12</v>
      </c>
      <c r="M76" s="16" t="str">
        <f t="shared" si="5"/>
        <v>1-12</v>
      </c>
      <c r="N76" s="16" t="str">
        <f t="shared" si="6"/>
        <v>0</v>
      </c>
      <c r="O76" s="17"/>
      <c r="P76" s="17"/>
      <c r="Q76" s="17"/>
      <c r="R76" s="17"/>
      <c r="S76" s="17"/>
      <c r="T76" s="17"/>
      <c r="U76" s="17"/>
      <c r="V76" s="17"/>
      <c r="W76" s="17"/>
    </row>
    <row r="77" ht="14.25" customHeight="1">
      <c r="A77" s="9" t="s">
        <v>132</v>
      </c>
      <c r="B77" s="10" t="s">
        <v>33</v>
      </c>
      <c r="C77" s="11" t="s">
        <v>55</v>
      </c>
      <c r="D77" s="12" t="s">
        <v>133</v>
      </c>
      <c r="E77" s="13" t="str">
        <f t="array" ref="E77">INDEX(Turmas!C2:C103,MATCH(D77,Turmas!A2:A103,0))</f>
        <v>Noite</v>
      </c>
      <c r="F77" s="14">
        <v>60.0</v>
      </c>
      <c r="G77" s="15">
        <v>2.0</v>
      </c>
      <c r="H77" s="15">
        <v>0.0</v>
      </c>
      <c r="I77" s="16" t="str">
        <f t="shared" si="1"/>
        <v>1-12</v>
      </c>
      <c r="J77" s="16" t="str">
        <f t="shared" si="2"/>
        <v>1-12</v>
      </c>
      <c r="K77" s="16" t="str">
        <f t="shared" si="3"/>
        <v>1-12</v>
      </c>
      <c r="L77" s="16" t="str">
        <f t="shared" si="4"/>
        <v>1-12</v>
      </c>
      <c r="M77" s="16" t="str">
        <f t="shared" si="5"/>
        <v>1-12</v>
      </c>
      <c r="N77" s="16" t="str">
        <f t="shared" si="6"/>
        <v>0</v>
      </c>
      <c r="O77" s="17"/>
      <c r="P77" s="17"/>
      <c r="Q77" s="17"/>
      <c r="R77" s="17"/>
      <c r="S77" s="17"/>
      <c r="T77" s="17"/>
      <c r="U77" s="17"/>
      <c r="V77" s="17"/>
      <c r="W77" s="17"/>
    </row>
    <row r="78" ht="14.25" customHeight="1">
      <c r="A78" s="9" t="s">
        <v>134</v>
      </c>
      <c r="B78" s="10" t="s">
        <v>72</v>
      </c>
      <c r="C78" s="11" t="s">
        <v>73</v>
      </c>
      <c r="D78" s="12" t="s">
        <v>133</v>
      </c>
      <c r="E78" s="13" t="str">
        <f t="array" ref="E78">INDEX(Turmas!C2:C103,MATCH(D78,Turmas!A2:A103,0))</f>
        <v>Noite</v>
      </c>
      <c r="F78" s="14">
        <v>60.0</v>
      </c>
      <c r="G78" s="15">
        <v>2.0</v>
      </c>
      <c r="H78" s="15">
        <v>0.0</v>
      </c>
      <c r="I78" s="16" t="str">
        <f t="shared" si="1"/>
        <v>1-12</v>
      </c>
      <c r="J78" s="16" t="str">
        <f t="shared" si="2"/>
        <v>1-12</v>
      </c>
      <c r="K78" s="16" t="str">
        <f t="shared" si="3"/>
        <v>1-12</v>
      </c>
      <c r="L78" s="16" t="str">
        <f t="shared" si="4"/>
        <v>1-12</v>
      </c>
      <c r="M78" s="16" t="str">
        <f t="shared" si="5"/>
        <v>1-12</v>
      </c>
      <c r="N78" s="16" t="str">
        <f t="shared" si="6"/>
        <v>0</v>
      </c>
      <c r="O78" s="17"/>
      <c r="P78" s="17"/>
      <c r="Q78" s="17"/>
      <c r="R78" s="17"/>
      <c r="S78" s="17"/>
      <c r="T78" s="17"/>
      <c r="U78" s="17"/>
      <c r="V78" s="17"/>
      <c r="W78" s="17"/>
    </row>
    <row r="79" ht="14.25" customHeight="1">
      <c r="A79" s="9" t="s">
        <v>135</v>
      </c>
      <c r="B79" s="10" t="s">
        <v>38</v>
      </c>
      <c r="C79" s="11" t="s">
        <v>80</v>
      </c>
      <c r="D79" s="12" t="s">
        <v>133</v>
      </c>
      <c r="E79" s="13" t="str">
        <f t="array" ref="E79">INDEX(Turmas!C2:C103,MATCH(D79,Turmas!A2:A103,0))</f>
        <v>Noite</v>
      </c>
      <c r="F79" s="14">
        <v>60.0</v>
      </c>
      <c r="G79" s="15">
        <v>2.0</v>
      </c>
      <c r="H79" s="15">
        <v>0.0</v>
      </c>
      <c r="I79" s="16" t="str">
        <f t="shared" si="1"/>
        <v>1-12</v>
      </c>
      <c r="J79" s="16" t="str">
        <f t="shared" si="2"/>
        <v>1-12</v>
      </c>
      <c r="K79" s="16" t="str">
        <f t="shared" si="3"/>
        <v>1-12</v>
      </c>
      <c r="L79" s="16" t="str">
        <f t="shared" si="4"/>
        <v>1-12</v>
      </c>
      <c r="M79" s="16" t="str">
        <f t="shared" si="5"/>
        <v>1-12</v>
      </c>
      <c r="N79" s="16" t="str">
        <f t="shared" si="6"/>
        <v>0</v>
      </c>
      <c r="O79" s="17"/>
      <c r="P79" s="17"/>
      <c r="Q79" s="17"/>
      <c r="R79" s="17"/>
      <c r="S79" s="17"/>
      <c r="T79" s="17"/>
      <c r="U79" s="17"/>
      <c r="V79" s="17"/>
      <c r="W79" s="17"/>
    </row>
    <row r="80" ht="14.25" customHeight="1">
      <c r="A80" s="9" t="s">
        <v>136</v>
      </c>
      <c r="B80" s="10" t="s">
        <v>44</v>
      </c>
      <c r="C80" s="11" t="s">
        <v>61</v>
      </c>
      <c r="D80" s="12" t="s">
        <v>133</v>
      </c>
      <c r="E80" s="13" t="str">
        <f t="array" ref="E80">INDEX(Turmas!C2:C103,MATCH(D80,Turmas!A2:A103,0))</f>
        <v>Noite</v>
      </c>
      <c r="F80" s="14">
        <v>30.0</v>
      </c>
      <c r="G80" s="15">
        <v>2.0</v>
      </c>
      <c r="H80" s="15">
        <v>0.0</v>
      </c>
      <c r="I80" s="16" t="str">
        <f t="shared" si="1"/>
        <v>1-12</v>
      </c>
      <c r="J80" s="16" t="str">
        <f t="shared" si="2"/>
        <v>1-12</v>
      </c>
      <c r="K80" s="16" t="str">
        <f t="shared" si="3"/>
        <v>1-12</v>
      </c>
      <c r="L80" s="16" t="str">
        <f t="shared" si="4"/>
        <v>1-12</v>
      </c>
      <c r="M80" s="16" t="str">
        <f t="shared" si="5"/>
        <v>1-12</v>
      </c>
      <c r="N80" s="16" t="str">
        <f t="shared" si="6"/>
        <v>0</v>
      </c>
      <c r="O80" s="17"/>
      <c r="P80" s="17"/>
      <c r="Q80" s="17"/>
      <c r="R80" s="17"/>
      <c r="S80" s="17"/>
      <c r="T80" s="17"/>
      <c r="U80" s="17"/>
      <c r="V80" s="17"/>
      <c r="W80" s="17"/>
    </row>
    <row r="81" ht="14.25" customHeight="1">
      <c r="A81" s="9" t="s">
        <v>137</v>
      </c>
      <c r="B81" s="10" t="s">
        <v>138</v>
      </c>
      <c r="C81" s="11" t="s">
        <v>115</v>
      </c>
      <c r="D81" s="12" t="s">
        <v>133</v>
      </c>
      <c r="E81" s="13" t="str">
        <f t="array" ref="E81">INDEX(Turmas!C2:C103,MATCH(D81,Turmas!A2:A103,0))</f>
        <v>Noite</v>
      </c>
      <c r="F81" s="14">
        <v>60.0</v>
      </c>
      <c r="G81" s="15">
        <v>3.0</v>
      </c>
      <c r="H81" s="15">
        <v>0.0</v>
      </c>
      <c r="I81" s="16" t="str">
        <f t="shared" si="1"/>
        <v>1-12</v>
      </c>
      <c r="J81" s="16" t="str">
        <f t="shared" si="2"/>
        <v>1-12</v>
      </c>
      <c r="K81" s="16" t="str">
        <f t="shared" si="3"/>
        <v>1-12</v>
      </c>
      <c r="L81" s="16" t="str">
        <f t="shared" si="4"/>
        <v>1-12</v>
      </c>
      <c r="M81" s="16" t="str">
        <f t="shared" si="5"/>
        <v>1-12</v>
      </c>
      <c r="N81" s="16" t="str">
        <f t="shared" si="6"/>
        <v>0</v>
      </c>
      <c r="O81" s="17"/>
      <c r="P81" s="17"/>
      <c r="Q81" s="17"/>
      <c r="R81" s="17"/>
      <c r="S81" s="17"/>
      <c r="T81" s="17"/>
      <c r="U81" s="17"/>
      <c r="V81" s="17"/>
      <c r="W81" s="17"/>
    </row>
    <row r="82" ht="14.25" customHeight="1">
      <c r="A82" s="9" t="s">
        <v>139</v>
      </c>
      <c r="B82" s="10" t="s">
        <v>140</v>
      </c>
      <c r="C82" s="11" t="s">
        <v>141</v>
      </c>
      <c r="D82" s="12" t="s">
        <v>133</v>
      </c>
      <c r="E82" s="13" t="str">
        <f t="array" ref="E82">INDEX(Turmas!C2:C103,MATCH(D82,Turmas!A2:A103,0))</f>
        <v>Noite</v>
      </c>
      <c r="F82" s="14">
        <v>60.0</v>
      </c>
      <c r="G82" s="15">
        <v>2.0</v>
      </c>
      <c r="H82" s="15">
        <v>0.0</v>
      </c>
      <c r="I82" s="16" t="str">
        <f t="shared" si="1"/>
        <v>1-12</v>
      </c>
      <c r="J82" s="16" t="str">
        <f t="shared" si="2"/>
        <v>1-12</v>
      </c>
      <c r="K82" s="16" t="str">
        <f t="shared" si="3"/>
        <v>1-12</v>
      </c>
      <c r="L82" s="16" t="str">
        <f t="shared" si="4"/>
        <v>1-12</v>
      </c>
      <c r="M82" s="16" t="str">
        <f t="shared" si="5"/>
        <v>1-12</v>
      </c>
      <c r="N82" s="16" t="str">
        <f t="shared" si="6"/>
        <v>0</v>
      </c>
      <c r="O82" s="17"/>
      <c r="P82" s="17"/>
      <c r="Q82" s="17"/>
      <c r="R82" s="17"/>
      <c r="S82" s="17"/>
      <c r="T82" s="17"/>
      <c r="U82" s="17"/>
      <c r="V82" s="17"/>
      <c r="W82" s="17"/>
    </row>
    <row r="83" ht="14.25" customHeight="1">
      <c r="A83" s="9" t="s">
        <v>142</v>
      </c>
      <c r="B83" s="10" t="s">
        <v>143</v>
      </c>
      <c r="C83" s="11" t="s">
        <v>57</v>
      </c>
      <c r="D83" s="12" t="s">
        <v>133</v>
      </c>
      <c r="E83" s="13" t="str">
        <f t="array" ref="E83">INDEX(Turmas!C2:C103,MATCH(D83,Turmas!A2:A103,0))</f>
        <v>Noite</v>
      </c>
      <c r="F83" s="14">
        <v>60.0</v>
      </c>
      <c r="G83" s="15">
        <v>2.0</v>
      </c>
      <c r="H83" s="15">
        <v>0.0</v>
      </c>
      <c r="I83" s="16" t="str">
        <f t="shared" si="1"/>
        <v>1-12</v>
      </c>
      <c r="J83" s="16" t="str">
        <f t="shared" si="2"/>
        <v>1-12</v>
      </c>
      <c r="K83" s="16" t="str">
        <f t="shared" si="3"/>
        <v>1-12</v>
      </c>
      <c r="L83" s="16" t="str">
        <f t="shared" si="4"/>
        <v>1-12</v>
      </c>
      <c r="M83" s="16" t="str">
        <f t="shared" si="5"/>
        <v>1-12</v>
      </c>
      <c r="N83" s="16" t="str">
        <f t="shared" si="6"/>
        <v>0</v>
      </c>
      <c r="O83" s="17"/>
      <c r="P83" s="17"/>
      <c r="Q83" s="17"/>
      <c r="R83" s="17"/>
      <c r="S83" s="17"/>
      <c r="T83" s="17"/>
      <c r="U83" s="17"/>
      <c r="V83" s="17"/>
      <c r="W83" s="17"/>
    </row>
    <row r="84" ht="14.25" customHeight="1">
      <c r="A84" s="9" t="s">
        <v>144</v>
      </c>
      <c r="B84" s="10" t="s">
        <v>131</v>
      </c>
      <c r="C84" s="11" t="s">
        <v>97</v>
      </c>
      <c r="D84" s="12" t="s">
        <v>133</v>
      </c>
      <c r="E84" s="13" t="str">
        <f t="array" ref="E84">INDEX(Turmas!C2:C103,MATCH(D84,Turmas!A2:A103,0))</f>
        <v>Noite</v>
      </c>
      <c r="F84" s="14">
        <v>60.0</v>
      </c>
      <c r="G84" s="15">
        <v>2.0</v>
      </c>
      <c r="H84" s="15">
        <v>0.0</v>
      </c>
      <c r="I84" s="16" t="str">
        <f t="shared" si="1"/>
        <v>1-12</v>
      </c>
      <c r="J84" s="16" t="str">
        <f t="shared" si="2"/>
        <v>1-12</v>
      </c>
      <c r="K84" s="16" t="str">
        <f t="shared" si="3"/>
        <v>1-12</v>
      </c>
      <c r="L84" s="16" t="str">
        <f t="shared" si="4"/>
        <v>1-12</v>
      </c>
      <c r="M84" s="16" t="str">
        <f t="shared" si="5"/>
        <v>1-12</v>
      </c>
      <c r="N84" s="16" t="str">
        <f t="shared" si="6"/>
        <v>0</v>
      </c>
      <c r="O84" s="17"/>
      <c r="P84" s="17"/>
      <c r="Q84" s="17"/>
      <c r="R84" s="17"/>
      <c r="S84" s="17"/>
      <c r="T84" s="17"/>
      <c r="U84" s="17"/>
      <c r="V84" s="17"/>
      <c r="W84" s="17"/>
    </row>
    <row r="85" ht="14.25" customHeight="1">
      <c r="A85" s="9" t="s">
        <v>145</v>
      </c>
      <c r="B85" s="10" t="s">
        <v>36</v>
      </c>
      <c r="C85" s="11" t="s">
        <v>52</v>
      </c>
      <c r="D85" s="12" t="s">
        <v>146</v>
      </c>
      <c r="E85" s="13" t="str">
        <f t="array" ref="E85">INDEX(Turmas!C2:C103,MATCH(D85,Turmas!A2:A103,0))</f>
        <v>Noite</v>
      </c>
      <c r="F85" s="14">
        <v>60.0</v>
      </c>
      <c r="G85" s="15">
        <v>3.0</v>
      </c>
      <c r="H85" s="15">
        <v>0.0</v>
      </c>
      <c r="I85" s="16" t="str">
        <f t="shared" si="1"/>
        <v>1-12</v>
      </c>
      <c r="J85" s="16" t="str">
        <f t="shared" si="2"/>
        <v>1-12</v>
      </c>
      <c r="K85" s="16" t="str">
        <f t="shared" si="3"/>
        <v>1-12</v>
      </c>
      <c r="L85" s="16" t="str">
        <f t="shared" si="4"/>
        <v>1-12</v>
      </c>
      <c r="M85" s="16" t="str">
        <f t="shared" si="5"/>
        <v>1-12</v>
      </c>
      <c r="N85" s="16" t="str">
        <f t="shared" si="6"/>
        <v>0</v>
      </c>
      <c r="O85" s="17"/>
      <c r="P85" s="17"/>
      <c r="Q85" s="17"/>
      <c r="R85" s="17"/>
      <c r="S85" s="17"/>
      <c r="T85" s="17"/>
      <c r="U85" s="17"/>
      <c r="V85" s="17"/>
      <c r="W85" s="17"/>
    </row>
    <row r="86" ht="14.25" customHeight="1">
      <c r="A86" s="9" t="s">
        <v>147</v>
      </c>
      <c r="B86" s="10" t="s">
        <v>78</v>
      </c>
      <c r="C86" s="11" t="s">
        <v>83</v>
      </c>
      <c r="D86" s="12" t="s">
        <v>146</v>
      </c>
      <c r="E86" s="13" t="str">
        <f t="array" ref="E86">INDEX(Turmas!C2:C103,MATCH(D86,Turmas!A2:A103,0))</f>
        <v>Noite</v>
      </c>
      <c r="F86" s="14">
        <v>60.0</v>
      </c>
      <c r="G86" s="15">
        <v>2.0</v>
      </c>
      <c r="H86" s="15">
        <v>0.0</v>
      </c>
      <c r="I86" s="16" t="str">
        <f t="shared" si="1"/>
        <v>1-12</v>
      </c>
      <c r="J86" s="16" t="str">
        <f t="shared" si="2"/>
        <v>1-12</v>
      </c>
      <c r="K86" s="16" t="str">
        <f t="shared" si="3"/>
        <v>1-12</v>
      </c>
      <c r="L86" s="16" t="str">
        <f t="shared" si="4"/>
        <v>1-12</v>
      </c>
      <c r="M86" s="16" t="str">
        <f t="shared" si="5"/>
        <v>1-12</v>
      </c>
      <c r="N86" s="16" t="str">
        <f t="shared" si="6"/>
        <v>0</v>
      </c>
      <c r="O86" s="17"/>
      <c r="P86" s="17"/>
      <c r="Q86" s="17"/>
      <c r="R86" s="17"/>
      <c r="S86" s="17"/>
      <c r="T86" s="17"/>
      <c r="U86" s="17"/>
      <c r="V86" s="17"/>
      <c r="W86" s="17"/>
    </row>
    <row r="87" ht="14.25" customHeight="1">
      <c r="A87" s="9" t="s">
        <v>136</v>
      </c>
      <c r="B87" s="10" t="s">
        <v>44</v>
      </c>
      <c r="C87" s="11" t="s">
        <v>61</v>
      </c>
      <c r="D87" s="12" t="s">
        <v>146</v>
      </c>
      <c r="E87" s="13" t="str">
        <f t="array" ref="E87">INDEX(Turmas!C2:C103,MATCH(D87,Turmas!A2:A103,0))</f>
        <v>Noite</v>
      </c>
      <c r="F87" s="14">
        <v>60.0</v>
      </c>
      <c r="G87" s="15">
        <v>2.0</v>
      </c>
      <c r="H87" s="15">
        <v>0.0</v>
      </c>
      <c r="I87" s="16" t="str">
        <f t="shared" si="1"/>
        <v>1-12</v>
      </c>
      <c r="J87" s="16" t="str">
        <f t="shared" si="2"/>
        <v>1-12</v>
      </c>
      <c r="K87" s="16" t="str">
        <f t="shared" si="3"/>
        <v>1-12</v>
      </c>
      <c r="L87" s="16" t="str">
        <f t="shared" si="4"/>
        <v>1-12</v>
      </c>
      <c r="M87" s="16" t="str">
        <f t="shared" si="5"/>
        <v>1-12</v>
      </c>
      <c r="N87" s="16" t="str">
        <f t="shared" si="6"/>
        <v>0</v>
      </c>
      <c r="O87" s="17"/>
      <c r="P87" s="17"/>
      <c r="Q87" s="17"/>
      <c r="R87" s="17"/>
      <c r="S87" s="17"/>
      <c r="T87" s="17"/>
      <c r="U87" s="17"/>
      <c r="V87" s="17"/>
      <c r="W87" s="17"/>
    </row>
    <row r="88" ht="14.25" customHeight="1">
      <c r="A88" s="9" t="s">
        <v>148</v>
      </c>
      <c r="B88" s="10" t="s">
        <v>46</v>
      </c>
      <c r="C88" s="11" t="s">
        <v>149</v>
      </c>
      <c r="D88" s="12" t="s">
        <v>146</v>
      </c>
      <c r="E88" s="13" t="str">
        <f t="array" ref="E88">INDEX(Turmas!C2:C103,MATCH(D88,Turmas!A2:A103,0))</f>
        <v>Noite</v>
      </c>
      <c r="F88" s="14">
        <v>60.0</v>
      </c>
      <c r="G88" s="15">
        <v>2.0</v>
      </c>
      <c r="H88" s="15">
        <v>0.0</v>
      </c>
      <c r="I88" s="16" t="str">
        <f t="shared" si="1"/>
        <v>1-12</v>
      </c>
      <c r="J88" s="16" t="str">
        <f t="shared" si="2"/>
        <v>1-12</v>
      </c>
      <c r="K88" s="16" t="str">
        <f t="shared" si="3"/>
        <v>1-12</v>
      </c>
      <c r="L88" s="16" t="str">
        <f t="shared" si="4"/>
        <v>1-12</v>
      </c>
      <c r="M88" s="16" t="str">
        <f t="shared" si="5"/>
        <v>1-12</v>
      </c>
      <c r="N88" s="16" t="str">
        <f t="shared" si="6"/>
        <v>0</v>
      </c>
      <c r="O88" s="17"/>
      <c r="P88" s="17"/>
      <c r="Q88" s="17"/>
      <c r="R88" s="17"/>
      <c r="S88" s="17"/>
      <c r="T88" s="17"/>
      <c r="U88" s="17"/>
      <c r="V88" s="17"/>
      <c r="W88" s="17"/>
    </row>
    <row r="89" ht="14.25" customHeight="1">
      <c r="A89" s="9" t="s">
        <v>150</v>
      </c>
      <c r="B89" s="10" t="s">
        <v>151</v>
      </c>
      <c r="C89" s="11" t="s">
        <v>59</v>
      </c>
      <c r="D89" s="12" t="s">
        <v>146</v>
      </c>
      <c r="E89" s="13" t="str">
        <f t="array" ref="E89">INDEX(Turmas!C2:C103,MATCH(D89,Turmas!A2:A103,0))</f>
        <v>Noite</v>
      </c>
      <c r="F89" s="14">
        <v>60.0</v>
      </c>
      <c r="G89" s="15">
        <v>2.0</v>
      </c>
      <c r="H89" s="15">
        <v>0.0</v>
      </c>
      <c r="I89" s="16" t="str">
        <f t="shared" si="1"/>
        <v>1-12</v>
      </c>
      <c r="J89" s="16" t="str">
        <f t="shared" si="2"/>
        <v>1-12</v>
      </c>
      <c r="K89" s="16" t="str">
        <f t="shared" si="3"/>
        <v>1-12</v>
      </c>
      <c r="L89" s="16" t="str">
        <f t="shared" si="4"/>
        <v>1-12</v>
      </c>
      <c r="M89" s="16" t="str">
        <f t="shared" si="5"/>
        <v>1-12</v>
      </c>
      <c r="N89" s="16" t="str">
        <f t="shared" si="6"/>
        <v>0</v>
      </c>
      <c r="O89" s="17"/>
      <c r="P89" s="17"/>
      <c r="Q89" s="17"/>
      <c r="R89" s="17"/>
      <c r="S89" s="17"/>
      <c r="T89" s="17"/>
      <c r="U89" s="17"/>
      <c r="V89" s="17"/>
      <c r="W89" s="17"/>
    </row>
    <row r="90" ht="14.25" customHeight="1">
      <c r="A90" s="9" t="s">
        <v>152</v>
      </c>
      <c r="B90" s="10" t="s">
        <v>153</v>
      </c>
      <c r="C90" s="11" t="s">
        <v>141</v>
      </c>
      <c r="D90" s="12" t="s">
        <v>146</v>
      </c>
      <c r="E90" s="13" t="str">
        <f t="array" ref="E90">INDEX(Turmas!C2:C103,MATCH(D90,Turmas!A2:A103,0))</f>
        <v>Noite</v>
      </c>
      <c r="F90" s="14">
        <v>60.0</v>
      </c>
      <c r="G90" s="15">
        <v>2.0</v>
      </c>
      <c r="H90" s="15">
        <v>0.0</v>
      </c>
      <c r="I90" s="16" t="str">
        <f t="shared" si="1"/>
        <v>1-12</v>
      </c>
      <c r="J90" s="16" t="str">
        <f t="shared" si="2"/>
        <v>1-12</v>
      </c>
      <c r="K90" s="16" t="str">
        <f t="shared" si="3"/>
        <v>1-12</v>
      </c>
      <c r="L90" s="16" t="str">
        <f t="shared" si="4"/>
        <v>1-12</v>
      </c>
      <c r="M90" s="16" t="str">
        <f t="shared" si="5"/>
        <v>1-12</v>
      </c>
      <c r="N90" s="16" t="str">
        <f t="shared" si="6"/>
        <v>0</v>
      </c>
      <c r="O90" s="17"/>
      <c r="P90" s="17"/>
      <c r="Q90" s="17"/>
      <c r="R90" s="17"/>
      <c r="S90" s="17"/>
      <c r="T90" s="17"/>
      <c r="U90" s="17"/>
      <c r="V90" s="17"/>
      <c r="W90" s="17"/>
    </row>
    <row r="91" ht="14.25" customHeight="1">
      <c r="A91" s="9" t="s">
        <v>154</v>
      </c>
      <c r="B91" s="10" t="s">
        <v>155</v>
      </c>
      <c r="C91" s="11" t="s">
        <v>57</v>
      </c>
      <c r="D91" s="12" t="s">
        <v>146</v>
      </c>
      <c r="E91" s="13" t="str">
        <f t="array" ref="E91">INDEX(Turmas!C2:C103,MATCH(D91,Turmas!A2:A103,0))</f>
        <v>Noite</v>
      </c>
      <c r="F91" s="14">
        <v>60.0</v>
      </c>
      <c r="G91" s="15">
        <v>2.0</v>
      </c>
      <c r="H91" s="15">
        <v>0.0</v>
      </c>
      <c r="I91" s="16" t="str">
        <f t="shared" si="1"/>
        <v>1-12</v>
      </c>
      <c r="J91" s="16" t="str">
        <f t="shared" si="2"/>
        <v>1-12</v>
      </c>
      <c r="K91" s="16" t="str">
        <f t="shared" si="3"/>
        <v>1-12</v>
      </c>
      <c r="L91" s="16" t="str">
        <f t="shared" si="4"/>
        <v>1-12</v>
      </c>
      <c r="M91" s="16" t="str">
        <f t="shared" si="5"/>
        <v>1-12</v>
      </c>
      <c r="N91" s="16" t="str">
        <f t="shared" si="6"/>
        <v>0</v>
      </c>
      <c r="O91" s="17"/>
      <c r="P91" s="17"/>
      <c r="Q91" s="17"/>
      <c r="R91" s="17"/>
      <c r="S91" s="17"/>
      <c r="T91" s="17"/>
      <c r="U91" s="17"/>
      <c r="V91" s="17"/>
      <c r="W91" s="17"/>
    </row>
    <row r="92" ht="14.25" customHeight="1">
      <c r="A92" s="9" t="s">
        <v>41</v>
      </c>
      <c r="B92" s="10" t="s">
        <v>42</v>
      </c>
      <c r="C92" s="11" t="s">
        <v>60</v>
      </c>
      <c r="D92" s="12" t="s">
        <v>156</v>
      </c>
      <c r="E92" s="13" t="str">
        <f t="array" ref="E92">INDEX(Turmas!C2:C103,MATCH(D92,Turmas!A2:A103,0))</f>
        <v>Noite</v>
      </c>
      <c r="F92" s="14">
        <v>60.0</v>
      </c>
      <c r="G92" s="15">
        <v>5.0</v>
      </c>
      <c r="H92" s="15">
        <v>0.0</v>
      </c>
      <c r="I92" s="16" t="str">
        <f t="shared" si="1"/>
        <v>1-12</v>
      </c>
      <c r="J92" s="16" t="str">
        <f t="shared" si="2"/>
        <v>1-12</v>
      </c>
      <c r="K92" s="16" t="str">
        <f t="shared" si="3"/>
        <v>1-12</v>
      </c>
      <c r="L92" s="16" t="str">
        <f t="shared" si="4"/>
        <v>1-12</v>
      </c>
      <c r="M92" s="16" t="str">
        <f t="shared" si="5"/>
        <v>1-12</v>
      </c>
      <c r="N92" s="16" t="str">
        <f t="shared" si="6"/>
        <v>0</v>
      </c>
      <c r="O92" s="17"/>
      <c r="P92" s="17"/>
      <c r="Q92" s="17"/>
      <c r="R92" s="17"/>
      <c r="S92" s="17"/>
      <c r="T92" s="17"/>
      <c r="U92" s="17"/>
      <c r="V92" s="17"/>
      <c r="W92" s="17"/>
    </row>
    <row r="93" ht="14.25" customHeight="1">
      <c r="A93" s="9" t="s">
        <v>157</v>
      </c>
      <c r="B93" s="10" t="s">
        <v>158</v>
      </c>
      <c r="C93" s="11" t="s">
        <v>76</v>
      </c>
      <c r="D93" s="12" t="s">
        <v>156</v>
      </c>
      <c r="E93" s="13" t="str">
        <f t="array" ref="E93">INDEX(Turmas!C2:C103,MATCH(D93,Turmas!A2:A103,0))</f>
        <v>Noite</v>
      </c>
      <c r="F93" s="14">
        <v>60.0</v>
      </c>
      <c r="G93" s="15">
        <v>2.0</v>
      </c>
      <c r="H93" s="15">
        <v>0.0</v>
      </c>
      <c r="I93" s="16" t="str">
        <f t="shared" si="1"/>
        <v>1-12</v>
      </c>
      <c r="J93" s="16" t="str">
        <f t="shared" si="2"/>
        <v>1-12</v>
      </c>
      <c r="K93" s="16" t="str">
        <f t="shared" si="3"/>
        <v>1-12</v>
      </c>
      <c r="L93" s="16" t="str">
        <f t="shared" si="4"/>
        <v>1-12</v>
      </c>
      <c r="M93" s="16" t="str">
        <f t="shared" si="5"/>
        <v>1-12</v>
      </c>
      <c r="N93" s="16" t="str">
        <f t="shared" si="6"/>
        <v>0</v>
      </c>
      <c r="O93" s="17"/>
      <c r="P93" s="17"/>
      <c r="Q93" s="17"/>
      <c r="R93" s="17"/>
      <c r="S93" s="17"/>
      <c r="T93" s="17"/>
      <c r="U93" s="17"/>
      <c r="V93" s="17"/>
      <c r="W93" s="17"/>
    </row>
    <row r="94" ht="14.25" customHeight="1">
      <c r="A94" s="9" t="s">
        <v>159</v>
      </c>
      <c r="B94" s="10" t="s">
        <v>75</v>
      </c>
      <c r="C94" s="11" t="s">
        <v>76</v>
      </c>
      <c r="D94" s="12" t="s">
        <v>156</v>
      </c>
      <c r="E94" s="13" t="str">
        <f t="array" ref="E94">INDEX(Turmas!C2:C103,MATCH(D94,Turmas!A2:A103,0))</f>
        <v>Noite</v>
      </c>
      <c r="F94" s="14">
        <v>60.0</v>
      </c>
      <c r="G94" s="15">
        <v>2.0</v>
      </c>
      <c r="H94" s="15">
        <v>0.0</v>
      </c>
      <c r="I94" s="16" t="str">
        <f t="shared" si="1"/>
        <v>1-12</v>
      </c>
      <c r="J94" s="16" t="str">
        <f t="shared" si="2"/>
        <v>1-12</v>
      </c>
      <c r="K94" s="16" t="str">
        <f t="shared" si="3"/>
        <v>1-12</v>
      </c>
      <c r="L94" s="16" t="str">
        <f t="shared" si="4"/>
        <v>1-12</v>
      </c>
      <c r="M94" s="16" t="str">
        <f t="shared" si="5"/>
        <v>1-12</v>
      </c>
      <c r="N94" s="16" t="str">
        <f t="shared" si="6"/>
        <v>0</v>
      </c>
      <c r="O94" s="17"/>
      <c r="P94" s="17"/>
      <c r="Q94" s="17"/>
      <c r="R94" s="17"/>
      <c r="S94" s="17"/>
      <c r="T94" s="17"/>
      <c r="U94" s="17"/>
      <c r="V94" s="17"/>
      <c r="W94" s="17"/>
    </row>
    <row r="95" ht="14.25" customHeight="1">
      <c r="A95" s="9" t="s">
        <v>160</v>
      </c>
      <c r="B95" s="10" t="s">
        <v>161</v>
      </c>
      <c r="C95" s="11" t="s">
        <v>73</v>
      </c>
      <c r="D95" s="12" t="s">
        <v>156</v>
      </c>
      <c r="E95" s="13" t="str">
        <f t="array" ref="E95">INDEX(Turmas!C2:C103,MATCH(D95,Turmas!A2:A103,0))</f>
        <v>Noite</v>
      </c>
      <c r="F95" s="14">
        <v>60.0</v>
      </c>
      <c r="G95" s="15">
        <v>2.0</v>
      </c>
      <c r="H95" s="15">
        <v>0.0</v>
      </c>
      <c r="I95" s="16" t="str">
        <f t="shared" si="1"/>
        <v>1-12</v>
      </c>
      <c r="J95" s="16" t="str">
        <f t="shared" si="2"/>
        <v>1-12</v>
      </c>
      <c r="K95" s="16" t="str">
        <f t="shared" si="3"/>
        <v>1-12</v>
      </c>
      <c r="L95" s="16" t="str">
        <f t="shared" si="4"/>
        <v>1-12</v>
      </c>
      <c r="M95" s="16" t="str">
        <f t="shared" si="5"/>
        <v>1-12</v>
      </c>
      <c r="N95" s="16" t="str">
        <f t="shared" si="6"/>
        <v>0</v>
      </c>
      <c r="O95" s="17"/>
      <c r="P95" s="17"/>
      <c r="Q95" s="17"/>
      <c r="R95" s="17"/>
      <c r="S95" s="17"/>
      <c r="T95" s="17"/>
      <c r="U95" s="17"/>
      <c r="V95" s="17"/>
      <c r="W95" s="17"/>
    </row>
    <row r="96" ht="14.25" customHeight="1">
      <c r="A96" s="9" t="s">
        <v>162</v>
      </c>
      <c r="B96" s="10" t="s">
        <v>31</v>
      </c>
      <c r="C96" s="11" t="s">
        <v>54</v>
      </c>
      <c r="D96" s="12" t="s">
        <v>156</v>
      </c>
      <c r="E96" s="13" t="str">
        <f t="array" ref="E96">INDEX(Turmas!C2:C103,MATCH(D96,Turmas!A2:A103,0))</f>
        <v>Noite</v>
      </c>
      <c r="F96" s="14">
        <v>60.0</v>
      </c>
      <c r="G96" s="15">
        <v>2.0</v>
      </c>
      <c r="H96" s="15">
        <v>0.0</v>
      </c>
      <c r="I96" s="16" t="str">
        <f t="shared" si="1"/>
        <v>1-12</v>
      </c>
      <c r="J96" s="16" t="str">
        <f t="shared" si="2"/>
        <v>1-12</v>
      </c>
      <c r="K96" s="16" t="str">
        <f t="shared" si="3"/>
        <v>1-12</v>
      </c>
      <c r="L96" s="16" t="str">
        <f t="shared" si="4"/>
        <v>1-12</v>
      </c>
      <c r="M96" s="16" t="str">
        <f t="shared" si="5"/>
        <v>1-12</v>
      </c>
      <c r="N96" s="16" t="str">
        <f t="shared" si="6"/>
        <v>0</v>
      </c>
      <c r="O96" s="17"/>
      <c r="P96" s="17"/>
      <c r="Q96" s="17"/>
      <c r="R96" s="17"/>
      <c r="S96" s="17"/>
      <c r="T96" s="17"/>
      <c r="U96" s="17"/>
      <c r="V96" s="17"/>
      <c r="W96" s="17"/>
    </row>
    <row r="97" ht="14.25" customHeight="1">
      <c r="A97" s="9" t="s">
        <v>163</v>
      </c>
      <c r="B97" s="10" t="s">
        <v>164</v>
      </c>
      <c r="C97" s="11" t="s">
        <v>47</v>
      </c>
      <c r="D97" s="12" t="s">
        <v>156</v>
      </c>
      <c r="E97" s="13" t="str">
        <f t="array" ref="E97">INDEX(Turmas!C2:C103,MATCH(D97,Turmas!A2:A103,0))</f>
        <v>Noite</v>
      </c>
      <c r="F97" s="14">
        <v>60.0</v>
      </c>
      <c r="G97" s="15">
        <v>2.0</v>
      </c>
      <c r="H97" s="15">
        <v>0.0</v>
      </c>
      <c r="I97" s="16" t="str">
        <f t="shared" si="1"/>
        <v>1-12</v>
      </c>
      <c r="J97" s="16" t="str">
        <f t="shared" si="2"/>
        <v>1-12</v>
      </c>
      <c r="K97" s="16" t="str">
        <f t="shared" si="3"/>
        <v>1-12</v>
      </c>
      <c r="L97" s="16" t="str">
        <f t="shared" si="4"/>
        <v>1-12</v>
      </c>
      <c r="M97" s="16" t="str">
        <f t="shared" si="5"/>
        <v>1-12</v>
      </c>
      <c r="N97" s="16" t="str">
        <f t="shared" si="6"/>
        <v>0</v>
      </c>
      <c r="O97" s="17"/>
      <c r="P97" s="17"/>
      <c r="Q97" s="17"/>
      <c r="R97" s="17"/>
      <c r="S97" s="17"/>
      <c r="T97" s="17"/>
      <c r="U97" s="17"/>
      <c r="V97" s="17"/>
      <c r="W97" s="17"/>
    </row>
    <row r="98" ht="14.25" customHeight="1">
      <c r="A98" s="9" t="s">
        <v>165</v>
      </c>
      <c r="B98" s="10" t="s">
        <v>166</v>
      </c>
      <c r="C98" s="11" t="s">
        <v>167</v>
      </c>
      <c r="D98" s="12" t="s">
        <v>156</v>
      </c>
      <c r="E98" s="13" t="str">
        <f t="array" ref="E98">INDEX(Turmas!C2:C103,MATCH(D98,Turmas!A2:A103,0))</f>
        <v>Noite</v>
      </c>
      <c r="F98" s="14">
        <v>60.0</v>
      </c>
      <c r="G98" s="15">
        <v>2.0</v>
      </c>
      <c r="H98" s="15">
        <v>0.0</v>
      </c>
      <c r="I98" s="16" t="str">
        <f t="shared" si="1"/>
        <v>1-12</v>
      </c>
      <c r="J98" s="16" t="str">
        <f t="shared" si="2"/>
        <v>1-12</v>
      </c>
      <c r="K98" s="16" t="str">
        <f t="shared" si="3"/>
        <v>1-12</v>
      </c>
      <c r="L98" s="16" t="str">
        <f t="shared" si="4"/>
        <v>1-12</v>
      </c>
      <c r="M98" s="16" t="str">
        <f t="shared" si="5"/>
        <v>1-12</v>
      </c>
      <c r="N98" s="16" t="str">
        <f t="shared" si="6"/>
        <v>0</v>
      </c>
      <c r="O98" s="17"/>
      <c r="P98" s="17"/>
      <c r="Q98" s="17"/>
      <c r="R98" s="17"/>
      <c r="S98" s="17"/>
      <c r="T98" s="17"/>
      <c r="U98" s="17"/>
      <c r="V98" s="17"/>
      <c r="W98" s="17"/>
    </row>
    <row r="99" ht="14.25" customHeight="1">
      <c r="A99" s="9" t="s">
        <v>168</v>
      </c>
      <c r="B99" s="10" t="s">
        <v>169</v>
      </c>
      <c r="C99" s="11" t="s">
        <v>58</v>
      </c>
      <c r="D99" s="12" t="s">
        <v>170</v>
      </c>
      <c r="E99" s="13" t="str">
        <f t="array" ref="E99">INDEX(Turmas!C2:C103,MATCH(D99,Turmas!A2:A103,0))</f>
        <v>Noite</v>
      </c>
      <c r="F99" s="14">
        <v>50.0</v>
      </c>
      <c r="G99" s="15">
        <v>4.0</v>
      </c>
      <c r="H99" s="15">
        <v>0.0</v>
      </c>
      <c r="I99" s="16" t="str">
        <f t="shared" si="1"/>
        <v>1-12</v>
      </c>
      <c r="J99" s="16" t="str">
        <f t="shared" si="2"/>
        <v>1-12</v>
      </c>
      <c r="K99" s="16" t="str">
        <f t="shared" si="3"/>
        <v>1-12</v>
      </c>
      <c r="L99" s="16" t="str">
        <f t="shared" si="4"/>
        <v>1-12</v>
      </c>
      <c r="M99" s="16" t="str">
        <f t="shared" si="5"/>
        <v>1-12</v>
      </c>
      <c r="N99" s="16" t="str">
        <f t="shared" si="6"/>
        <v>0</v>
      </c>
      <c r="O99" s="17"/>
      <c r="P99" s="17"/>
      <c r="Q99" s="17"/>
      <c r="R99" s="17"/>
      <c r="S99" s="17"/>
      <c r="T99" s="17"/>
      <c r="U99" s="17"/>
      <c r="V99" s="17"/>
      <c r="W99" s="17"/>
    </row>
    <row r="100" ht="14.25" customHeight="1">
      <c r="A100" s="9" t="s">
        <v>171</v>
      </c>
      <c r="B100" s="10" t="s">
        <v>172</v>
      </c>
      <c r="C100" s="11" t="s">
        <v>173</v>
      </c>
      <c r="D100" s="12" t="s">
        <v>170</v>
      </c>
      <c r="E100" s="13" t="str">
        <f t="array" ref="E100">INDEX(Turmas!C2:C103,MATCH(D100,Turmas!A2:A103,0))</f>
        <v>Noite</v>
      </c>
      <c r="F100" s="14">
        <v>50.0</v>
      </c>
      <c r="G100" s="15">
        <v>5.0</v>
      </c>
      <c r="H100" s="15">
        <v>0.0</v>
      </c>
      <c r="I100" s="16" t="str">
        <f t="shared" si="1"/>
        <v>1-12</v>
      </c>
      <c r="J100" s="16" t="str">
        <f t="shared" si="2"/>
        <v>1-12</v>
      </c>
      <c r="K100" s="16" t="str">
        <f t="shared" si="3"/>
        <v>1-12</v>
      </c>
      <c r="L100" s="16" t="str">
        <f t="shared" si="4"/>
        <v>1-12</v>
      </c>
      <c r="M100" s="16" t="str">
        <f t="shared" si="5"/>
        <v>1-12</v>
      </c>
      <c r="N100" s="16" t="str">
        <f t="shared" si="6"/>
        <v>0</v>
      </c>
      <c r="O100" s="17"/>
      <c r="P100" s="17"/>
      <c r="Q100" s="17"/>
      <c r="R100" s="17"/>
      <c r="S100" s="17"/>
      <c r="T100" s="17"/>
      <c r="U100" s="17"/>
      <c r="V100" s="17"/>
      <c r="W100" s="17"/>
    </row>
    <row r="101" ht="14.25" customHeight="1">
      <c r="A101" s="9" t="s">
        <v>174</v>
      </c>
      <c r="B101" s="10" t="s">
        <v>175</v>
      </c>
      <c r="C101" s="11" t="s">
        <v>55</v>
      </c>
      <c r="D101" s="12" t="s">
        <v>170</v>
      </c>
      <c r="E101" s="13" t="str">
        <f t="array" ref="E101">INDEX(Turmas!C2:C103,MATCH(D101,Turmas!A2:A103,0))</f>
        <v>Noite</v>
      </c>
      <c r="F101" s="14">
        <v>50.0</v>
      </c>
      <c r="G101" s="15">
        <v>4.0</v>
      </c>
      <c r="H101" s="15">
        <v>0.0</v>
      </c>
      <c r="I101" s="16" t="str">
        <f t="shared" si="1"/>
        <v>1-12</v>
      </c>
      <c r="J101" s="16" t="str">
        <f t="shared" si="2"/>
        <v>1-12</v>
      </c>
      <c r="K101" s="16" t="str">
        <f t="shared" si="3"/>
        <v>1-12</v>
      </c>
      <c r="L101" s="16" t="str">
        <f t="shared" si="4"/>
        <v>1-12</v>
      </c>
      <c r="M101" s="16" t="str">
        <f t="shared" si="5"/>
        <v>1-12</v>
      </c>
      <c r="N101" s="16" t="str">
        <f t="shared" si="6"/>
        <v>0</v>
      </c>
      <c r="O101" s="17"/>
      <c r="P101" s="17"/>
      <c r="Q101" s="17"/>
      <c r="R101" s="17"/>
      <c r="S101" s="17"/>
      <c r="T101" s="17"/>
      <c r="U101" s="17"/>
      <c r="V101" s="17"/>
      <c r="W101" s="17"/>
    </row>
    <row r="102" ht="14.25" customHeight="1">
      <c r="A102" s="9" t="s">
        <v>176</v>
      </c>
      <c r="B102" s="10" t="s">
        <v>46</v>
      </c>
      <c r="C102" s="11" t="s">
        <v>177</v>
      </c>
      <c r="D102" s="12" t="s">
        <v>170</v>
      </c>
      <c r="E102" s="13" t="str">
        <f t="array" ref="E102">INDEX(Turmas!C2:C103,MATCH(D102,Turmas!A2:A103,0))</f>
        <v>Noite</v>
      </c>
      <c r="F102" s="14">
        <v>54.0</v>
      </c>
      <c r="G102" s="15">
        <v>4.0</v>
      </c>
      <c r="H102" s="15">
        <v>0.0</v>
      </c>
      <c r="I102" s="16" t="str">
        <f t="shared" si="1"/>
        <v>1-12</v>
      </c>
      <c r="J102" s="16" t="str">
        <f t="shared" si="2"/>
        <v>1-12</v>
      </c>
      <c r="K102" s="16" t="str">
        <f t="shared" si="3"/>
        <v>1-12</v>
      </c>
      <c r="L102" s="16" t="str">
        <f t="shared" si="4"/>
        <v>1-12</v>
      </c>
      <c r="M102" s="16" t="str">
        <f t="shared" si="5"/>
        <v>1-12</v>
      </c>
      <c r="N102" s="16" t="str">
        <f t="shared" si="6"/>
        <v>0</v>
      </c>
      <c r="O102" s="17"/>
      <c r="P102" s="17"/>
      <c r="Q102" s="17"/>
      <c r="R102" s="17"/>
      <c r="S102" s="17"/>
      <c r="T102" s="17"/>
      <c r="U102" s="17"/>
      <c r="V102" s="17"/>
      <c r="W102" s="17"/>
    </row>
    <row r="103" ht="14.25" customHeight="1">
      <c r="A103" s="9" t="s">
        <v>178</v>
      </c>
      <c r="B103" s="10" t="s">
        <v>179</v>
      </c>
      <c r="C103" s="11" t="s">
        <v>180</v>
      </c>
      <c r="D103" s="12" t="s">
        <v>170</v>
      </c>
      <c r="E103" s="13" t="str">
        <f t="array" ref="E103">INDEX(Turmas!C2:C103,MATCH(D103,Turmas!A2:A103,0))</f>
        <v>Noite</v>
      </c>
      <c r="F103" s="14">
        <v>50.0</v>
      </c>
      <c r="G103" s="15">
        <v>4.0</v>
      </c>
      <c r="H103" s="15">
        <v>0.0</v>
      </c>
      <c r="I103" s="16" t="str">
        <f t="shared" si="1"/>
        <v>1-12</v>
      </c>
      <c r="J103" s="16" t="str">
        <f t="shared" si="2"/>
        <v>1-12</v>
      </c>
      <c r="K103" s="16" t="str">
        <f t="shared" si="3"/>
        <v>1-12</v>
      </c>
      <c r="L103" s="16" t="str">
        <f t="shared" si="4"/>
        <v>1-12</v>
      </c>
      <c r="M103" s="16" t="str">
        <f t="shared" si="5"/>
        <v>1-12</v>
      </c>
      <c r="N103" s="16" t="str">
        <f t="shared" si="6"/>
        <v>0</v>
      </c>
      <c r="O103" s="17"/>
      <c r="P103" s="17"/>
      <c r="Q103" s="17"/>
      <c r="R103" s="17"/>
      <c r="S103" s="17"/>
      <c r="T103" s="17"/>
      <c r="U103" s="17"/>
      <c r="V103" s="17"/>
      <c r="W103" s="17"/>
    </row>
    <row r="104" ht="14.25" customHeight="1">
      <c r="A104" s="9" t="s">
        <v>181</v>
      </c>
      <c r="B104" s="10" t="s">
        <v>182</v>
      </c>
      <c r="C104" s="11" t="s">
        <v>59</v>
      </c>
      <c r="D104" s="12" t="s">
        <v>183</v>
      </c>
      <c r="E104" s="13" t="str">
        <f t="array" ref="E104">INDEX(Turmas!C2:C103,MATCH(D104,Turmas!A2:A103,0))</f>
        <v>Noite</v>
      </c>
      <c r="F104" s="14">
        <v>50.0</v>
      </c>
      <c r="G104" s="15">
        <v>4.0</v>
      </c>
      <c r="H104" s="15">
        <v>0.0</v>
      </c>
      <c r="I104" s="16" t="str">
        <f t="shared" si="1"/>
        <v>1-12</v>
      </c>
      <c r="J104" s="16" t="str">
        <f t="shared" si="2"/>
        <v>1-12</v>
      </c>
      <c r="K104" s="16" t="str">
        <f t="shared" si="3"/>
        <v>1-12</v>
      </c>
      <c r="L104" s="16" t="str">
        <f t="shared" si="4"/>
        <v>1-12</v>
      </c>
      <c r="M104" s="16" t="str">
        <f t="shared" si="5"/>
        <v>1-12</v>
      </c>
      <c r="N104" s="16" t="str">
        <f t="shared" si="6"/>
        <v>0</v>
      </c>
      <c r="O104" s="17"/>
      <c r="P104" s="17"/>
      <c r="Q104" s="17"/>
      <c r="R104" s="17"/>
      <c r="S104" s="17"/>
      <c r="T104" s="17"/>
      <c r="U104" s="17"/>
      <c r="V104" s="17"/>
      <c r="W104" s="17"/>
    </row>
    <row r="105" ht="14.25" customHeight="1">
      <c r="A105" s="9" t="s">
        <v>184</v>
      </c>
      <c r="B105" s="10" t="s">
        <v>185</v>
      </c>
      <c r="C105" s="11" t="s">
        <v>76</v>
      </c>
      <c r="D105" s="12" t="s">
        <v>183</v>
      </c>
      <c r="E105" s="13" t="str">
        <f t="array" ref="E105">INDEX(Turmas!C2:C103,MATCH(D105,Turmas!A2:A103,0))</f>
        <v>Noite</v>
      </c>
      <c r="F105" s="14">
        <v>60.0</v>
      </c>
      <c r="G105" s="15">
        <v>5.0</v>
      </c>
      <c r="H105" s="15">
        <v>0.0</v>
      </c>
      <c r="I105" s="16" t="str">
        <f t="shared" si="1"/>
        <v>1-12</v>
      </c>
      <c r="J105" s="16" t="str">
        <f t="shared" si="2"/>
        <v>1-12</v>
      </c>
      <c r="K105" s="16" t="str">
        <f t="shared" si="3"/>
        <v>1-12</v>
      </c>
      <c r="L105" s="16" t="str">
        <f t="shared" si="4"/>
        <v>1-12</v>
      </c>
      <c r="M105" s="16" t="str">
        <f t="shared" si="5"/>
        <v>1-12</v>
      </c>
      <c r="N105" s="16" t="str">
        <f t="shared" si="6"/>
        <v>0</v>
      </c>
      <c r="O105" s="17"/>
      <c r="P105" s="17"/>
      <c r="Q105" s="17"/>
      <c r="R105" s="17"/>
      <c r="S105" s="17"/>
      <c r="T105" s="17"/>
      <c r="U105" s="17"/>
      <c r="V105" s="17"/>
      <c r="W105" s="17"/>
    </row>
    <row r="106" ht="14.25" customHeight="1">
      <c r="A106" s="9" t="s">
        <v>186</v>
      </c>
      <c r="B106" s="10" t="s">
        <v>187</v>
      </c>
      <c r="C106" s="11" t="s">
        <v>60</v>
      </c>
      <c r="D106" s="12" t="s">
        <v>183</v>
      </c>
      <c r="E106" s="13" t="str">
        <f t="array" ref="E106">INDEX(Turmas!C2:C103,MATCH(D106,Turmas!A2:A103,0))</f>
        <v>Noite</v>
      </c>
      <c r="F106" s="14">
        <v>50.0</v>
      </c>
      <c r="G106" s="15">
        <v>5.0</v>
      </c>
      <c r="H106" s="15">
        <v>0.0</v>
      </c>
      <c r="I106" s="16" t="str">
        <f t="shared" si="1"/>
        <v>1-12</v>
      </c>
      <c r="J106" s="16" t="str">
        <f t="shared" si="2"/>
        <v>1-12</v>
      </c>
      <c r="K106" s="16" t="str">
        <f t="shared" si="3"/>
        <v>1-12</v>
      </c>
      <c r="L106" s="16" t="str">
        <f t="shared" si="4"/>
        <v>1-12</v>
      </c>
      <c r="M106" s="16" t="str">
        <f t="shared" si="5"/>
        <v>1-12</v>
      </c>
      <c r="N106" s="16" t="str">
        <f t="shared" si="6"/>
        <v>0</v>
      </c>
      <c r="O106" s="17"/>
      <c r="P106" s="17"/>
      <c r="Q106" s="17"/>
      <c r="R106" s="17"/>
      <c r="S106" s="17"/>
      <c r="T106" s="17"/>
      <c r="U106" s="17"/>
      <c r="V106" s="17"/>
      <c r="W106" s="17"/>
    </row>
    <row r="107" ht="14.25" customHeight="1">
      <c r="A107" s="9" t="s">
        <v>188</v>
      </c>
      <c r="B107" s="10" t="s">
        <v>189</v>
      </c>
      <c r="C107" s="11" t="s">
        <v>190</v>
      </c>
      <c r="D107" s="22" t="s">
        <v>183</v>
      </c>
      <c r="E107" s="13" t="str">
        <f t="array" ref="E107">INDEX(Turmas!C2:C103,MATCH(D107,Turmas!A2:A103,0))</f>
        <v>Noite</v>
      </c>
      <c r="F107" s="14">
        <v>50.0</v>
      </c>
      <c r="G107" s="15">
        <v>4.0</v>
      </c>
      <c r="H107" s="15">
        <v>0.0</v>
      </c>
      <c r="I107" s="16" t="str">
        <f t="shared" si="1"/>
        <v>1-12</v>
      </c>
      <c r="J107" s="16" t="str">
        <f t="shared" si="2"/>
        <v>1-12</v>
      </c>
      <c r="K107" s="16" t="str">
        <f t="shared" si="3"/>
        <v>1-12</v>
      </c>
      <c r="L107" s="16" t="str">
        <f t="shared" si="4"/>
        <v>1-12</v>
      </c>
      <c r="M107" s="16" t="str">
        <f t="shared" si="5"/>
        <v>1-12</v>
      </c>
      <c r="N107" s="16" t="str">
        <f t="shared" si="6"/>
        <v>0</v>
      </c>
      <c r="O107" s="17"/>
      <c r="P107" s="17"/>
      <c r="Q107" s="17"/>
      <c r="R107" s="17"/>
      <c r="S107" s="17"/>
      <c r="T107" s="17"/>
      <c r="U107" s="17"/>
      <c r="V107" s="17"/>
      <c r="W107" s="17"/>
    </row>
    <row r="108" ht="14.25" customHeight="1">
      <c r="A108" s="9" t="s">
        <v>191</v>
      </c>
      <c r="B108" s="10" t="s">
        <v>192</v>
      </c>
      <c r="C108" s="11" t="s">
        <v>73</v>
      </c>
      <c r="D108" s="22" t="s">
        <v>183</v>
      </c>
      <c r="E108" s="13" t="str">
        <f t="array" ref="E108">INDEX(Turmas!C2:C103,MATCH(D108,Turmas!A2:A103,0))</f>
        <v>Noite</v>
      </c>
      <c r="F108" s="14">
        <v>50.0</v>
      </c>
      <c r="G108" s="15">
        <v>4.0</v>
      </c>
      <c r="H108" s="15">
        <v>0.0</v>
      </c>
      <c r="I108" s="16" t="str">
        <f t="shared" si="1"/>
        <v>1-12</v>
      </c>
      <c r="J108" s="16" t="str">
        <f t="shared" si="2"/>
        <v>1-12</v>
      </c>
      <c r="K108" s="16" t="str">
        <f t="shared" si="3"/>
        <v>1-12</v>
      </c>
      <c r="L108" s="16" t="str">
        <f t="shared" si="4"/>
        <v>1-12</v>
      </c>
      <c r="M108" s="16" t="str">
        <f t="shared" si="5"/>
        <v>1-12</v>
      </c>
      <c r="N108" s="16" t="str">
        <f t="shared" si="6"/>
        <v>0</v>
      </c>
      <c r="O108" s="17"/>
      <c r="P108" s="17"/>
      <c r="Q108" s="17"/>
      <c r="R108" s="17"/>
      <c r="S108" s="17"/>
      <c r="T108" s="17"/>
      <c r="U108" s="17"/>
      <c r="V108" s="17"/>
      <c r="W108" s="17"/>
    </row>
    <row r="109" ht="14.25" customHeight="1">
      <c r="A109" s="9" t="s">
        <v>193</v>
      </c>
      <c r="B109" s="10" t="s">
        <v>194</v>
      </c>
      <c r="C109" s="11" t="s">
        <v>173</v>
      </c>
      <c r="D109" s="22" t="s">
        <v>183</v>
      </c>
      <c r="E109" s="13" t="str">
        <f t="array" ref="E109">INDEX(Turmas!C2:C103,MATCH(D109,Turmas!A2:A103,0))</f>
        <v>Noite</v>
      </c>
      <c r="F109" s="14">
        <v>5.0</v>
      </c>
      <c r="G109" s="15">
        <v>5.0</v>
      </c>
      <c r="H109" s="15">
        <v>0.0</v>
      </c>
      <c r="I109" s="16" t="str">
        <f t="shared" si="1"/>
        <v>1-12</v>
      </c>
      <c r="J109" s="16" t="str">
        <f t="shared" si="2"/>
        <v>1-12</v>
      </c>
      <c r="K109" s="16" t="str">
        <f t="shared" si="3"/>
        <v>1-12</v>
      </c>
      <c r="L109" s="16" t="str">
        <f t="shared" si="4"/>
        <v>1-12</v>
      </c>
      <c r="M109" s="16" t="str">
        <f t="shared" si="5"/>
        <v>1-12</v>
      </c>
      <c r="N109" s="16" t="str">
        <f t="shared" si="6"/>
        <v>0</v>
      </c>
      <c r="O109" s="17"/>
      <c r="P109" s="17"/>
      <c r="Q109" s="17"/>
      <c r="R109" s="17"/>
      <c r="S109" s="17"/>
      <c r="T109" s="17"/>
      <c r="U109" s="17"/>
      <c r="V109" s="17"/>
      <c r="W109" s="17"/>
    </row>
    <row r="110" ht="14.25" customHeight="1">
      <c r="A110" s="9" t="s">
        <v>195</v>
      </c>
      <c r="B110" s="10" t="s">
        <v>196</v>
      </c>
      <c r="C110" s="11" t="s">
        <v>197</v>
      </c>
      <c r="D110" s="22" t="s">
        <v>183</v>
      </c>
      <c r="E110" s="13" t="str">
        <f t="array" ref="E110">INDEX(Turmas!C2:C103,MATCH(D110,Turmas!A2:A103,0))</f>
        <v>Noite</v>
      </c>
      <c r="F110" s="14">
        <v>60.0</v>
      </c>
      <c r="G110" s="15">
        <v>5.0</v>
      </c>
      <c r="H110" s="15">
        <v>0.0</v>
      </c>
      <c r="I110" s="16" t="str">
        <f t="shared" si="1"/>
        <v>1-12</v>
      </c>
      <c r="J110" s="16" t="str">
        <f t="shared" si="2"/>
        <v>1-12</v>
      </c>
      <c r="K110" s="16" t="str">
        <f t="shared" si="3"/>
        <v>1-12</v>
      </c>
      <c r="L110" s="16" t="str">
        <f t="shared" si="4"/>
        <v>1-12</v>
      </c>
      <c r="M110" s="16" t="str">
        <f t="shared" si="5"/>
        <v>1-12</v>
      </c>
      <c r="N110" s="16" t="str">
        <f t="shared" si="6"/>
        <v>0</v>
      </c>
      <c r="O110" s="17"/>
      <c r="P110" s="17"/>
      <c r="Q110" s="17"/>
      <c r="R110" s="17"/>
      <c r="S110" s="17"/>
      <c r="T110" s="17"/>
      <c r="U110" s="17"/>
      <c r="V110" s="17"/>
      <c r="W110" s="17"/>
    </row>
    <row r="111" ht="14.25" customHeight="1">
      <c r="A111" s="9" t="s">
        <v>198</v>
      </c>
      <c r="B111" s="10" t="s">
        <v>199</v>
      </c>
      <c r="C111" s="11" t="s">
        <v>200</v>
      </c>
      <c r="D111" s="22" t="s">
        <v>201</v>
      </c>
      <c r="E111" s="13" t="str">
        <f t="array" ref="E111">INDEX(Turmas!C2:C103,MATCH(D111,Turmas!A2:A103,0))</f>
        <v>Manhã</v>
      </c>
      <c r="F111" s="14">
        <v>60.0</v>
      </c>
      <c r="G111" s="15">
        <v>4.0</v>
      </c>
      <c r="H111" s="15">
        <v>0.0</v>
      </c>
      <c r="I111" s="16" t="str">
        <f t="shared" si="1"/>
        <v>7-16</v>
      </c>
      <c r="J111" s="16" t="str">
        <f t="shared" si="2"/>
        <v>7-16</v>
      </c>
      <c r="K111" s="16" t="str">
        <f t="shared" si="3"/>
        <v>7-16</v>
      </c>
      <c r="L111" s="16" t="str">
        <f t="shared" si="4"/>
        <v>7-16</v>
      </c>
      <c r="M111" s="16" t="str">
        <f t="shared" si="5"/>
        <v>7-16</v>
      </c>
      <c r="N111" s="16" t="str">
        <f t="shared" si="6"/>
        <v>1-16</v>
      </c>
      <c r="O111" s="17"/>
      <c r="P111" s="17"/>
      <c r="Q111" s="17"/>
      <c r="R111" s="17"/>
      <c r="S111" s="17"/>
      <c r="T111" s="17"/>
      <c r="U111" s="17"/>
      <c r="V111" s="17"/>
      <c r="W111" s="17"/>
    </row>
    <row r="112" ht="14.25" customHeight="1">
      <c r="A112" s="9" t="s">
        <v>202</v>
      </c>
      <c r="B112" s="10" t="s">
        <v>203</v>
      </c>
      <c r="C112" s="11" t="s">
        <v>204</v>
      </c>
      <c r="D112" s="22" t="s">
        <v>201</v>
      </c>
      <c r="E112" s="13" t="str">
        <f t="array" ref="E112">INDEX(Turmas!C2:C103,MATCH(D112,Turmas!A2:A103,0))</f>
        <v>Manhã</v>
      </c>
      <c r="F112" s="14">
        <v>60.0</v>
      </c>
      <c r="G112" s="15">
        <v>6.0</v>
      </c>
      <c r="H112" s="15">
        <v>0.0</v>
      </c>
      <c r="I112" s="16" t="str">
        <f t="shared" si="1"/>
        <v>7-16</v>
      </c>
      <c r="J112" s="16" t="str">
        <f t="shared" si="2"/>
        <v>7-16</v>
      </c>
      <c r="K112" s="16" t="str">
        <f t="shared" si="3"/>
        <v>7-16</v>
      </c>
      <c r="L112" s="16" t="str">
        <f t="shared" si="4"/>
        <v>7-16</v>
      </c>
      <c r="M112" s="16" t="str">
        <f t="shared" si="5"/>
        <v>7-16</v>
      </c>
      <c r="N112" s="16" t="str">
        <f t="shared" si="6"/>
        <v>1-16</v>
      </c>
      <c r="O112" s="17"/>
      <c r="P112" s="17"/>
      <c r="Q112" s="17"/>
      <c r="R112" s="17"/>
      <c r="S112" s="17"/>
      <c r="T112" s="17"/>
      <c r="U112" s="17"/>
      <c r="V112" s="17"/>
      <c r="W112" s="17"/>
    </row>
    <row r="113" ht="14.25" customHeight="1">
      <c r="A113" s="9" t="s">
        <v>205</v>
      </c>
      <c r="B113" s="10" t="s">
        <v>206</v>
      </c>
      <c r="C113" s="11" t="s">
        <v>207</v>
      </c>
      <c r="D113" s="22" t="s">
        <v>201</v>
      </c>
      <c r="E113" s="13" t="str">
        <f t="array" ref="E113">INDEX(Turmas!C2:C103,MATCH(D113,Turmas!A2:A103,0))</f>
        <v>Manhã</v>
      </c>
      <c r="F113" s="14">
        <v>60.0</v>
      </c>
      <c r="G113" s="15">
        <v>5.0</v>
      </c>
      <c r="H113" s="15">
        <v>0.0</v>
      </c>
      <c r="I113" s="16" t="str">
        <f t="shared" si="1"/>
        <v>7-16</v>
      </c>
      <c r="J113" s="16" t="str">
        <f t="shared" si="2"/>
        <v>7-16</v>
      </c>
      <c r="K113" s="16" t="str">
        <f t="shared" si="3"/>
        <v>7-16</v>
      </c>
      <c r="L113" s="16" t="str">
        <f t="shared" si="4"/>
        <v>7-16</v>
      </c>
      <c r="M113" s="16" t="str">
        <f t="shared" si="5"/>
        <v>7-16</v>
      </c>
      <c r="N113" s="16" t="str">
        <f t="shared" si="6"/>
        <v>1-16</v>
      </c>
      <c r="O113" s="17"/>
      <c r="P113" s="17"/>
      <c r="Q113" s="17"/>
      <c r="R113" s="17"/>
      <c r="S113" s="17"/>
      <c r="T113" s="17"/>
      <c r="U113" s="17"/>
      <c r="V113" s="17"/>
      <c r="W113" s="17"/>
    </row>
    <row r="114" ht="14.25" customHeight="1">
      <c r="A114" s="9" t="s">
        <v>208</v>
      </c>
      <c r="B114" s="10" t="s">
        <v>209</v>
      </c>
      <c r="C114" s="11" t="s">
        <v>173</v>
      </c>
      <c r="D114" s="22" t="s">
        <v>201</v>
      </c>
      <c r="E114" s="13" t="str">
        <f t="array" ref="E114">INDEX(Turmas!C2:C103,MATCH(D114,Turmas!A2:A103,0))</f>
        <v>Manhã</v>
      </c>
      <c r="F114" s="14">
        <v>60.0</v>
      </c>
      <c r="G114" s="15">
        <v>4.0</v>
      </c>
      <c r="H114" s="15">
        <v>0.0</v>
      </c>
      <c r="I114" s="16" t="str">
        <f t="shared" si="1"/>
        <v>7-16</v>
      </c>
      <c r="J114" s="16" t="str">
        <f t="shared" si="2"/>
        <v>7-16</v>
      </c>
      <c r="K114" s="16" t="str">
        <f t="shared" si="3"/>
        <v>7-16</v>
      </c>
      <c r="L114" s="16" t="str">
        <f t="shared" si="4"/>
        <v>7-16</v>
      </c>
      <c r="M114" s="16" t="str">
        <f t="shared" si="5"/>
        <v>7-16</v>
      </c>
      <c r="N114" s="16" t="str">
        <f t="shared" si="6"/>
        <v>1-16</v>
      </c>
      <c r="O114" s="17"/>
      <c r="P114" s="17"/>
      <c r="Q114" s="17"/>
      <c r="R114" s="17"/>
      <c r="S114" s="17"/>
      <c r="T114" s="17"/>
      <c r="U114" s="17"/>
      <c r="V114" s="17"/>
      <c r="W114" s="17"/>
    </row>
    <row r="115" ht="14.25" customHeight="1">
      <c r="A115" s="9" t="s">
        <v>210</v>
      </c>
      <c r="B115" s="10" t="s">
        <v>211</v>
      </c>
      <c r="C115" s="11" t="s">
        <v>212</v>
      </c>
      <c r="D115" s="22" t="s">
        <v>201</v>
      </c>
      <c r="E115" s="13" t="str">
        <f t="array" ref="E115">INDEX(Turmas!C2:C103,MATCH(D115,Turmas!A2:A103,0))</f>
        <v>Manhã</v>
      </c>
      <c r="F115" s="14">
        <v>60.0</v>
      </c>
      <c r="G115" s="15">
        <v>5.0</v>
      </c>
      <c r="H115" s="15">
        <v>0.0</v>
      </c>
      <c r="I115" s="16" t="str">
        <f t="shared" si="1"/>
        <v>7-16</v>
      </c>
      <c r="J115" s="16" t="str">
        <f t="shared" si="2"/>
        <v>7-16</v>
      </c>
      <c r="K115" s="16" t="str">
        <f t="shared" si="3"/>
        <v>7-16</v>
      </c>
      <c r="L115" s="16" t="str">
        <f t="shared" si="4"/>
        <v>7-16</v>
      </c>
      <c r="M115" s="16" t="str">
        <f t="shared" si="5"/>
        <v>7-16</v>
      </c>
      <c r="N115" s="16" t="str">
        <f t="shared" si="6"/>
        <v>1-16</v>
      </c>
      <c r="O115" s="17"/>
      <c r="P115" s="17"/>
      <c r="Q115" s="17"/>
      <c r="R115" s="17"/>
      <c r="S115" s="17"/>
      <c r="T115" s="17"/>
      <c r="U115" s="17"/>
      <c r="V115" s="17"/>
      <c r="W115" s="17"/>
    </row>
    <row r="116" ht="14.25" customHeight="1">
      <c r="A116" s="9" t="s">
        <v>213</v>
      </c>
      <c r="B116" s="10" t="s">
        <v>214</v>
      </c>
      <c r="C116" s="11" t="s">
        <v>215</v>
      </c>
      <c r="D116" s="22" t="s">
        <v>216</v>
      </c>
      <c r="E116" s="13" t="str">
        <f t="array" ref="E116">INDEX(Turmas!C2:C103,MATCH(D116,Turmas!A2:A103,0))</f>
        <v>Manhã</v>
      </c>
      <c r="F116" s="14">
        <v>60.0</v>
      </c>
      <c r="G116" s="15">
        <v>5.0</v>
      </c>
      <c r="H116" s="15">
        <v>0.0</v>
      </c>
      <c r="I116" s="16" t="str">
        <f t="shared" si="1"/>
        <v>7-16</v>
      </c>
      <c r="J116" s="16" t="str">
        <f t="shared" si="2"/>
        <v>7-16</v>
      </c>
      <c r="K116" s="16" t="str">
        <f t="shared" si="3"/>
        <v>7-16</v>
      </c>
      <c r="L116" s="16" t="str">
        <f t="shared" si="4"/>
        <v>7-16</v>
      </c>
      <c r="M116" s="16" t="str">
        <f t="shared" si="5"/>
        <v>7-16</v>
      </c>
      <c r="N116" s="16" t="str">
        <f t="shared" si="6"/>
        <v>1-16</v>
      </c>
      <c r="O116" s="17"/>
      <c r="P116" s="17"/>
      <c r="Q116" s="17"/>
      <c r="R116" s="17"/>
      <c r="S116" s="17"/>
      <c r="T116" s="17"/>
      <c r="U116" s="17"/>
      <c r="V116" s="17"/>
      <c r="W116" s="17"/>
    </row>
    <row r="117" ht="14.25" customHeight="1">
      <c r="A117" s="9" t="s">
        <v>217</v>
      </c>
      <c r="B117" s="10" t="s">
        <v>218</v>
      </c>
      <c r="C117" s="11" t="s">
        <v>219</v>
      </c>
      <c r="D117" s="22" t="s">
        <v>216</v>
      </c>
      <c r="E117" s="13" t="str">
        <f t="array" ref="E117">INDEX(Turmas!C2:C103,MATCH(D117,Turmas!A2:A103,0))</f>
        <v>Manhã</v>
      </c>
      <c r="F117" s="14">
        <v>60.0</v>
      </c>
      <c r="G117" s="15">
        <v>5.0</v>
      </c>
      <c r="H117" s="15">
        <v>0.0</v>
      </c>
      <c r="I117" s="16" t="str">
        <f t="shared" si="1"/>
        <v>7-16</v>
      </c>
      <c r="J117" s="16" t="str">
        <f t="shared" si="2"/>
        <v>7-16</v>
      </c>
      <c r="K117" s="16" t="str">
        <f t="shared" si="3"/>
        <v>7-16</v>
      </c>
      <c r="L117" s="16" t="str">
        <f t="shared" si="4"/>
        <v>7-16</v>
      </c>
      <c r="M117" s="16" t="str">
        <f t="shared" si="5"/>
        <v>7-16</v>
      </c>
      <c r="N117" s="16" t="str">
        <f t="shared" si="6"/>
        <v>1-16</v>
      </c>
      <c r="O117" s="17"/>
      <c r="P117" s="17"/>
      <c r="Q117" s="17"/>
      <c r="R117" s="17"/>
      <c r="S117" s="17"/>
      <c r="T117" s="17"/>
      <c r="U117" s="17"/>
      <c r="V117" s="17"/>
      <c r="W117" s="17"/>
    </row>
    <row r="118" ht="14.25" customHeight="1">
      <c r="A118" s="9" t="s">
        <v>220</v>
      </c>
      <c r="B118" s="10" t="s">
        <v>221</v>
      </c>
      <c r="C118" s="11" t="s">
        <v>222</v>
      </c>
      <c r="D118" s="22" t="s">
        <v>216</v>
      </c>
      <c r="E118" s="13" t="str">
        <f t="array" ref="E118">INDEX(Turmas!C2:C103,MATCH(D118,Turmas!A2:A103,0))</f>
        <v>Manhã</v>
      </c>
      <c r="F118" s="14">
        <v>60.0</v>
      </c>
      <c r="G118" s="15">
        <v>5.0</v>
      </c>
      <c r="H118" s="15">
        <v>0.0</v>
      </c>
      <c r="I118" s="16" t="str">
        <f t="shared" si="1"/>
        <v>7-16</v>
      </c>
      <c r="J118" s="16" t="str">
        <f t="shared" si="2"/>
        <v>7-16</v>
      </c>
      <c r="K118" s="16" t="str">
        <f t="shared" si="3"/>
        <v>7-16</v>
      </c>
      <c r="L118" s="16" t="str">
        <f t="shared" si="4"/>
        <v>7-16</v>
      </c>
      <c r="M118" s="16" t="str">
        <f t="shared" si="5"/>
        <v>7-16</v>
      </c>
      <c r="N118" s="16" t="str">
        <f t="shared" si="6"/>
        <v>1-16</v>
      </c>
      <c r="O118" s="17"/>
      <c r="P118" s="17"/>
      <c r="Q118" s="17"/>
      <c r="R118" s="17"/>
      <c r="S118" s="17"/>
      <c r="T118" s="17"/>
      <c r="U118" s="17"/>
      <c r="V118" s="17"/>
      <c r="W118" s="17"/>
    </row>
    <row r="119" ht="14.25" customHeight="1">
      <c r="A119" s="9" t="s">
        <v>223</v>
      </c>
      <c r="B119" s="10" t="s">
        <v>224</v>
      </c>
      <c r="C119" s="11" t="s">
        <v>225</v>
      </c>
      <c r="D119" s="22" t="s">
        <v>216</v>
      </c>
      <c r="E119" s="13" t="str">
        <f t="array" ref="E119">INDEX(Turmas!C2:C103,MATCH(D119,Turmas!A2:A103,0))</f>
        <v>Manhã</v>
      </c>
      <c r="F119" s="14">
        <v>60.0</v>
      </c>
      <c r="G119" s="15">
        <v>5.0</v>
      </c>
      <c r="H119" s="15">
        <v>0.0</v>
      </c>
      <c r="I119" s="16" t="str">
        <f t="shared" si="1"/>
        <v>7-16</v>
      </c>
      <c r="J119" s="16" t="str">
        <f t="shared" si="2"/>
        <v>7-16</v>
      </c>
      <c r="K119" s="16" t="str">
        <f t="shared" si="3"/>
        <v>7-16</v>
      </c>
      <c r="L119" s="16" t="str">
        <f t="shared" si="4"/>
        <v>7-16</v>
      </c>
      <c r="M119" s="16" t="str">
        <f t="shared" si="5"/>
        <v>7-16</v>
      </c>
      <c r="N119" s="16" t="str">
        <f t="shared" si="6"/>
        <v>1-16</v>
      </c>
      <c r="O119" s="17"/>
      <c r="P119" s="17"/>
      <c r="Q119" s="17"/>
      <c r="R119" s="17"/>
      <c r="S119" s="17"/>
      <c r="T119" s="17"/>
      <c r="U119" s="17"/>
      <c r="V119" s="17"/>
      <c r="W119" s="17"/>
    </row>
    <row r="120" ht="14.25" customHeight="1">
      <c r="A120" s="9" t="s">
        <v>226</v>
      </c>
      <c r="B120" s="10" t="s">
        <v>227</v>
      </c>
      <c r="C120" s="11" t="s">
        <v>190</v>
      </c>
      <c r="D120" s="22" t="s">
        <v>216</v>
      </c>
      <c r="E120" s="13" t="str">
        <f t="array" ref="E120">INDEX(Turmas!C2:C103,MATCH(D120,Turmas!A2:A103,0))</f>
        <v>Manhã</v>
      </c>
      <c r="F120" s="14">
        <v>60.0</v>
      </c>
      <c r="G120" s="15">
        <v>4.0</v>
      </c>
      <c r="H120" s="15">
        <v>0.0</v>
      </c>
      <c r="I120" s="16" t="str">
        <f t="shared" si="1"/>
        <v>7-16</v>
      </c>
      <c r="J120" s="16" t="str">
        <f t="shared" si="2"/>
        <v>7-16</v>
      </c>
      <c r="K120" s="16" t="str">
        <f t="shared" si="3"/>
        <v>7-16</v>
      </c>
      <c r="L120" s="16" t="str">
        <f t="shared" si="4"/>
        <v>7-16</v>
      </c>
      <c r="M120" s="16" t="str">
        <f t="shared" si="5"/>
        <v>7-16</v>
      </c>
      <c r="N120" s="16" t="str">
        <f t="shared" si="6"/>
        <v>1-16</v>
      </c>
      <c r="O120" s="17"/>
      <c r="P120" s="17"/>
      <c r="Q120" s="17"/>
      <c r="R120" s="17"/>
      <c r="S120" s="17"/>
      <c r="T120" s="17"/>
      <c r="U120" s="17"/>
      <c r="V120" s="17"/>
      <c r="W120" s="17"/>
    </row>
    <row r="121" ht="14.25" customHeight="1">
      <c r="A121" s="9" t="s">
        <v>228</v>
      </c>
      <c r="B121" s="10" t="s">
        <v>229</v>
      </c>
      <c r="C121" s="11" t="s">
        <v>230</v>
      </c>
      <c r="D121" s="22" t="s">
        <v>231</v>
      </c>
      <c r="E121" s="13" t="str">
        <f t="array" ref="E121">INDEX(Turmas!C2:C103,MATCH(D121,Turmas!A2:A103,0))</f>
        <v>Manhã</v>
      </c>
      <c r="F121" s="14">
        <v>60.0</v>
      </c>
      <c r="G121" s="15">
        <v>5.0</v>
      </c>
      <c r="H121" s="15">
        <v>0.0</v>
      </c>
      <c r="I121" s="16" t="str">
        <f t="shared" si="1"/>
        <v>7-16</v>
      </c>
      <c r="J121" s="16" t="str">
        <f t="shared" si="2"/>
        <v>7-16</v>
      </c>
      <c r="K121" s="16" t="str">
        <f t="shared" si="3"/>
        <v>7-16</v>
      </c>
      <c r="L121" s="16" t="str">
        <f t="shared" si="4"/>
        <v>7-16</v>
      </c>
      <c r="M121" s="16" t="str">
        <f t="shared" si="5"/>
        <v>7-16</v>
      </c>
      <c r="N121" s="16" t="str">
        <f t="shared" si="6"/>
        <v>1-16</v>
      </c>
      <c r="O121" s="17"/>
      <c r="P121" s="17"/>
      <c r="Q121" s="17"/>
      <c r="R121" s="17"/>
      <c r="S121" s="17"/>
      <c r="T121" s="17"/>
      <c r="U121" s="17"/>
      <c r="V121" s="17"/>
      <c r="W121" s="17"/>
    </row>
    <row r="122" ht="14.25" customHeight="1">
      <c r="A122" s="9" t="s">
        <v>232</v>
      </c>
      <c r="B122" s="10" t="s">
        <v>233</v>
      </c>
      <c r="C122" s="11" t="s">
        <v>234</v>
      </c>
      <c r="D122" s="22" t="s">
        <v>231</v>
      </c>
      <c r="E122" s="13" t="str">
        <f t="array" ref="E122">INDEX(Turmas!C2:C103,MATCH(D122,Turmas!A2:A103,0))</f>
        <v>Manhã</v>
      </c>
      <c r="F122" s="14">
        <v>60.0</v>
      </c>
      <c r="G122" s="15">
        <v>5.0</v>
      </c>
      <c r="H122" s="15">
        <v>0.0</v>
      </c>
      <c r="I122" s="16" t="str">
        <f t="shared" si="1"/>
        <v>7-16</v>
      </c>
      <c r="J122" s="16" t="str">
        <f t="shared" si="2"/>
        <v>7-16</v>
      </c>
      <c r="K122" s="16" t="str">
        <f t="shared" si="3"/>
        <v>7-16</v>
      </c>
      <c r="L122" s="16" t="str">
        <f t="shared" si="4"/>
        <v>7-16</v>
      </c>
      <c r="M122" s="16" t="str">
        <f t="shared" si="5"/>
        <v>7-16</v>
      </c>
      <c r="N122" s="16" t="str">
        <f t="shared" si="6"/>
        <v>1-16</v>
      </c>
      <c r="O122" s="17"/>
      <c r="P122" s="17"/>
      <c r="Q122" s="17"/>
      <c r="R122" s="17"/>
      <c r="S122" s="17"/>
      <c r="T122" s="17"/>
      <c r="U122" s="17"/>
      <c r="V122" s="17"/>
      <c r="W122" s="17"/>
    </row>
    <row r="123" ht="14.25" customHeight="1">
      <c r="A123" s="9" t="s">
        <v>235</v>
      </c>
      <c r="B123" s="10" t="s">
        <v>236</v>
      </c>
      <c r="C123" s="11" t="s">
        <v>237</v>
      </c>
      <c r="D123" s="22" t="s">
        <v>231</v>
      </c>
      <c r="E123" s="13" t="str">
        <f t="array" ref="E123">INDEX(Turmas!C2:C103,MATCH(D123,Turmas!A2:A103,0))</f>
        <v>Manhã</v>
      </c>
      <c r="F123" s="14">
        <v>60.0</v>
      </c>
      <c r="G123" s="15">
        <v>4.0</v>
      </c>
      <c r="H123" s="15">
        <v>0.0</v>
      </c>
      <c r="I123" s="16" t="str">
        <f t="shared" si="1"/>
        <v>7-16</v>
      </c>
      <c r="J123" s="16" t="str">
        <f t="shared" si="2"/>
        <v>7-16</v>
      </c>
      <c r="K123" s="16" t="str">
        <f t="shared" si="3"/>
        <v>7-16</v>
      </c>
      <c r="L123" s="16" t="str">
        <f t="shared" si="4"/>
        <v>7-16</v>
      </c>
      <c r="M123" s="16" t="str">
        <f t="shared" si="5"/>
        <v>7-16</v>
      </c>
      <c r="N123" s="16" t="str">
        <f t="shared" si="6"/>
        <v>1-16</v>
      </c>
      <c r="O123" s="17"/>
      <c r="P123" s="17"/>
      <c r="Q123" s="17"/>
      <c r="R123" s="17"/>
      <c r="S123" s="17"/>
      <c r="T123" s="17"/>
      <c r="U123" s="17"/>
      <c r="V123" s="17"/>
      <c r="W123" s="17"/>
    </row>
    <row r="124" ht="14.25" customHeight="1">
      <c r="A124" s="9" t="s">
        <v>238</v>
      </c>
      <c r="B124" s="10" t="s">
        <v>239</v>
      </c>
      <c r="C124" s="11" t="s">
        <v>240</v>
      </c>
      <c r="D124" s="22" t="s">
        <v>231</v>
      </c>
      <c r="E124" s="13" t="str">
        <f t="array" ref="E124">INDEX(Turmas!C2:C103,MATCH(D124,Turmas!A2:A103,0))</f>
        <v>Manhã</v>
      </c>
      <c r="F124" s="14">
        <v>60.0</v>
      </c>
      <c r="G124" s="15">
        <v>4.0</v>
      </c>
      <c r="H124" s="15">
        <v>0.0</v>
      </c>
      <c r="I124" s="16" t="str">
        <f t="shared" si="1"/>
        <v>7-16</v>
      </c>
      <c r="J124" s="16" t="str">
        <f t="shared" si="2"/>
        <v>7-16</v>
      </c>
      <c r="K124" s="16" t="str">
        <f t="shared" si="3"/>
        <v>7-16</v>
      </c>
      <c r="L124" s="16" t="str">
        <f t="shared" si="4"/>
        <v>7-16</v>
      </c>
      <c r="M124" s="16" t="str">
        <f t="shared" si="5"/>
        <v>7-16</v>
      </c>
      <c r="N124" s="16" t="str">
        <f t="shared" si="6"/>
        <v>1-16</v>
      </c>
      <c r="O124" s="17"/>
      <c r="P124" s="17"/>
      <c r="Q124" s="17"/>
      <c r="R124" s="17"/>
      <c r="S124" s="17"/>
      <c r="T124" s="17"/>
      <c r="U124" s="17"/>
      <c r="V124" s="17"/>
      <c r="W124" s="17"/>
    </row>
    <row r="125" ht="14.25" customHeight="1">
      <c r="A125" s="9" t="s">
        <v>241</v>
      </c>
      <c r="B125" s="10" t="s">
        <v>242</v>
      </c>
      <c r="C125" s="11" t="s">
        <v>243</v>
      </c>
      <c r="D125" s="22" t="s">
        <v>231</v>
      </c>
      <c r="E125" s="13" t="str">
        <f t="array" ref="E125">INDEX(Turmas!C2:C103,MATCH(D125,Turmas!A2:A103,0))</f>
        <v>Manhã</v>
      </c>
      <c r="F125" s="14">
        <v>60.0</v>
      </c>
      <c r="G125" s="15">
        <v>4.0</v>
      </c>
      <c r="H125" s="15">
        <v>0.0</v>
      </c>
      <c r="I125" s="16" t="str">
        <f t="shared" si="1"/>
        <v>7-16</v>
      </c>
      <c r="J125" s="16" t="str">
        <f t="shared" si="2"/>
        <v>7-16</v>
      </c>
      <c r="K125" s="16" t="str">
        <f t="shared" si="3"/>
        <v>7-16</v>
      </c>
      <c r="L125" s="16" t="str">
        <f t="shared" si="4"/>
        <v>7-16</v>
      </c>
      <c r="M125" s="16" t="str">
        <f t="shared" si="5"/>
        <v>7-16</v>
      </c>
      <c r="N125" s="16" t="str">
        <f t="shared" si="6"/>
        <v>1-16</v>
      </c>
      <c r="O125" s="17"/>
      <c r="P125" s="17"/>
      <c r="Q125" s="17"/>
      <c r="R125" s="17"/>
      <c r="S125" s="17"/>
      <c r="T125" s="17"/>
      <c r="U125" s="17"/>
      <c r="V125" s="17"/>
      <c r="W125" s="17"/>
    </row>
    <row r="126" ht="14.25" customHeight="1">
      <c r="A126" s="9" t="s">
        <v>244</v>
      </c>
      <c r="B126" s="10" t="s">
        <v>245</v>
      </c>
      <c r="C126" s="11" t="s">
        <v>246</v>
      </c>
      <c r="D126" s="22" t="s">
        <v>231</v>
      </c>
      <c r="E126" s="13" t="str">
        <f t="array" ref="E126">INDEX(Turmas!C2:C103,MATCH(D126,Turmas!A2:A103,0))</f>
        <v>Manhã</v>
      </c>
      <c r="F126" s="14">
        <v>60.0</v>
      </c>
      <c r="G126" s="15">
        <v>5.0</v>
      </c>
      <c r="H126" s="15">
        <v>0.0</v>
      </c>
      <c r="I126" s="16" t="str">
        <f t="shared" si="1"/>
        <v>7-16</v>
      </c>
      <c r="J126" s="16" t="str">
        <f t="shared" si="2"/>
        <v>7-16</v>
      </c>
      <c r="K126" s="16" t="str">
        <f t="shared" si="3"/>
        <v>7-16</v>
      </c>
      <c r="L126" s="16" t="str">
        <f t="shared" si="4"/>
        <v>7-16</v>
      </c>
      <c r="M126" s="16" t="str">
        <f t="shared" si="5"/>
        <v>7-16</v>
      </c>
      <c r="N126" s="16" t="str">
        <f t="shared" si="6"/>
        <v>1-16</v>
      </c>
      <c r="O126" s="17"/>
      <c r="P126" s="17"/>
      <c r="Q126" s="17"/>
      <c r="R126" s="17"/>
      <c r="S126" s="17"/>
      <c r="T126" s="17"/>
      <c r="U126" s="17"/>
      <c r="V126" s="17"/>
      <c r="W126" s="17"/>
    </row>
    <row r="127" ht="14.25" customHeight="1">
      <c r="A127" s="9" t="s">
        <v>247</v>
      </c>
      <c r="B127" s="10" t="s">
        <v>248</v>
      </c>
      <c r="C127" s="11" t="s">
        <v>249</v>
      </c>
      <c r="D127" s="22" t="s">
        <v>250</v>
      </c>
      <c r="E127" s="13" t="str">
        <f t="array" ref="E127">INDEX(Turmas!C2:C103,MATCH(D127,Turmas!A2:A103,0))</f>
        <v>Manhã</v>
      </c>
      <c r="F127" s="14">
        <v>60.0</v>
      </c>
      <c r="G127" s="15">
        <v>5.0</v>
      </c>
      <c r="H127" s="15">
        <v>0.0</v>
      </c>
      <c r="I127" s="16" t="str">
        <f t="shared" si="1"/>
        <v>7-16</v>
      </c>
      <c r="J127" s="16" t="str">
        <f t="shared" si="2"/>
        <v>7-16</v>
      </c>
      <c r="K127" s="16" t="str">
        <f t="shared" si="3"/>
        <v>7-16</v>
      </c>
      <c r="L127" s="16" t="str">
        <f t="shared" si="4"/>
        <v>7-16</v>
      </c>
      <c r="M127" s="16" t="str">
        <f t="shared" si="5"/>
        <v>7-16</v>
      </c>
      <c r="N127" s="16" t="str">
        <f t="shared" si="6"/>
        <v>1-16</v>
      </c>
      <c r="O127" s="17"/>
      <c r="P127" s="17"/>
      <c r="Q127" s="17"/>
      <c r="R127" s="17"/>
      <c r="S127" s="17"/>
      <c r="T127" s="17"/>
      <c r="U127" s="17"/>
      <c r="V127" s="17"/>
      <c r="W127" s="17"/>
    </row>
    <row r="128" ht="14.25" customHeight="1">
      <c r="A128" s="9" t="s">
        <v>251</v>
      </c>
      <c r="B128" s="10" t="s">
        <v>252</v>
      </c>
      <c r="C128" s="11" t="s">
        <v>240</v>
      </c>
      <c r="D128" s="22" t="s">
        <v>250</v>
      </c>
      <c r="E128" s="13" t="str">
        <f t="array" ref="E128">INDEX(Turmas!C2:C103,MATCH(D128,Turmas!A2:A103,0))</f>
        <v>Manhã</v>
      </c>
      <c r="F128" s="14">
        <v>60.0</v>
      </c>
      <c r="G128" s="15">
        <v>5.0</v>
      </c>
      <c r="H128" s="15">
        <v>0.0</v>
      </c>
      <c r="I128" s="16" t="str">
        <f t="shared" si="1"/>
        <v>7-16</v>
      </c>
      <c r="J128" s="16" t="str">
        <f t="shared" si="2"/>
        <v>7-16</v>
      </c>
      <c r="K128" s="16" t="str">
        <f t="shared" si="3"/>
        <v>7-16</v>
      </c>
      <c r="L128" s="16" t="str">
        <f t="shared" si="4"/>
        <v>7-16</v>
      </c>
      <c r="M128" s="16" t="str">
        <f t="shared" si="5"/>
        <v>7-16</v>
      </c>
      <c r="N128" s="16" t="str">
        <f t="shared" si="6"/>
        <v>1-16</v>
      </c>
      <c r="O128" s="17"/>
      <c r="P128" s="17"/>
      <c r="Q128" s="17"/>
      <c r="R128" s="17"/>
      <c r="S128" s="17"/>
      <c r="T128" s="17"/>
      <c r="U128" s="17"/>
      <c r="V128" s="17"/>
      <c r="W128" s="17"/>
    </row>
    <row r="129" ht="14.25" customHeight="1">
      <c r="A129" s="9" t="s">
        <v>253</v>
      </c>
      <c r="B129" s="10" t="s">
        <v>254</v>
      </c>
      <c r="C129" s="11" t="s">
        <v>255</v>
      </c>
      <c r="D129" s="22" t="s">
        <v>250</v>
      </c>
      <c r="E129" s="13" t="str">
        <f t="array" ref="E129">INDEX(Turmas!C2:C103,MATCH(D129,Turmas!A2:A103,0))</f>
        <v>Manhã</v>
      </c>
      <c r="F129" s="14">
        <v>60.0</v>
      </c>
      <c r="G129" s="15">
        <v>5.0</v>
      </c>
      <c r="H129" s="15">
        <v>0.0</v>
      </c>
      <c r="I129" s="16" t="str">
        <f t="shared" si="1"/>
        <v>7-16</v>
      </c>
      <c r="J129" s="16" t="str">
        <f t="shared" si="2"/>
        <v>7-16</v>
      </c>
      <c r="K129" s="16" t="str">
        <f t="shared" si="3"/>
        <v>7-16</v>
      </c>
      <c r="L129" s="16" t="str">
        <f t="shared" si="4"/>
        <v>7-16</v>
      </c>
      <c r="M129" s="16" t="str">
        <f t="shared" si="5"/>
        <v>7-16</v>
      </c>
      <c r="N129" s="16" t="str">
        <f t="shared" si="6"/>
        <v>1-16</v>
      </c>
      <c r="O129" s="17"/>
      <c r="P129" s="17"/>
      <c r="Q129" s="17"/>
      <c r="R129" s="17"/>
      <c r="S129" s="17"/>
      <c r="T129" s="17"/>
      <c r="U129" s="17"/>
      <c r="V129" s="17"/>
      <c r="W129" s="17"/>
    </row>
    <row r="130" ht="14.25" customHeight="1">
      <c r="A130" s="9" t="s">
        <v>256</v>
      </c>
      <c r="B130" s="10" t="s">
        <v>257</v>
      </c>
      <c r="C130" s="11" t="s">
        <v>258</v>
      </c>
      <c r="D130" s="22" t="s">
        <v>250</v>
      </c>
      <c r="E130" s="13" t="str">
        <f t="array" ref="E130">INDEX(Turmas!C2:C103,MATCH(D130,Turmas!A2:A103,0))</f>
        <v>Manhã</v>
      </c>
      <c r="F130" s="14">
        <v>60.0</v>
      </c>
      <c r="G130" s="15">
        <v>5.0</v>
      </c>
      <c r="H130" s="15">
        <v>0.0</v>
      </c>
      <c r="I130" s="16" t="str">
        <f t="shared" si="1"/>
        <v>7-16</v>
      </c>
      <c r="J130" s="16" t="str">
        <f t="shared" si="2"/>
        <v>7-16</v>
      </c>
      <c r="K130" s="16" t="str">
        <f t="shared" si="3"/>
        <v>7-16</v>
      </c>
      <c r="L130" s="16" t="str">
        <f t="shared" si="4"/>
        <v>7-16</v>
      </c>
      <c r="M130" s="16" t="str">
        <f t="shared" si="5"/>
        <v>7-16</v>
      </c>
      <c r="N130" s="16" t="str">
        <f t="shared" si="6"/>
        <v>1-16</v>
      </c>
      <c r="O130" s="17"/>
      <c r="P130" s="17"/>
      <c r="Q130" s="17"/>
      <c r="R130" s="17"/>
      <c r="S130" s="17"/>
      <c r="T130" s="17"/>
      <c r="U130" s="17"/>
      <c r="V130" s="17"/>
      <c r="W130" s="17"/>
    </row>
    <row r="131" ht="14.25" customHeight="1">
      <c r="A131" s="9" t="s">
        <v>259</v>
      </c>
      <c r="B131" s="10" t="s">
        <v>260</v>
      </c>
      <c r="C131" s="11" t="s">
        <v>258</v>
      </c>
      <c r="D131" s="22" t="s">
        <v>250</v>
      </c>
      <c r="E131" s="13" t="str">
        <f t="array" ref="E131">INDEX(Turmas!C2:C103,MATCH(D131,Turmas!A2:A103,0))</f>
        <v>Manhã</v>
      </c>
      <c r="F131" s="14">
        <v>60.0</v>
      </c>
      <c r="G131" s="15">
        <v>5.0</v>
      </c>
      <c r="H131" s="15">
        <v>0.0</v>
      </c>
      <c r="I131" s="16" t="str">
        <f t="shared" si="1"/>
        <v>7-16</v>
      </c>
      <c r="J131" s="16" t="str">
        <f t="shared" si="2"/>
        <v>7-16</v>
      </c>
      <c r="K131" s="16" t="str">
        <f t="shared" si="3"/>
        <v>7-16</v>
      </c>
      <c r="L131" s="16" t="str">
        <f t="shared" si="4"/>
        <v>7-16</v>
      </c>
      <c r="M131" s="16" t="str">
        <f t="shared" si="5"/>
        <v>7-16</v>
      </c>
      <c r="N131" s="16" t="str">
        <f t="shared" si="6"/>
        <v>1-16</v>
      </c>
      <c r="O131" s="17"/>
      <c r="P131" s="17"/>
      <c r="Q131" s="17"/>
      <c r="R131" s="17"/>
      <c r="S131" s="17"/>
      <c r="T131" s="17"/>
      <c r="U131" s="17"/>
      <c r="V131" s="17"/>
      <c r="W131" s="17"/>
    </row>
    <row r="132" ht="14.25" customHeight="1">
      <c r="A132" s="9" t="s">
        <v>198</v>
      </c>
      <c r="B132" s="10" t="s">
        <v>199</v>
      </c>
      <c r="C132" s="11" t="s">
        <v>261</v>
      </c>
      <c r="D132" s="22" t="s">
        <v>262</v>
      </c>
      <c r="E132" s="13" t="str">
        <f t="array" ref="E132">INDEX(Turmas!C2:C103,MATCH(D132,Turmas!A2:A103,0))</f>
        <v>Tarde</v>
      </c>
      <c r="F132" s="14">
        <v>60.0</v>
      </c>
      <c r="G132" s="15">
        <v>3.0</v>
      </c>
      <c r="H132" s="15">
        <v>0.0</v>
      </c>
      <c r="I132" s="16" t="str">
        <f t="shared" si="1"/>
        <v>1-6,13-16</v>
      </c>
      <c r="J132" s="16" t="str">
        <f t="shared" si="2"/>
        <v>1-6,13-16</v>
      </c>
      <c r="K132" s="16" t="str">
        <f t="shared" si="3"/>
        <v>1-6,13-16</v>
      </c>
      <c r="L132" s="16" t="str">
        <f t="shared" si="4"/>
        <v>1-6,13-16</v>
      </c>
      <c r="M132" s="16" t="str">
        <f t="shared" si="5"/>
        <v>1-6,13-16</v>
      </c>
      <c r="N132" s="16" t="str">
        <f t="shared" si="6"/>
        <v>1-16</v>
      </c>
      <c r="O132" s="17"/>
      <c r="P132" s="17"/>
      <c r="Q132" s="17"/>
      <c r="R132" s="17"/>
      <c r="S132" s="17"/>
      <c r="T132" s="17"/>
      <c r="U132" s="17"/>
      <c r="V132" s="17"/>
      <c r="W132" s="17"/>
    </row>
    <row r="133" ht="14.25" customHeight="1">
      <c r="A133" s="9" t="s">
        <v>202</v>
      </c>
      <c r="B133" s="10" t="s">
        <v>203</v>
      </c>
      <c r="C133" s="11" t="s">
        <v>204</v>
      </c>
      <c r="D133" s="22" t="s">
        <v>262</v>
      </c>
      <c r="E133" s="13" t="str">
        <f t="array" ref="E133">INDEX(Turmas!C2:C103,MATCH(D133,Turmas!A2:A103,0))</f>
        <v>Tarde</v>
      </c>
      <c r="F133" s="20">
        <v>60.0</v>
      </c>
      <c r="G133" s="15">
        <v>5.0</v>
      </c>
      <c r="H133" s="15">
        <v>0.0</v>
      </c>
      <c r="I133" s="16" t="str">
        <f t="shared" si="1"/>
        <v>1-6,13-16</v>
      </c>
      <c r="J133" s="16" t="str">
        <f t="shared" si="2"/>
        <v>1-6,13-16</v>
      </c>
      <c r="K133" s="16" t="str">
        <f t="shared" si="3"/>
        <v>1-6,13-16</v>
      </c>
      <c r="L133" s="16" t="str">
        <f t="shared" si="4"/>
        <v>1-6,13-16</v>
      </c>
      <c r="M133" s="16" t="str">
        <f t="shared" si="5"/>
        <v>1-6,13-16</v>
      </c>
      <c r="N133" s="16" t="str">
        <f t="shared" si="6"/>
        <v>1-16</v>
      </c>
      <c r="O133" s="21"/>
      <c r="P133" s="21"/>
      <c r="Q133" s="21"/>
      <c r="R133" s="21"/>
      <c r="S133" s="21"/>
      <c r="T133" s="21"/>
      <c r="U133" s="21"/>
      <c r="V133" s="21"/>
      <c r="W133" s="21"/>
    </row>
    <row r="134" ht="14.25" customHeight="1">
      <c r="A134" s="9" t="s">
        <v>205</v>
      </c>
      <c r="B134" s="10" t="s">
        <v>206</v>
      </c>
      <c r="C134" s="11" t="s">
        <v>207</v>
      </c>
      <c r="D134" s="22" t="s">
        <v>262</v>
      </c>
      <c r="E134" s="13" t="str">
        <f t="array" ref="E134">INDEX(Turmas!C2:C103,MATCH(D134,Turmas!A2:A103,0))</f>
        <v>Tarde</v>
      </c>
      <c r="F134" s="14">
        <v>60.0</v>
      </c>
      <c r="G134" s="15">
        <v>4.0</v>
      </c>
      <c r="H134" s="15">
        <v>0.0</v>
      </c>
      <c r="I134" s="16" t="str">
        <f t="shared" si="1"/>
        <v>1-6,13-16</v>
      </c>
      <c r="J134" s="16" t="str">
        <f t="shared" si="2"/>
        <v>1-6,13-16</v>
      </c>
      <c r="K134" s="16" t="str">
        <f t="shared" si="3"/>
        <v>1-6,13-16</v>
      </c>
      <c r="L134" s="16" t="str">
        <f t="shared" si="4"/>
        <v>1-6,13-16</v>
      </c>
      <c r="M134" s="16" t="str">
        <f t="shared" si="5"/>
        <v>1-6,13-16</v>
      </c>
      <c r="N134" s="16" t="str">
        <f t="shared" si="6"/>
        <v>1-16</v>
      </c>
      <c r="O134" s="17"/>
      <c r="P134" s="17"/>
      <c r="Q134" s="17"/>
      <c r="R134" s="17"/>
      <c r="S134" s="17"/>
      <c r="T134" s="17"/>
      <c r="U134" s="17"/>
      <c r="V134" s="17"/>
      <c r="W134" s="17"/>
    </row>
    <row r="135" ht="14.25" customHeight="1">
      <c r="A135" s="9" t="s">
        <v>208</v>
      </c>
      <c r="B135" s="19" t="s">
        <v>209</v>
      </c>
      <c r="C135" s="11" t="s">
        <v>173</v>
      </c>
      <c r="D135" s="22" t="s">
        <v>262</v>
      </c>
      <c r="E135" s="13" t="str">
        <f t="array" ref="E135">INDEX(Turmas!C2:C103,MATCH(D135,Turmas!A2:A103,0))</f>
        <v>Tarde</v>
      </c>
      <c r="F135" s="14">
        <v>60.0</v>
      </c>
      <c r="G135" s="15">
        <v>3.0</v>
      </c>
      <c r="H135" s="15">
        <v>0.0</v>
      </c>
      <c r="I135" s="16" t="str">
        <f t="shared" si="1"/>
        <v>1-6,13-16</v>
      </c>
      <c r="J135" s="16" t="str">
        <f t="shared" si="2"/>
        <v>1-6,13-16</v>
      </c>
      <c r="K135" s="16" t="str">
        <f t="shared" si="3"/>
        <v>1-6,13-16</v>
      </c>
      <c r="L135" s="16" t="str">
        <f t="shared" si="4"/>
        <v>1-6,13-16</v>
      </c>
      <c r="M135" s="16" t="str">
        <f t="shared" si="5"/>
        <v>1-6,13-16</v>
      </c>
      <c r="N135" s="16" t="str">
        <f t="shared" si="6"/>
        <v>1-16</v>
      </c>
      <c r="O135" s="17"/>
      <c r="P135" s="17"/>
      <c r="Q135" s="17"/>
      <c r="R135" s="17"/>
      <c r="S135" s="17"/>
      <c r="T135" s="17"/>
      <c r="U135" s="17"/>
      <c r="V135" s="17"/>
      <c r="W135" s="17"/>
    </row>
    <row r="136" ht="14.25" customHeight="1">
      <c r="A136" s="9" t="s">
        <v>210</v>
      </c>
      <c r="B136" s="19" t="s">
        <v>211</v>
      </c>
      <c r="C136" s="11" t="s">
        <v>212</v>
      </c>
      <c r="D136" s="22" t="s">
        <v>262</v>
      </c>
      <c r="E136" s="13" t="str">
        <f t="array" ref="E136">INDEX(Turmas!C2:C103,MATCH(D136,Turmas!A2:A103,0))</f>
        <v>Tarde</v>
      </c>
      <c r="F136" s="14">
        <v>60.0</v>
      </c>
      <c r="G136" s="15">
        <v>4.0</v>
      </c>
      <c r="H136" s="15">
        <v>0.0</v>
      </c>
      <c r="I136" s="16" t="str">
        <f t="shared" si="1"/>
        <v>1-6,13-16</v>
      </c>
      <c r="J136" s="16" t="str">
        <f t="shared" si="2"/>
        <v>1-6,13-16</v>
      </c>
      <c r="K136" s="16" t="str">
        <f t="shared" si="3"/>
        <v>1-6,13-16</v>
      </c>
      <c r="L136" s="16" t="str">
        <f t="shared" si="4"/>
        <v>1-6,13-16</v>
      </c>
      <c r="M136" s="16" t="str">
        <f t="shared" si="5"/>
        <v>1-6,13-16</v>
      </c>
      <c r="N136" s="16" t="str">
        <f t="shared" si="6"/>
        <v>1-16</v>
      </c>
      <c r="O136" s="17"/>
      <c r="P136" s="17"/>
      <c r="Q136" s="17"/>
      <c r="R136" s="17"/>
      <c r="S136" s="17"/>
      <c r="T136" s="17"/>
      <c r="U136" s="17"/>
      <c r="V136" s="17"/>
      <c r="W136" s="17"/>
    </row>
    <row r="137" ht="14.25" customHeight="1">
      <c r="A137" s="9" t="s">
        <v>213</v>
      </c>
      <c r="B137" s="19" t="s">
        <v>214</v>
      </c>
      <c r="C137" s="11" t="s">
        <v>215</v>
      </c>
      <c r="D137" s="22" t="s">
        <v>263</v>
      </c>
      <c r="E137" s="13" t="str">
        <f t="array" ref="E137">INDEX(Turmas!C2:C103,MATCH(D137,Turmas!A2:A103,0))</f>
        <v>Tarde</v>
      </c>
      <c r="F137" s="14">
        <v>60.0</v>
      </c>
      <c r="G137" s="15">
        <v>4.0</v>
      </c>
      <c r="H137" s="15">
        <v>0.0</v>
      </c>
      <c r="I137" s="16" t="str">
        <f t="shared" si="1"/>
        <v>1-6,13-16</v>
      </c>
      <c r="J137" s="16" t="str">
        <f t="shared" si="2"/>
        <v>1-6,13-16</v>
      </c>
      <c r="K137" s="16" t="str">
        <f t="shared" si="3"/>
        <v>1-6,13-16</v>
      </c>
      <c r="L137" s="16" t="str">
        <f t="shared" si="4"/>
        <v>1-6,13-16</v>
      </c>
      <c r="M137" s="16" t="str">
        <f t="shared" si="5"/>
        <v>1-6,13-16</v>
      </c>
      <c r="N137" s="16" t="str">
        <f t="shared" si="6"/>
        <v>1-16</v>
      </c>
      <c r="O137" s="17"/>
      <c r="P137" s="17"/>
      <c r="Q137" s="17"/>
      <c r="R137" s="17"/>
      <c r="S137" s="17"/>
      <c r="T137" s="17"/>
      <c r="U137" s="17"/>
      <c r="V137" s="17"/>
      <c r="W137" s="17"/>
    </row>
    <row r="138" ht="14.25" customHeight="1">
      <c r="A138" s="9" t="s">
        <v>217</v>
      </c>
      <c r="B138" s="19" t="s">
        <v>218</v>
      </c>
      <c r="C138" s="11" t="s">
        <v>219</v>
      </c>
      <c r="D138" s="22" t="s">
        <v>263</v>
      </c>
      <c r="E138" s="13" t="str">
        <f t="array" ref="E138">INDEX(Turmas!C2:C103,MATCH(D138,Turmas!A2:A103,0))</f>
        <v>Tarde</v>
      </c>
      <c r="F138" s="14">
        <v>60.0</v>
      </c>
      <c r="G138" s="15">
        <v>4.0</v>
      </c>
      <c r="H138" s="15">
        <v>0.0</v>
      </c>
      <c r="I138" s="16" t="str">
        <f t="shared" si="1"/>
        <v>1-6,13-16</v>
      </c>
      <c r="J138" s="16" t="str">
        <f t="shared" si="2"/>
        <v>1-6,13-16</v>
      </c>
      <c r="K138" s="16" t="str">
        <f t="shared" si="3"/>
        <v>1-6,13-16</v>
      </c>
      <c r="L138" s="16" t="str">
        <f t="shared" si="4"/>
        <v>1-6,13-16</v>
      </c>
      <c r="M138" s="16" t="str">
        <f t="shared" si="5"/>
        <v>1-6,13-16</v>
      </c>
      <c r="N138" s="16" t="str">
        <f t="shared" si="6"/>
        <v>1-16</v>
      </c>
      <c r="O138" s="17"/>
      <c r="P138" s="17"/>
      <c r="Q138" s="17"/>
      <c r="R138" s="17"/>
      <c r="S138" s="17"/>
      <c r="T138" s="17"/>
      <c r="U138" s="17"/>
      <c r="V138" s="17"/>
      <c r="W138" s="17"/>
    </row>
    <row r="139" ht="14.25" customHeight="1">
      <c r="A139" s="9" t="s">
        <v>220</v>
      </c>
      <c r="B139" s="19" t="s">
        <v>221</v>
      </c>
      <c r="C139" s="11" t="s">
        <v>222</v>
      </c>
      <c r="D139" s="22" t="s">
        <v>263</v>
      </c>
      <c r="E139" s="13" t="str">
        <f t="array" ref="E139">INDEX(Turmas!C2:C103,MATCH(D139,Turmas!A2:A103,0))</f>
        <v>Tarde</v>
      </c>
      <c r="F139" s="14">
        <v>60.0</v>
      </c>
      <c r="G139" s="15">
        <v>4.0</v>
      </c>
      <c r="H139" s="15">
        <v>0.0</v>
      </c>
      <c r="I139" s="16" t="str">
        <f t="shared" si="1"/>
        <v>1-6,13-16</v>
      </c>
      <c r="J139" s="16" t="str">
        <f t="shared" si="2"/>
        <v>1-6,13-16</v>
      </c>
      <c r="K139" s="16" t="str">
        <f t="shared" si="3"/>
        <v>1-6,13-16</v>
      </c>
      <c r="L139" s="16" t="str">
        <f t="shared" si="4"/>
        <v>1-6,13-16</v>
      </c>
      <c r="M139" s="16" t="str">
        <f t="shared" si="5"/>
        <v>1-6,13-16</v>
      </c>
      <c r="N139" s="16" t="str">
        <f t="shared" si="6"/>
        <v>1-16</v>
      </c>
      <c r="O139" s="17"/>
      <c r="P139" s="17"/>
      <c r="Q139" s="17"/>
      <c r="R139" s="17"/>
      <c r="S139" s="17"/>
      <c r="T139" s="17"/>
      <c r="U139" s="17"/>
      <c r="V139" s="17"/>
      <c r="W139" s="17"/>
    </row>
    <row r="140" ht="14.25" customHeight="1">
      <c r="A140" s="9" t="s">
        <v>223</v>
      </c>
      <c r="B140" s="19" t="s">
        <v>224</v>
      </c>
      <c r="C140" s="11" t="s">
        <v>264</v>
      </c>
      <c r="D140" s="22" t="s">
        <v>263</v>
      </c>
      <c r="E140" s="13" t="str">
        <f t="array" ref="E140">INDEX(Turmas!C2:C103,MATCH(D140,Turmas!A2:A103,0))</f>
        <v>Tarde</v>
      </c>
      <c r="F140" s="14">
        <v>60.0</v>
      </c>
      <c r="G140" s="15">
        <v>4.0</v>
      </c>
      <c r="H140" s="15">
        <v>0.0</v>
      </c>
      <c r="I140" s="16" t="str">
        <f t="shared" si="1"/>
        <v>1-6,13-16</v>
      </c>
      <c r="J140" s="16" t="str">
        <f t="shared" si="2"/>
        <v>1-6,13-16</v>
      </c>
      <c r="K140" s="16" t="str">
        <f t="shared" si="3"/>
        <v>1-6,13-16</v>
      </c>
      <c r="L140" s="16" t="str">
        <f t="shared" si="4"/>
        <v>1-6,13-16</v>
      </c>
      <c r="M140" s="16" t="str">
        <f t="shared" si="5"/>
        <v>1-6,13-16</v>
      </c>
      <c r="N140" s="16" t="str">
        <f t="shared" si="6"/>
        <v>1-16</v>
      </c>
      <c r="O140" s="17"/>
      <c r="P140" s="17"/>
      <c r="Q140" s="17"/>
      <c r="R140" s="17"/>
      <c r="S140" s="17"/>
      <c r="T140" s="17"/>
      <c r="U140" s="17"/>
      <c r="V140" s="17"/>
      <c r="W140" s="17"/>
    </row>
    <row r="141" ht="14.25" customHeight="1">
      <c r="A141" s="9" t="s">
        <v>226</v>
      </c>
      <c r="B141" s="19" t="s">
        <v>227</v>
      </c>
      <c r="C141" s="11" t="s">
        <v>190</v>
      </c>
      <c r="D141" s="22" t="s">
        <v>263</v>
      </c>
      <c r="E141" s="13" t="str">
        <f t="array" ref="E141">INDEX(Turmas!C2:C103,MATCH(D141,Turmas!A2:A103,0))</f>
        <v>Tarde</v>
      </c>
      <c r="F141" s="14">
        <v>60.0</v>
      </c>
      <c r="G141" s="15">
        <v>3.0</v>
      </c>
      <c r="H141" s="15">
        <v>0.0</v>
      </c>
      <c r="I141" s="16" t="str">
        <f t="shared" si="1"/>
        <v>1-6,13-16</v>
      </c>
      <c r="J141" s="16" t="str">
        <f t="shared" si="2"/>
        <v>1-6,13-16</v>
      </c>
      <c r="K141" s="16" t="str">
        <f t="shared" si="3"/>
        <v>1-6,13-16</v>
      </c>
      <c r="L141" s="16" t="str">
        <f t="shared" si="4"/>
        <v>1-6,13-16</v>
      </c>
      <c r="M141" s="16" t="str">
        <f t="shared" si="5"/>
        <v>1-6,13-16</v>
      </c>
      <c r="N141" s="16" t="str">
        <f t="shared" si="6"/>
        <v>1-16</v>
      </c>
      <c r="O141" s="17"/>
      <c r="P141" s="17"/>
      <c r="Q141" s="17"/>
      <c r="R141" s="17"/>
      <c r="S141" s="17"/>
      <c r="T141" s="17"/>
      <c r="U141" s="17"/>
      <c r="V141" s="17"/>
      <c r="W141" s="17"/>
    </row>
    <row r="142" ht="14.25" customHeight="1">
      <c r="A142" s="9" t="s">
        <v>228</v>
      </c>
      <c r="B142" s="19" t="s">
        <v>229</v>
      </c>
      <c r="C142" s="11" t="s">
        <v>230</v>
      </c>
      <c r="D142" s="22" t="s">
        <v>265</v>
      </c>
      <c r="E142" s="13" t="str">
        <f t="array" ref="E142">INDEX(Turmas!C2:C103,MATCH(D142,Turmas!A2:A103,0))</f>
        <v>Tarde</v>
      </c>
      <c r="F142" s="14">
        <v>60.0</v>
      </c>
      <c r="G142" s="15">
        <v>4.0</v>
      </c>
      <c r="H142" s="15">
        <v>0.0</v>
      </c>
      <c r="I142" s="16" t="str">
        <f t="shared" si="1"/>
        <v>1-6,13-16</v>
      </c>
      <c r="J142" s="16" t="str">
        <f t="shared" si="2"/>
        <v>1-6,13-16</v>
      </c>
      <c r="K142" s="16" t="str">
        <f t="shared" si="3"/>
        <v>1-6,13-16</v>
      </c>
      <c r="L142" s="16" t="str">
        <f t="shared" si="4"/>
        <v>1-6,13-16</v>
      </c>
      <c r="M142" s="16" t="str">
        <f t="shared" si="5"/>
        <v>1-6,13-16</v>
      </c>
      <c r="N142" s="16" t="str">
        <f t="shared" si="6"/>
        <v>1-16</v>
      </c>
      <c r="O142" s="17"/>
      <c r="P142" s="17"/>
      <c r="Q142" s="17"/>
      <c r="R142" s="17"/>
      <c r="S142" s="17"/>
      <c r="T142" s="17"/>
      <c r="U142" s="17"/>
      <c r="V142" s="17"/>
      <c r="W142" s="17"/>
    </row>
    <row r="143" ht="14.25" customHeight="1">
      <c r="A143" s="9" t="s">
        <v>232</v>
      </c>
      <c r="B143" s="19" t="s">
        <v>233</v>
      </c>
      <c r="C143" s="11" t="s">
        <v>204</v>
      </c>
      <c r="D143" s="22" t="s">
        <v>265</v>
      </c>
      <c r="E143" s="13" t="str">
        <f t="array" ref="E143">INDEX(Turmas!C2:C103,MATCH(D143,Turmas!A2:A103,0))</f>
        <v>Tarde</v>
      </c>
      <c r="F143" s="14">
        <v>60.0</v>
      </c>
      <c r="G143" s="15">
        <v>4.0</v>
      </c>
      <c r="H143" s="15">
        <v>0.0</v>
      </c>
      <c r="I143" s="16" t="str">
        <f t="shared" si="1"/>
        <v>1-6,13-16</v>
      </c>
      <c r="J143" s="16" t="str">
        <f t="shared" si="2"/>
        <v>1-6,13-16</v>
      </c>
      <c r="K143" s="16" t="str">
        <f t="shared" si="3"/>
        <v>1-6,13-16</v>
      </c>
      <c r="L143" s="16" t="str">
        <f t="shared" si="4"/>
        <v>1-6,13-16</v>
      </c>
      <c r="M143" s="16" t="str">
        <f t="shared" si="5"/>
        <v>1-6,13-16</v>
      </c>
      <c r="N143" s="16" t="str">
        <f t="shared" si="6"/>
        <v>1-16</v>
      </c>
      <c r="O143" s="17"/>
      <c r="P143" s="17"/>
      <c r="Q143" s="17"/>
      <c r="R143" s="17"/>
      <c r="S143" s="17"/>
      <c r="T143" s="17"/>
      <c r="U143" s="17"/>
      <c r="V143" s="17"/>
      <c r="W143" s="17"/>
    </row>
    <row r="144" ht="14.25" customHeight="1">
      <c r="A144" s="9" t="s">
        <v>235</v>
      </c>
      <c r="B144" s="19" t="s">
        <v>236</v>
      </c>
      <c r="C144" s="11" t="s">
        <v>266</v>
      </c>
      <c r="D144" s="22" t="s">
        <v>265</v>
      </c>
      <c r="E144" s="13" t="str">
        <f t="array" ref="E144">INDEX(Turmas!C2:C103,MATCH(D144,Turmas!A2:A103,0))</f>
        <v>Tarde</v>
      </c>
      <c r="F144" s="14">
        <v>60.0</v>
      </c>
      <c r="G144" s="15">
        <v>3.0</v>
      </c>
      <c r="H144" s="15">
        <v>0.0</v>
      </c>
      <c r="I144" s="16" t="str">
        <f t="shared" si="1"/>
        <v>1-6,13-16</v>
      </c>
      <c r="J144" s="16" t="str">
        <f t="shared" si="2"/>
        <v>1-6,13-16</v>
      </c>
      <c r="K144" s="16" t="str">
        <f t="shared" si="3"/>
        <v>1-6,13-16</v>
      </c>
      <c r="L144" s="16" t="str">
        <f t="shared" si="4"/>
        <v>1-6,13-16</v>
      </c>
      <c r="M144" s="16" t="str">
        <f t="shared" si="5"/>
        <v>1-6,13-16</v>
      </c>
      <c r="N144" s="16" t="str">
        <f t="shared" si="6"/>
        <v>1-16</v>
      </c>
      <c r="O144" s="17"/>
      <c r="P144" s="17"/>
      <c r="Q144" s="17"/>
      <c r="R144" s="17"/>
      <c r="S144" s="17"/>
      <c r="T144" s="17"/>
      <c r="U144" s="17"/>
      <c r="V144" s="17"/>
      <c r="W144" s="17"/>
    </row>
    <row r="145" ht="14.25" customHeight="1">
      <c r="A145" s="9" t="s">
        <v>238</v>
      </c>
      <c r="B145" s="19" t="s">
        <v>239</v>
      </c>
      <c r="C145" s="11" t="s">
        <v>240</v>
      </c>
      <c r="D145" s="22" t="s">
        <v>265</v>
      </c>
      <c r="E145" s="13" t="str">
        <f t="array" ref="E145">INDEX(Turmas!C2:C103,MATCH(D145,Turmas!A2:A103,0))</f>
        <v>Tarde</v>
      </c>
      <c r="F145" s="14">
        <v>60.0</v>
      </c>
      <c r="G145" s="15">
        <v>4.0</v>
      </c>
      <c r="H145" s="15">
        <v>0.0</v>
      </c>
      <c r="I145" s="16" t="str">
        <f t="shared" si="1"/>
        <v>1-6,13-16</v>
      </c>
      <c r="J145" s="16" t="str">
        <f t="shared" si="2"/>
        <v>1-6,13-16</v>
      </c>
      <c r="K145" s="16" t="str">
        <f t="shared" si="3"/>
        <v>1-6,13-16</v>
      </c>
      <c r="L145" s="16" t="str">
        <f t="shared" si="4"/>
        <v>1-6,13-16</v>
      </c>
      <c r="M145" s="16" t="str">
        <f t="shared" si="5"/>
        <v>1-6,13-16</v>
      </c>
      <c r="N145" s="16" t="str">
        <f t="shared" si="6"/>
        <v>1-16</v>
      </c>
      <c r="O145" s="17"/>
      <c r="P145" s="17"/>
      <c r="Q145" s="17"/>
      <c r="R145" s="17"/>
      <c r="S145" s="17"/>
      <c r="T145" s="17"/>
      <c r="U145" s="17"/>
      <c r="V145" s="17"/>
      <c r="W145" s="17"/>
    </row>
    <row r="146" ht="14.25" customHeight="1">
      <c r="A146" s="9" t="s">
        <v>241</v>
      </c>
      <c r="B146" s="19" t="s">
        <v>242</v>
      </c>
      <c r="C146" s="11" t="s">
        <v>243</v>
      </c>
      <c r="D146" s="22" t="s">
        <v>265</v>
      </c>
      <c r="E146" s="13" t="str">
        <f t="array" ref="E146">INDEX(Turmas!C2:C103,MATCH(D146,Turmas!A2:A103,0))</f>
        <v>Tarde</v>
      </c>
      <c r="F146" s="14">
        <v>60.0</v>
      </c>
      <c r="G146" s="15">
        <v>3.0</v>
      </c>
      <c r="H146" s="15">
        <v>0.0</v>
      </c>
      <c r="I146" s="16" t="str">
        <f t="shared" si="1"/>
        <v>1-6,13-16</v>
      </c>
      <c r="J146" s="16" t="str">
        <f t="shared" si="2"/>
        <v>1-6,13-16</v>
      </c>
      <c r="K146" s="16" t="str">
        <f t="shared" si="3"/>
        <v>1-6,13-16</v>
      </c>
      <c r="L146" s="16" t="str">
        <f t="shared" si="4"/>
        <v>1-6,13-16</v>
      </c>
      <c r="M146" s="16" t="str">
        <f t="shared" si="5"/>
        <v>1-6,13-16</v>
      </c>
      <c r="N146" s="16" t="str">
        <f t="shared" si="6"/>
        <v>1-16</v>
      </c>
      <c r="O146" s="17"/>
      <c r="P146" s="17"/>
      <c r="Q146" s="17"/>
      <c r="R146" s="17"/>
      <c r="S146" s="17"/>
      <c r="T146" s="17"/>
      <c r="U146" s="17"/>
      <c r="V146" s="17"/>
      <c r="W146" s="17"/>
    </row>
    <row r="147" ht="14.25" customHeight="1">
      <c r="A147" s="9" t="s">
        <v>244</v>
      </c>
      <c r="B147" s="19" t="s">
        <v>245</v>
      </c>
      <c r="C147" s="11" t="s">
        <v>246</v>
      </c>
      <c r="D147" s="22" t="s">
        <v>265</v>
      </c>
      <c r="E147" s="13" t="str">
        <f t="array" ref="E147">INDEX(Turmas!C2:C103,MATCH(D147,Turmas!A2:A103,0))</f>
        <v>Tarde</v>
      </c>
      <c r="F147" s="14">
        <v>60.0</v>
      </c>
      <c r="G147" s="15">
        <v>4.0</v>
      </c>
      <c r="H147" s="15">
        <v>0.0</v>
      </c>
      <c r="I147" s="16" t="str">
        <f t="shared" si="1"/>
        <v>1-6,13-16</v>
      </c>
      <c r="J147" s="16" t="str">
        <f t="shared" si="2"/>
        <v>1-6,13-16</v>
      </c>
      <c r="K147" s="16" t="str">
        <f t="shared" si="3"/>
        <v>1-6,13-16</v>
      </c>
      <c r="L147" s="16" t="str">
        <f t="shared" si="4"/>
        <v>1-6,13-16</v>
      </c>
      <c r="M147" s="16" t="str">
        <f t="shared" si="5"/>
        <v>1-6,13-16</v>
      </c>
      <c r="N147" s="16" t="str">
        <f t="shared" si="6"/>
        <v>1-16</v>
      </c>
      <c r="O147" s="17"/>
      <c r="P147" s="17"/>
      <c r="Q147" s="17"/>
      <c r="R147" s="17"/>
      <c r="S147" s="17"/>
      <c r="T147" s="17"/>
      <c r="U147" s="17"/>
      <c r="V147" s="17"/>
      <c r="W147" s="17"/>
    </row>
    <row r="148" ht="14.25" customHeight="1">
      <c r="A148" s="9" t="s">
        <v>247</v>
      </c>
      <c r="B148" s="19" t="s">
        <v>248</v>
      </c>
      <c r="C148" s="11" t="s">
        <v>249</v>
      </c>
      <c r="D148" s="22" t="s">
        <v>267</v>
      </c>
      <c r="E148" s="13" t="str">
        <f t="array" ref="E148">INDEX(Turmas!C2:C103,MATCH(D148,Turmas!A2:A103,0))</f>
        <v>Tarde</v>
      </c>
      <c r="F148" s="14">
        <v>60.0</v>
      </c>
      <c r="G148" s="15">
        <v>4.0</v>
      </c>
      <c r="H148" s="15">
        <v>0.0</v>
      </c>
      <c r="I148" s="16" t="str">
        <f t="shared" si="1"/>
        <v>1-6,13-16</v>
      </c>
      <c r="J148" s="16" t="str">
        <f t="shared" si="2"/>
        <v>1-6,13-16</v>
      </c>
      <c r="K148" s="16" t="str">
        <f t="shared" si="3"/>
        <v>1-6,13-16</v>
      </c>
      <c r="L148" s="16" t="str">
        <f t="shared" si="4"/>
        <v>1-6,13-16</v>
      </c>
      <c r="M148" s="16" t="str">
        <f t="shared" si="5"/>
        <v>1-6,13-16</v>
      </c>
      <c r="N148" s="16" t="str">
        <f t="shared" si="6"/>
        <v>1-16</v>
      </c>
      <c r="O148" s="17"/>
      <c r="P148" s="17"/>
      <c r="Q148" s="17"/>
      <c r="R148" s="17"/>
      <c r="S148" s="17"/>
      <c r="T148" s="17"/>
      <c r="U148" s="17"/>
      <c r="V148" s="17"/>
      <c r="W148" s="17"/>
    </row>
    <row r="149" ht="14.25" customHeight="1">
      <c r="A149" s="9" t="s">
        <v>251</v>
      </c>
      <c r="B149" s="19" t="s">
        <v>252</v>
      </c>
      <c r="C149" s="11" t="s">
        <v>268</v>
      </c>
      <c r="D149" s="22" t="s">
        <v>267</v>
      </c>
      <c r="E149" s="13" t="str">
        <f t="array" ref="E149">INDEX(Turmas!C2:C103,MATCH(D149,Turmas!A2:A103,0))</f>
        <v>Tarde</v>
      </c>
      <c r="F149" s="14">
        <v>60.0</v>
      </c>
      <c r="G149" s="15">
        <v>4.0</v>
      </c>
      <c r="H149" s="15">
        <v>0.0</v>
      </c>
      <c r="I149" s="16" t="str">
        <f t="shared" si="1"/>
        <v>1-6,13-16</v>
      </c>
      <c r="J149" s="16" t="str">
        <f t="shared" si="2"/>
        <v>1-6,13-16</v>
      </c>
      <c r="K149" s="16" t="str">
        <f t="shared" si="3"/>
        <v>1-6,13-16</v>
      </c>
      <c r="L149" s="16" t="str">
        <f t="shared" si="4"/>
        <v>1-6,13-16</v>
      </c>
      <c r="M149" s="16" t="str">
        <f t="shared" si="5"/>
        <v>1-6,13-16</v>
      </c>
      <c r="N149" s="16" t="str">
        <f t="shared" si="6"/>
        <v>1-16</v>
      </c>
      <c r="O149" s="17"/>
      <c r="P149" s="17"/>
      <c r="Q149" s="17"/>
      <c r="R149" s="17"/>
      <c r="S149" s="17"/>
      <c r="T149" s="17"/>
      <c r="U149" s="17"/>
      <c r="V149" s="17"/>
      <c r="W149" s="17"/>
    </row>
    <row r="150" ht="14.25" customHeight="1">
      <c r="A150" s="9" t="s">
        <v>253</v>
      </c>
      <c r="B150" s="19" t="s">
        <v>254</v>
      </c>
      <c r="C150" s="11" t="s">
        <v>255</v>
      </c>
      <c r="D150" s="22" t="s">
        <v>267</v>
      </c>
      <c r="E150" s="13" t="str">
        <f t="array" ref="E150">INDEX(Turmas!C2:C103,MATCH(D150,Turmas!A2:A103,0))</f>
        <v>Tarde</v>
      </c>
      <c r="F150" s="14">
        <v>60.0</v>
      </c>
      <c r="G150" s="15">
        <v>4.0</v>
      </c>
      <c r="H150" s="15">
        <v>0.0</v>
      </c>
      <c r="I150" s="16" t="str">
        <f t="shared" si="1"/>
        <v>1-6,13-16</v>
      </c>
      <c r="J150" s="16" t="str">
        <f t="shared" si="2"/>
        <v>1-6,13-16</v>
      </c>
      <c r="K150" s="16" t="str">
        <f t="shared" si="3"/>
        <v>1-6,13-16</v>
      </c>
      <c r="L150" s="16" t="str">
        <f t="shared" si="4"/>
        <v>1-6,13-16</v>
      </c>
      <c r="M150" s="16" t="str">
        <f t="shared" si="5"/>
        <v>1-6,13-16</v>
      </c>
      <c r="N150" s="16" t="str">
        <f t="shared" si="6"/>
        <v>1-16</v>
      </c>
      <c r="O150" s="17"/>
      <c r="P150" s="17"/>
      <c r="Q150" s="17"/>
      <c r="R150" s="17"/>
      <c r="S150" s="17"/>
      <c r="T150" s="17"/>
      <c r="U150" s="17"/>
      <c r="V150" s="17"/>
      <c r="W150" s="17"/>
    </row>
    <row r="151" ht="14.25" customHeight="1">
      <c r="A151" s="9" t="s">
        <v>256</v>
      </c>
      <c r="B151" s="19" t="s">
        <v>257</v>
      </c>
      <c r="C151" s="11" t="s">
        <v>258</v>
      </c>
      <c r="D151" s="22" t="s">
        <v>267</v>
      </c>
      <c r="E151" s="13" t="str">
        <f t="array" ref="E151">INDEX(Turmas!C2:C103,MATCH(D151,Turmas!A2:A103,0))</f>
        <v>Tarde</v>
      </c>
      <c r="F151" s="14">
        <v>60.0</v>
      </c>
      <c r="G151" s="15">
        <v>4.0</v>
      </c>
      <c r="H151" s="15">
        <v>0.0</v>
      </c>
      <c r="I151" s="16" t="str">
        <f t="shared" si="1"/>
        <v>1-6,13-16</v>
      </c>
      <c r="J151" s="16" t="str">
        <f t="shared" si="2"/>
        <v>1-6,13-16</v>
      </c>
      <c r="K151" s="16" t="str">
        <f t="shared" si="3"/>
        <v>1-6,13-16</v>
      </c>
      <c r="L151" s="16" t="str">
        <f t="shared" si="4"/>
        <v>1-6,13-16</v>
      </c>
      <c r="M151" s="16" t="str">
        <f t="shared" si="5"/>
        <v>1-6,13-16</v>
      </c>
      <c r="N151" s="16" t="str">
        <f t="shared" si="6"/>
        <v>1-16</v>
      </c>
      <c r="O151" s="17"/>
      <c r="P151" s="17"/>
      <c r="Q151" s="17"/>
      <c r="R151" s="17"/>
      <c r="S151" s="17"/>
      <c r="T151" s="17"/>
      <c r="U151" s="17"/>
      <c r="V151" s="17"/>
      <c r="W151" s="17"/>
    </row>
    <row r="152" ht="14.25" customHeight="1">
      <c r="A152" s="9" t="s">
        <v>259</v>
      </c>
      <c r="B152" s="19" t="s">
        <v>260</v>
      </c>
      <c r="C152" s="11" t="s">
        <v>225</v>
      </c>
      <c r="D152" s="22" t="s">
        <v>267</v>
      </c>
      <c r="E152" s="13" t="str">
        <f t="array" ref="E152">INDEX(Turmas!C2:C103,MATCH(D152,Turmas!A2:A103,0))</f>
        <v>Tarde</v>
      </c>
      <c r="F152" s="14">
        <v>60.0</v>
      </c>
      <c r="G152" s="15">
        <v>4.0</v>
      </c>
      <c r="H152" s="15">
        <v>0.0</v>
      </c>
      <c r="I152" s="16" t="str">
        <f t="shared" si="1"/>
        <v>1-6,13-16</v>
      </c>
      <c r="J152" s="16" t="str">
        <f t="shared" si="2"/>
        <v>1-6,13-16</v>
      </c>
      <c r="K152" s="16" t="str">
        <f t="shared" si="3"/>
        <v>1-6,13-16</v>
      </c>
      <c r="L152" s="16" t="str">
        <f t="shared" si="4"/>
        <v>1-6,13-16</v>
      </c>
      <c r="M152" s="16" t="str">
        <f t="shared" si="5"/>
        <v>1-6,13-16</v>
      </c>
      <c r="N152" s="16" t="str">
        <f t="shared" si="6"/>
        <v>1-16</v>
      </c>
      <c r="O152" s="17"/>
      <c r="P152" s="17"/>
      <c r="Q152" s="17"/>
      <c r="R152" s="17"/>
      <c r="S152" s="17"/>
      <c r="T152" s="17"/>
      <c r="U152" s="17"/>
      <c r="V152" s="17"/>
      <c r="W152" s="17"/>
    </row>
    <row r="153" ht="14.25" customHeight="1">
      <c r="A153" s="9" t="s">
        <v>269</v>
      </c>
      <c r="B153" s="19" t="s">
        <v>46</v>
      </c>
      <c r="C153" s="11" t="s">
        <v>270</v>
      </c>
      <c r="D153" s="22" t="s">
        <v>271</v>
      </c>
      <c r="E153" s="13" t="str">
        <f t="array" ref="E153">INDEX(Turmas!C2:C103,MATCH(D153,Turmas!A2:A103,0))</f>
        <v>Manhã</v>
      </c>
      <c r="F153" s="14">
        <v>65.0</v>
      </c>
      <c r="G153" s="15">
        <v>4.0</v>
      </c>
      <c r="H153" s="15">
        <v>0.0</v>
      </c>
      <c r="I153" s="16" t="str">
        <f t="shared" si="1"/>
        <v>7-16</v>
      </c>
      <c r="J153" s="16" t="str">
        <f t="shared" si="2"/>
        <v>7-16</v>
      </c>
      <c r="K153" s="16" t="str">
        <f t="shared" si="3"/>
        <v>7-16</v>
      </c>
      <c r="L153" s="16" t="str">
        <f t="shared" si="4"/>
        <v>7-16</v>
      </c>
      <c r="M153" s="16" t="str">
        <f t="shared" si="5"/>
        <v>7-16</v>
      </c>
      <c r="N153" s="16" t="str">
        <f t="shared" si="6"/>
        <v>1-16</v>
      </c>
      <c r="O153" s="17"/>
      <c r="P153" s="17"/>
      <c r="Q153" s="17"/>
      <c r="R153" s="17"/>
      <c r="S153" s="17"/>
      <c r="T153" s="17"/>
      <c r="U153" s="17"/>
      <c r="V153" s="17"/>
      <c r="W153" s="17"/>
    </row>
    <row r="154" ht="14.25" customHeight="1">
      <c r="A154" s="9" t="s">
        <v>272</v>
      </c>
      <c r="B154" s="19" t="s">
        <v>273</v>
      </c>
      <c r="C154" s="11" t="s">
        <v>274</v>
      </c>
      <c r="D154" s="22" t="s">
        <v>271</v>
      </c>
      <c r="E154" s="13" t="str">
        <f t="array" ref="E154">INDEX(Turmas!C2:C103,MATCH(D154,Turmas!A2:A103,0))</f>
        <v>Manhã</v>
      </c>
      <c r="F154" s="14">
        <v>55.0</v>
      </c>
      <c r="G154" s="15">
        <v>4.0</v>
      </c>
      <c r="H154" s="15">
        <v>0.0</v>
      </c>
      <c r="I154" s="16" t="str">
        <f t="shared" si="1"/>
        <v>7-16</v>
      </c>
      <c r="J154" s="16" t="str">
        <f t="shared" si="2"/>
        <v>7-16</v>
      </c>
      <c r="K154" s="16" t="str">
        <f t="shared" si="3"/>
        <v>7-16</v>
      </c>
      <c r="L154" s="16" t="str">
        <f t="shared" si="4"/>
        <v>7-16</v>
      </c>
      <c r="M154" s="16" t="str">
        <f t="shared" si="5"/>
        <v>7-16</v>
      </c>
      <c r="N154" s="16" t="str">
        <f t="shared" si="6"/>
        <v>1-16</v>
      </c>
      <c r="O154" s="17"/>
      <c r="P154" s="17"/>
      <c r="Q154" s="17"/>
      <c r="R154" s="17"/>
      <c r="S154" s="17"/>
      <c r="T154" s="17"/>
      <c r="U154" s="17"/>
      <c r="V154" s="17"/>
      <c r="W154" s="17"/>
    </row>
    <row r="155" ht="14.25" customHeight="1">
      <c r="A155" s="9" t="s">
        <v>275</v>
      </c>
      <c r="B155" s="19" t="s">
        <v>276</v>
      </c>
      <c r="C155" s="11" t="s">
        <v>277</v>
      </c>
      <c r="D155" s="22" t="s">
        <v>271</v>
      </c>
      <c r="E155" s="13" t="str">
        <f t="array" ref="E155">INDEX(Turmas!C2:C103,MATCH(D155,Turmas!A2:A103,0))</f>
        <v>Manhã</v>
      </c>
      <c r="F155" s="14">
        <v>60.0</v>
      </c>
      <c r="G155" s="15">
        <v>5.0</v>
      </c>
      <c r="H155" s="15">
        <v>0.0</v>
      </c>
      <c r="I155" s="16" t="str">
        <f t="shared" si="1"/>
        <v>7-16</v>
      </c>
      <c r="J155" s="16" t="str">
        <f t="shared" si="2"/>
        <v>7-16</v>
      </c>
      <c r="K155" s="16" t="str">
        <f t="shared" si="3"/>
        <v>7-16</v>
      </c>
      <c r="L155" s="16" t="str">
        <f t="shared" si="4"/>
        <v>7-16</v>
      </c>
      <c r="M155" s="16" t="str">
        <f t="shared" si="5"/>
        <v>7-16</v>
      </c>
      <c r="N155" s="16" t="str">
        <f t="shared" si="6"/>
        <v>1-16</v>
      </c>
      <c r="O155" s="17"/>
      <c r="P155" s="17"/>
      <c r="Q155" s="17"/>
      <c r="R155" s="17"/>
      <c r="S155" s="17"/>
      <c r="T155" s="17"/>
      <c r="U155" s="17"/>
      <c r="V155" s="17"/>
      <c r="W155" s="17"/>
    </row>
    <row r="156" ht="14.25" customHeight="1">
      <c r="A156" s="9" t="s">
        <v>278</v>
      </c>
      <c r="B156" s="19" t="s">
        <v>279</v>
      </c>
      <c r="C156" s="11" t="s">
        <v>280</v>
      </c>
      <c r="D156" s="22" t="s">
        <v>271</v>
      </c>
      <c r="E156" s="13" t="str">
        <f t="array" ref="E156">INDEX(Turmas!C2:C103,MATCH(D156,Turmas!A2:A103,0))</f>
        <v>Manhã</v>
      </c>
      <c r="F156" s="14">
        <v>60.0</v>
      </c>
      <c r="G156" s="15">
        <v>4.0</v>
      </c>
      <c r="H156" s="15">
        <v>0.0</v>
      </c>
      <c r="I156" s="16" t="str">
        <f t="shared" si="1"/>
        <v>7-16</v>
      </c>
      <c r="J156" s="16" t="str">
        <f t="shared" si="2"/>
        <v>7-16</v>
      </c>
      <c r="K156" s="16" t="str">
        <f t="shared" si="3"/>
        <v>7-16</v>
      </c>
      <c r="L156" s="16" t="str">
        <f t="shared" si="4"/>
        <v>7-16</v>
      </c>
      <c r="M156" s="16" t="str">
        <f t="shared" si="5"/>
        <v>7-16</v>
      </c>
      <c r="N156" s="16" t="str">
        <f t="shared" si="6"/>
        <v>1-16</v>
      </c>
      <c r="O156" s="17"/>
      <c r="P156" s="17"/>
      <c r="Q156" s="17"/>
      <c r="R156" s="17"/>
      <c r="S156" s="17"/>
      <c r="T156" s="17"/>
      <c r="U156" s="17"/>
      <c r="V156" s="17"/>
      <c r="W156" s="17"/>
    </row>
    <row r="157" ht="14.25" customHeight="1">
      <c r="A157" s="9" t="s">
        <v>281</v>
      </c>
      <c r="B157" s="19" t="s">
        <v>282</v>
      </c>
      <c r="C157" s="11" t="s">
        <v>283</v>
      </c>
      <c r="D157" s="22" t="s">
        <v>271</v>
      </c>
      <c r="E157" s="13" t="str">
        <f t="array" ref="E157">INDEX(Turmas!C2:C103,MATCH(D157,Turmas!A2:A103,0))</f>
        <v>Manhã</v>
      </c>
      <c r="F157" s="14">
        <v>60.0</v>
      </c>
      <c r="G157" s="15">
        <v>4.0</v>
      </c>
      <c r="H157" s="15">
        <v>0.0</v>
      </c>
      <c r="I157" s="16" t="str">
        <f t="shared" si="1"/>
        <v>7-16</v>
      </c>
      <c r="J157" s="16" t="str">
        <f t="shared" si="2"/>
        <v>7-16</v>
      </c>
      <c r="K157" s="16" t="str">
        <f t="shared" si="3"/>
        <v>7-16</v>
      </c>
      <c r="L157" s="16" t="str">
        <f t="shared" si="4"/>
        <v>7-16</v>
      </c>
      <c r="M157" s="16" t="str">
        <f t="shared" si="5"/>
        <v>7-16</v>
      </c>
      <c r="N157" s="16" t="str">
        <f t="shared" si="6"/>
        <v>1-16</v>
      </c>
      <c r="O157" s="17"/>
      <c r="P157" s="17"/>
      <c r="Q157" s="17"/>
      <c r="R157" s="17"/>
      <c r="S157" s="17"/>
      <c r="T157" s="17"/>
      <c r="U157" s="17"/>
      <c r="V157" s="17"/>
      <c r="W157" s="17"/>
    </row>
    <row r="158" ht="14.25" customHeight="1">
      <c r="A158" s="9" t="s">
        <v>284</v>
      </c>
      <c r="B158" s="19" t="s">
        <v>285</v>
      </c>
      <c r="C158" s="11" t="s">
        <v>286</v>
      </c>
      <c r="D158" s="22" t="s">
        <v>271</v>
      </c>
      <c r="E158" s="13" t="str">
        <f t="array" ref="E158">INDEX(Turmas!C2:C103,MATCH(D158,Turmas!A2:A103,0))</f>
        <v>Manhã</v>
      </c>
      <c r="F158" s="14">
        <v>72.0</v>
      </c>
      <c r="G158" s="15">
        <v>5.0</v>
      </c>
      <c r="H158" s="15">
        <v>0.0</v>
      </c>
      <c r="I158" s="16" t="str">
        <f t="shared" si="1"/>
        <v>7-16</v>
      </c>
      <c r="J158" s="16" t="str">
        <f t="shared" si="2"/>
        <v>7-16</v>
      </c>
      <c r="K158" s="16" t="str">
        <f t="shared" si="3"/>
        <v>7-16</v>
      </c>
      <c r="L158" s="16" t="str">
        <f t="shared" si="4"/>
        <v>7-16</v>
      </c>
      <c r="M158" s="16" t="str">
        <f t="shared" si="5"/>
        <v>7-16</v>
      </c>
      <c r="N158" s="16" t="str">
        <f t="shared" si="6"/>
        <v>1-16</v>
      </c>
      <c r="O158" s="17"/>
      <c r="P158" s="17"/>
      <c r="Q158" s="17"/>
      <c r="R158" s="17"/>
      <c r="S158" s="17"/>
      <c r="T158" s="17"/>
      <c r="U158" s="17"/>
      <c r="V158" s="17"/>
      <c r="W158" s="17"/>
    </row>
    <row r="159" ht="14.25" customHeight="1">
      <c r="A159" s="9" t="s">
        <v>287</v>
      </c>
      <c r="B159" s="19" t="s">
        <v>288</v>
      </c>
      <c r="C159" s="11" t="s">
        <v>289</v>
      </c>
      <c r="D159" s="22" t="s">
        <v>271</v>
      </c>
      <c r="E159" s="13" t="str">
        <f t="array" ref="E159">INDEX(Turmas!C2:C103,MATCH(D159,Turmas!A2:A103,0))</f>
        <v>Manhã</v>
      </c>
      <c r="F159" s="14">
        <v>70.0</v>
      </c>
      <c r="G159" s="15">
        <v>2.0</v>
      </c>
      <c r="H159" s="15">
        <v>0.0</v>
      </c>
      <c r="I159" s="16" t="str">
        <f t="shared" si="1"/>
        <v>7-16</v>
      </c>
      <c r="J159" s="16" t="str">
        <f t="shared" si="2"/>
        <v>7-16</v>
      </c>
      <c r="K159" s="16" t="str">
        <f t="shared" si="3"/>
        <v>7-16</v>
      </c>
      <c r="L159" s="16" t="str">
        <f t="shared" si="4"/>
        <v>7-16</v>
      </c>
      <c r="M159" s="16" t="str">
        <f t="shared" si="5"/>
        <v>7-16</v>
      </c>
      <c r="N159" s="16" t="str">
        <f t="shared" si="6"/>
        <v>1-16</v>
      </c>
      <c r="O159" s="17"/>
      <c r="P159" s="17"/>
      <c r="Q159" s="17"/>
      <c r="R159" s="17"/>
      <c r="S159" s="17"/>
      <c r="T159" s="17"/>
      <c r="U159" s="17"/>
      <c r="V159" s="17"/>
      <c r="W159" s="17"/>
    </row>
    <row r="160" ht="14.25" customHeight="1">
      <c r="A160" s="9" t="s">
        <v>290</v>
      </c>
      <c r="B160" s="10" t="s">
        <v>291</v>
      </c>
      <c r="C160" s="11" t="s">
        <v>258</v>
      </c>
      <c r="D160" s="12" t="s">
        <v>292</v>
      </c>
      <c r="E160" s="13" t="str">
        <f t="array" ref="E160">INDEX(Turmas!C2:C103,MATCH(D160,Turmas!A2:A103,0))</f>
        <v>Tarde</v>
      </c>
      <c r="F160" s="14">
        <v>50.0</v>
      </c>
      <c r="G160" s="15">
        <v>4.0</v>
      </c>
      <c r="H160" s="15">
        <v>0.0</v>
      </c>
      <c r="I160" s="16" t="str">
        <f t="shared" si="1"/>
        <v>1-6,13-16</v>
      </c>
      <c r="J160" s="16" t="str">
        <f t="shared" si="2"/>
        <v>1-6,13-16</v>
      </c>
      <c r="K160" s="16" t="str">
        <f t="shared" si="3"/>
        <v>1-6,13-16</v>
      </c>
      <c r="L160" s="16" t="str">
        <f t="shared" si="4"/>
        <v>1-6,13-16</v>
      </c>
      <c r="M160" s="16" t="str">
        <f t="shared" si="5"/>
        <v>1-6,13-16</v>
      </c>
      <c r="N160" s="16" t="str">
        <f t="shared" si="6"/>
        <v>1-16</v>
      </c>
      <c r="O160" s="17"/>
      <c r="P160" s="17"/>
      <c r="Q160" s="17"/>
      <c r="R160" s="17"/>
      <c r="S160" s="17"/>
      <c r="T160" s="17"/>
      <c r="U160" s="17"/>
      <c r="V160" s="17"/>
      <c r="W160" s="17"/>
    </row>
    <row r="161" ht="14.25" customHeight="1">
      <c r="A161" s="9" t="s">
        <v>293</v>
      </c>
      <c r="B161" s="10" t="s">
        <v>294</v>
      </c>
      <c r="C161" s="11" t="s">
        <v>295</v>
      </c>
      <c r="D161" s="12" t="s">
        <v>292</v>
      </c>
      <c r="E161" s="13" t="str">
        <f t="array" ref="E161">INDEX(Turmas!C2:C103,MATCH(D161,Turmas!A2:A103,0))</f>
        <v>Tarde</v>
      </c>
      <c r="F161" s="14">
        <v>50.0</v>
      </c>
      <c r="G161" s="15">
        <v>5.0</v>
      </c>
      <c r="H161" s="15">
        <v>0.0</v>
      </c>
      <c r="I161" s="16" t="str">
        <f t="shared" si="1"/>
        <v>1-6,13-16</v>
      </c>
      <c r="J161" s="16" t="str">
        <f t="shared" si="2"/>
        <v>1-6,13-16</v>
      </c>
      <c r="K161" s="16" t="str">
        <f t="shared" si="3"/>
        <v>1-6,13-16</v>
      </c>
      <c r="L161" s="16" t="str">
        <f t="shared" si="4"/>
        <v>1-6,13-16</v>
      </c>
      <c r="M161" s="16" t="str">
        <f t="shared" si="5"/>
        <v>1-6,13-16</v>
      </c>
      <c r="N161" s="16" t="str">
        <f t="shared" si="6"/>
        <v>1-16</v>
      </c>
      <c r="O161" s="17"/>
      <c r="P161" s="17"/>
      <c r="Q161" s="17"/>
      <c r="R161" s="17"/>
      <c r="S161" s="17"/>
      <c r="T161" s="17"/>
      <c r="U161" s="17"/>
      <c r="V161" s="17"/>
      <c r="W161" s="17"/>
    </row>
    <row r="162" ht="14.25" customHeight="1">
      <c r="A162" s="9" t="s">
        <v>296</v>
      </c>
      <c r="B162" s="10" t="s">
        <v>297</v>
      </c>
      <c r="C162" s="11" t="s">
        <v>234</v>
      </c>
      <c r="D162" s="12" t="s">
        <v>292</v>
      </c>
      <c r="E162" s="13" t="str">
        <f t="array" ref="E162">INDEX(Turmas!C2:C103,MATCH(D162,Turmas!A2:A103,0))</f>
        <v>Tarde</v>
      </c>
      <c r="F162" s="14">
        <v>50.0</v>
      </c>
      <c r="G162" s="15">
        <v>5.0</v>
      </c>
      <c r="H162" s="15">
        <v>0.0</v>
      </c>
      <c r="I162" s="16" t="str">
        <f t="shared" si="1"/>
        <v>1-6,13-16</v>
      </c>
      <c r="J162" s="16" t="str">
        <f t="shared" si="2"/>
        <v>1-6,13-16</v>
      </c>
      <c r="K162" s="16" t="str">
        <f t="shared" si="3"/>
        <v>1-6,13-16</v>
      </c>
      <c r="L162" s="16" t="str">
        <f t="shared" si="4"/>
        <v>1-6,13-16</v>
      </c>
      <c r="M162" s="16" t="str">
        <f t="shared" si="5"/>
        <v>1-6,13-16</v>
      </c>
      <c r="N162" s="16" t="str">
        <f t="shared" si="6"/>
        <v>1-16</v>
      </c>
      <c r="O162" s="17"/>
      <c r="P162" s="17"/>
      <c r="Q162" s="17"/>
      <c r="R162" s="17"/>
      <c r="S162" s="17"/>
      <c r="T162" s="17"/>
      <c r="U162" s="17"/>
      <c r="V162" s="17"/>
      <c r="W162" s="17"/>
    </row>
    <row r="163" ht="14.25" customHeight="1">
      <c r="A163" s="9" t="s">
        <v>298</v>
      </c>
      <c r="B163" s="10" t="s">
        <v>299</v>
      </c>
      <c r="C163" s="11" t="s">
        <v>129</v>
      </c>
      <c r="D163" s="12" t="s">
        <v>292</v>
      </c>
      <c r="E163" s="13" t="str">
        <f t="array" ref="E163">INDEX(Turmas!C2:C103,MATCH(D163,Turmas!A2:A103,0))</f>
        <v>Tarde</v>
      </c>
      <c r="F163" s="14">
        <v>50.0</v>
      </c>
      <c r="G163" s="15">
        <v>4.0</v>
      </c>
      <c r="H163" s="15">
        <v>0.0</v>
      </c>
      <c r="I163" s="16" t="str">
        <f t="shared" si="1"/>
        <v>1-6,13-16</v>
      </c>
      <c r="J163" s="16" t="str">
        <f t="shared" si="2"/>
        <v>1-6,13-16</v>
      </c>
      <c r="K163" s="16" t="str">
        <f t="shared" si="3"/>
        <v>1-6,13-16</v>
      </c>
      <c r="L163" s="16" t="str">
        <f t="shared" si="4"/>
        <v>1-6,13-16</v>
      </c>
      <c r="M163" s="16" t="str">
        <f t="shared" si="5"/>
        <v>1-6,13-16</v>
      </c>
      <c r="N163" s="16" t="str">
        <f t="shared" si="6"/>
        <v>1-16</v>
      </c>
      <c r="O163" s="17"/>
      <c r="P163" s="17"/>
      <c r="Q163" s="17"/>
      <c r="R163" s="17"/>
      <c r="S163" s="17"/>
      <c r="T163" s="17"/>
      <c r="U163" s="17"/>
      <c r="V163" s="17"/>
      <c r="W163" s="17"/>
    </row>
    <row r="164" ht="14.25" customHeight="1">
      <c r="A164" s="9" t="s">
        <v>300</v>
      </c>
      <c r="B164" s="10" t="s">
        <v>301</v>
      </c>
      <c r="C164" s="11" t="s">
        <v>302</v>
      </c>
      <c r="D164" s="12" t="s">
        <v>292</v>
      </c>
      <c r="E164" s="13" t="str">
        <f t="array" ref="E164">INDEX(Turmas!C2:C103,MATCH(D164,Turmas!A2:A103,0))</f>
        <v>Tarde</v>
      </c>
      <c r="F164" s="14">
        <v>50.0</v>
      </c>
      <c r="G164" s="15">
        <v>5.0</v>
      </c>
      <c r="H164" s="15">
        <v>0.0</v>
      </c>
      <c r="I164" s="16" t="str">
        <f t="shared" si="1"/>
        <v>1-6,13-16</v>
      </c>
      <c r="J164" s="16" t="str">
        <f t="shared" si="2"/>
        <v>1-6,13-16</v>
      </c>
      <c r="K164" s="16" t="str">
        <f t="shared" si="3"/>
        <v>1-6,13-16</v>
      </c>
      <c r="L164" s="16" t="str">
        <f t="shared" si="4"/>
        <v>1-6,13-16</v>
      </c>
      <c r="M164" s="16" t="str">
        <f t="shared" si="5"/>
        <v>1-6,13-16</v>
      </c>
      <c r="N164" s="16" t="str">
        <f t="shared" si="6"/>
        <v>1-16</v>
      </c>
      <c r="O164" s="17"/>
      <c r="P164" s="17"/>
      <c r="Q164" s="17"/>
      <c r="R164" s="17"/>
      <c r="S164" s="17"/>
      <c r="T164" s="17"/>
      <c r="U164" s="17"/>
      <c r="V164" s="17"/>
      <c r="W164" s="17"/>
    </row>
    <row r="165" ht="14.25" customHeight="1">
      <c r="A165" s="9" t="s">
        <v>303</v>
      </c>
      <c r="B165" s="10" t="s">
        <v>304</v>
      </c>
      <c r="C165" s="11" t="s">
        <v>305</v>
      </c>
      <c r="D165" s="12" t="s">
        <v>292</v>
      </c>
      <c r="E165" s="13" t="str">
        <f t="array" ref="E165">INDEX(Turmas!C2:C103,MATCH(D165,Turmas!A2:A103,0))</f>
        <v>Tarde</v>
      </c>
      <c r="F165" s="14">
        <v>50.0</v>
      </c>
      <c r="G165" s="15">
        <v>4.0</v>
      </c>
      <c r="H165" s="15">
        <v>0.0</v>
      </c>
      <c r="I165" s="16" t="str">
        <f t="shared" si="1"/>
        <v>1-6,13-16</v>
      </c>
      <c r="J165" s="16" t="str">
        <f t="shared" si="2"/>
        <v>1-6,13-16</v>
      </c>
      <c r="K165" s="16" t="str">
        <f t="shared" si="3"/>
        <v>1-6,13-16</v>
      </c>
      <c r="L165" s="16" t="str">
        <f t="shared" si="4"/>
        <v>1-6,13-16</v>
      </c>
      <c r="M165" s="16" t="str">
        <f t="shared" si="5"/>
        <v>1-6,13-16</v>
      </c>
      <c r="N165" s="16" t="str">
        <f t="shared" si="6"/>
        <v>1-16</v>
      </c>
      <c r="O165" s="17"/>
      <c r="P165" s="17"/>
      <c r="Q165" s="17"/>
      <c r="R165" s="17"/>
      <c r="S165" s="17"/>
      <c r="T165" s="17"/>
      <c r="U165" s="17"/>
      <c r="V165" s="17"/>
      <c r="W165" s="17"/>
    </row>
    <row r="166" ht="14.25" customHeight="1">
      <c r="A166" s="9" t="s">
        <v>306</v>
      </c>
      <c r="B166" s="10" t="s">
        <v>307</v>
      </c>
      <c r="C166" s="11" t="s">
        <v>212</v>
      </c>
      <c r="D166" s="12" t="s">
        <v>292</v>
      </c>
      <c r="E166" s="13" t="str">
        <f t="array" ref="E166">INDEX(Turmas!C2:C103,MATCH(D166,Turmas!A2:A103,0))</f>
        <v>Tarde</v>
      </c>
      <c r="F166" s="14">
        <v>50.0</v>
      </c>
      <c r="G166" s="15">
        <v>6.0</v>
      </c>
      <c r="H166" s="15">
        <v>0.0</v>
      </c>
      <c r="I166" s="16" t="str">
        <f t="shared" si="1"/>
        <v>1-6,13-16</v>
      </c>
      <c r="J166" s="16" t="str">
        <f t="shared" si="2"/>
        <v>1-6,13-16</v>
      </c>
      <c r="K166" s="16" t="str">
        <f t="shared" si="3"/>
        <v>1-6,13-16</v>
      </c>
      <c r="L166" s="16" t="str">
        <f t="shared" si="4"/>
        <v>1-6,13-16</v>
      </c>
      <c r="M166" s="16" t="str">
        <f t="shared" si="5"/>
        <v>1-6,13-16</v>
      </c>
      <c r="N166" s="16" t="str">
        <f t="shared" si="6"/>
        <v>1-16</v>
      </c>
      <c r="O166" s="17"/>
      <c r="P166" s="17"/>
      <c r="Q166" s="17"/>
      <c r="R166" s="17"/>
      <c r="S166" s="17"/>
      <c r="T166" s="17"/>
      <c r="U166" s="17"/>
      <c r="V166" s="17"/>
      <c r="W166" s="17"/>
    </row>
    <row r="167" ht="14.25" customHeight="1">
      <c r="A167" s="9" t="s">
        <v>308</v>
      </c>
      <c r="B167" s="10" t="s">
        <v>309</v>
      </c>
      <c r="C167" s="11" t="s">
        <v>246</v>
      </c>
      <c r="D167" s="12" t="s">
        <v>292</v>
      </c>
      <c r="E167" s="13" t="str">
        <f t="array" ref="E167">INDEX(Turmas!C2:C103,MATCH(D167,Turmas!A2:A103,0))</f>
        <v>Tarde</v>
      </c>
      <c r="F167" s="14">
        <v>50.0</v>
      </c>
      <c r="G167" s="15">
        <v>4.0</v>
      </c>
      <c r="H167" s="15">
        <v>0.0</v>
      </c>
      <c r="I167" s="16" t="str">
        <f t="shared" si="1"/>
        <v>1-6,13-16</v>
      </c>
      <c r="J167" s="16" t="str">
        <f t="shared" si="2"/>
        <v>1-6,13-16</v>
      </c>
      <c r="K167" s="16" t="str">
        <f t="shared" si="3"/>
        <v>1-6,13-16</v>
      </c>
      <c r="L167" s="16" t="str">
        <f t="shared" si="4"/>
        <v>1-6,13-16</v>
      </c>
      <c r="M167" s="16" t="str">
        <f t="shared" si="5"/>
        <v>1-6,13-16</v>
      </c>
      <c r="N167" s="16" t="str">
        <f t="shared" si="6"/>
        <v>1-16</v>
      </c>
      <c r="O167" s="17"/>
      <c r="P167" s="17"/>
      <c r="Q167" s="17"/>
      <c r="R167" s="17"/>
      <c r="S167" s="17"/>
      <c r="T167" s="17"/>
      <c r="U167" s="17"/>
      <c r="V167" s="17"/>
      <c r="W167" s="17"/>
    </row>
    <row r="168" ht="14.25" customHeight="1">
      <c r="A168" s="9" t="s">
        <v>310</v>
      </c>
      <c r="B168" s="10" t="s">
        <v>311</v>
      </c>
      <c r="C168" s="11" t="s">
        <v>312</v>
      </c>
      <c r="D168" s="12" t="s">
        <v>313</v>
      </c>
      <c r="E168" s="13" t="str">
        <f t="array" ref="E168">INDEX(Turmas!C2:C103,MATCH(D168,Turmas!A2:A103,0))</f>
        <v>Manhã</v>
      </c>
      <c r="F168" s="14">
        <v>51.0</v>
      </c>
      <c r="G168" s="15">
        <v>2.0</v>
      </c>
      <c r="H168" s="15">
        <v>0.0</v>
      </c>
      <c r="I168" s="16" t="str">
        <f t="shared" si="1"/>
        <v>7-16</v>
      </c>
      <c r="J168" s="16" t="str">
        <f t="shared" si="2"/>
        <v>7-16</v>
      </c>
      <c r="K168" s="16" t="str">
        <f t="shared" si="3"/>
        <v>7-16</v>
      </c>
      <c r="L168" s="16" t="str">
        <f t="shared" si="4"/>
        <v>7-16</v>
      </c>
      <c r="M168" s="16" t="str">
        <f t="shared" si="5"/>
        <v>7-16</v>
      </c>
      <c r="N168" s="16" t="str">
        <f t="shared" si="6"/>
        <v>1-16</v>
      </c>
      <c r="O168" s="17"/>
      <c r="P168" s="17"/>
      <c r="Q168" s="17"/>
      <c r="R168" s="17"/>
      <c r="S168" s="17"/>
      <c r="T168" s="17"/>
      <c r="U168" s="17"/>
      <c r="V168" s="17"/>
      <c r="W168" s="17"/>
    </row>
    <row r="169" ht="14.25" customHeight="1">
      <c r="A169" s="9" t="s">
        <v>314</v>
      </c>
      <c r="B169" s="10" t="s">
        <v>315</v>
      </c>
      <c r="C169" s="11" t="s">
        <v>283</v>
      </c>
      <c r="D169" s="12" t="s">
        <v>313</v>
      </c>
      <c r="E169" s="13" t="str">
        <f t="array" ref="E169">INDEX(Turmas!C2:C103,MATCH(D169,Turmas!A2:A103,0))</f>
        <v>Manhã</v>
      </c>
      <c r="F169" s="14">
        <v>55.0</v>
      </c>
      <c r="G169" s="15">
        <v>4.0</v>
      </c>
      <c r="H169" s="15">
        <v>0.0</v>
      </c>
      <c r="I169" s="16" t="str">
        <f t="shared" si="1"/>
        <v>7-16</v>
      </c>
      <c r="J169" s="16" t="str">
        <f t="shared" si="2"/>
        <v>7-16</v>
      </c>
      <c r="K169" s="16" t="str">
        <f t="shared" si="3"/>
        <v>7-16</v>
      </c>
      <c r="L169" s="16" t="str">
        <f t="shared" si="4"/>
        <v>7-16</v>
      </c>
      <c r="M169" s="16" t="str">
        <f t="shared" si="5"/>
        <v>7-16</v>
      </c>
      <c r="N169" s="16" t="str">
        <f t="shared" si="6"/>
        <v>1-16</v>
      </c>
      <c r="O169" s="17"/>
      <c r="P169" s="17"/>
      <c r="Q169" s="17"/>
      <c r="R169" s="17"/>
      <c r="S169" s="17"/>
      <c r="T169" s="17"/>
      <c r="U169" s="17"/>
      <c r="V169" s="17"/>
      <c r="W169" s="17"/>
    </row>
    <row r="170" ht="14.25" customHeight="1">
      <c r="A170" s="9" t="s">
        <v>316</v>
      </c>
      <c r="B170" s="10" t="s">
        <v>317</v>
      </c>
      <c r="C170" s="11" t="s">
        <v>225</v>
      </c>
      <c r="D170" s="12" t="s">
        <v>313</v>
      </c>
      <c r="E170" s="13" t="str">
        <f t="array" ref="E170">INDEX(Turmas!C2:C103,MATCH(D170,Turmas!A2:A103,0))</f>
        <v>Manhã</v>
      </c>
      <c r="F170" s="14">
        <v>50.0</v>
      </c>
      <c r="G170" s="15">
        <v>6.0</v>
      </c>
      <c r="H170" s="15">
        <v>0.0</v>
      </c>
      <c r="I170" s="16" t="str">
        <f t="shared" si="1"/>
        <v>7-16</v>
      </c>
      <c r="J170" s="16" t="str">
        <f t="shared" si="2"/>
        <v>7-16</v>
      </c>
      <c r="K170" s="16" t="str">
        <f t="shared" si="3"/>
        <v>7-16</v>
      </c>
      <c r="L170" s="16" t="str">
        <f t="shared" si="4"/>
        <v>7-16</v>
      </c>
      <c r="M170" s="16" t="str">
        <f t="shared" si="5"/>
        <v>7-16</v>
      </c>
      <c r="N170" s="16" t="str">
        <f t="shared" si="6"/>
        <v>1-16</v>
      </c>
      <c r="O170" s="17"/>
      <c r="P170" s="17"/>
      <c r="Q170" s="17"/>
      <c r="R170" s="17"/>
      <c r="S170" s="17"/>
      <c r="T170" s="17"/>
      <c r="U170" s="17"/>
      <c r="V170" s="17"/>
      <c r="W170" s="17"/>
    </row>
    <row r="171" ht="14.25" customHeight="1">
      <c r="A171" s="9" t="s">
        <v>318</v>
      </c>
      <c r="B171" s="10" t="s">
        <v>319</v>
      </c>
      <c r="C171" s="11" t="s">
        <v>320</v>
      </c>
      <c r="D171" s="12" t="s">
        <v>313</v>
      </c>
      <c r="E171" s="13" t="str">
        <f t="array" ref="E171">INDEX(Turmas!C2:C103,MATCH(D171,Turmas!A2:A103,0))</f>
        <v>Manhã</v>
      </c>
      <c r="F171" s="14">
        <v>50.0</v>
      </c>
      <c r="G171" s="15">
        <v>3.0</v>
      </c>
      <c r="H171" s="15">
        <v>0.0</v>
      </c>
      <c r="I171" s="16" t="str">
        <f t="shared" si="1"/>
        <v>7-16</v>
      </c>
      <c r="J171" s="16" t="str">
        <f t="shared" si="2"/>
        <v>7-16</v>
      </c>
      <c r="K171" s="16" t="str">
        <f t="shared" si="3"/>
        <v>7-16</v>
      </c>
      <c r="L171" s="16" t="str">
        <f t="shared" si="4"/>
        <v>7-16</v>
      </c>
      <c r="M171" s="16" t="str">
        <f t="shared" si="5"/>
        <v>7-16</v>
      </c>
      <c r="N171" s="16" t="str">
        <f t="shared" si="6"/>
        <v>1-16</v>
      </c>
      <c r="O171" s="17"/>
      <c r="P171" s="17"/>
      <c r="Q171" s="17"/>
      <c r="R171" s="17"/>
      <c r="S171" s="17"/>
      <c r="T171" s="17"/>
      <c r="U171" s="17"/>
      <c r="V171" s="17"/>
      <c r="W171" s="17"/>
    </row>
    <row r="172" ht="14.25" customHeight="1">
      <c r="A172" s="9" t="s">
        <v>321</v>
      </c>
      <c r="B172" s="10" t="s">
        <v>322</v>
      </c>
      <c r="C172" s="11" t="s">
        <v>243</v>
      </c>
      <c r="D172" s="12" t="s">
        <v>313</v>
      </c>
      <c r="E172" s="13" t="str">
        <f t="array" ref="E172">INDEX(Turmas!C2:C103,MATCH(D172,Turmas!A2:A103,0))</f>
        <v>Manhã</v>
      </c>
      <c r="F172" s="14">
        <v>50.0</v>
      </c>
      <c r="G172" s="15">
        <v>3.0</v>
      </c>
      <c r="H172" s="15">
        <v>0.0</v>
      </c>
      <c r="I172" s="16" t="str">
        <f t="shared" si="1"/>
        <v>7-16</v>
      </c>
      <c r="J172" s="16" t="str">
        <f t="shared" si="2"/>
        <v>7-16</v>
      </c>
      <c r="K172" s="16" t="str">
        <f t="shared" si="3"/>
        <v>7-16</v>
      </c>
      <c r="L172" s="16" t="str">
        <f t="shared" si="4"/>
        <v>7-16</v>
      </c>
      <c r="M172" s="16" t="str">
        <f t="shared" si="5"/>
        <v>7-16</v>
      </c>
      <c r="N172" s="16" t="str">
        <f t="shared" si="6"/>
        <v>1-16</v>
      </c>
      <c r="O172" s="17"/>
      <c r="P172" s="17"/>
      <c r="Q172" s="17"/>
      <c r="R172" s="17"/>
      <c r="S172" s="17"/>
      <c r="T172" s="17"/>
      <c r="U172" s="17"/>
      <c r="V172" s="17"/>
      <c r="W172" s="17"/>
    </row>
    <row r="173" ht="14.25" customHeight="1">
      <c r="A173" s="9" t="s">
        <v>323</v>
      </c>
      <c r="B173" s="10" t="s">
        <v>324</v>
      </c>
      <c r="C173" s="11" t="s">
        <v>325</v>
      </c>
      <c r="D173" s="12" t="s">
        <v>313</v>
      </c>
      <c r="E173" s="13" t="str">
        <f t="array" ref="E173">INDEX(Turmas!C2:C103,MATCH(D173,Turmas!A2:A103,0))</f>
        <v>Manhã</v>
      </c>
      <c r="F173" s="14">
        <v>50.0</v>
      </c>
      <c r="G173" s="15">
        <v>3.0</v>
      </c>
      <c r="H173" s="15">
        <v>0.0</v>
      </c>
      <c r="I173" s="16" t="str">
        <f t="shared" si="1"/>
        <v>7-16</v>
      </c>
      <c r="J173" s="16" t="str">
        <f t="shared" si="2"/>
        <v>7-16</v>
      </c>
      <c r="K173" s="16" t="str">
        <f t="shared" si="3"/>
        <v>7-16</v>
      </c>
      <c r="L173" s="16" t="str">
        <f t="shared" si="4"/>
        <v>7-16</v>
      </c>
      <c r="M173" s="16" t="str">
        <f t="shared" si="5"/>
        <v>7-16</v>
      </c>
      <c r="N173" s="16" t="str">
        <f t="shared" si="6"/>
        <v>1-16</v>
      </c>
      <c r="O173" s="17"/>
      <c r="P173" s="17"/>
      <c r="Q173" s="17"/>
      <c r="R173" s="17"/>
      <c r="S173" s="17"/>
      <c r="T173" s="17"/>
      <c r="U173" s="17"/>
      <c r="V173" s="17"/>
      <c r="W173" s="17"/>
    </row>
    <row r="174" ht="14.25" customHeight="1">
      <c r="A174" s="9" t="s">
        <v>326</v>
      </c>
      <c r="B174" s="10" t="s">
        <v>214</v>
      </c>
      <c r="C174" s="11" t="s">
        <v>215</v>
      </c>
      <c r="D174" s="12" t="s">
        <v>313</v>
      </c>
      <c r="E174" s="13" t="str">
        <f t="array" ref="E174">INDEX(Turmas!C2:C103,MATCH(D174,Turmas!A2:A103,0))</f>
        <v>Manhã</v>
      </c>
      <c r="F174" s="14">
        <v>50.0</v>
      </c>
      <c r="G174" s="15">
        <v>4.0</v>
      </c>
      <c r="H174" s="15">
        <v>0.0</v>
      </c>
      <c r="I174" s="16" t="str">
        <f t="shared" si="1"/>
        <v>7-16</v>
      </c>
      <c r="J174" s="16" t="str">
        <f t="shared" si="2"/>
        <v>7-16</v>
      </c>
      <c r="K174" s="16" t="str">
        <f t="shared" si="3"/>
        <v>7-16</v>
      </c>
      <c r="L174" s="16" t="str">
        <f t="shared" si="4"/>
        <v>7-16</v>
      </c>
      <c r="M174" s="16" t="str">
        <f t="shared" si="5"/>
        <v>7-16</v>
      </c>
      <c r="N174" s="16" t="str">
        <f t="shared" si="6"/>
        <v>1-16</v>
      </c>
      <c r="O174" s="17"/>
      <c r="P174" s="17"/>
      <c r="Q174" s="17"/>
      <c r="R174" s="17"/>
      <c r="S174" s="17"/>
      <c r="T174" s="17"/>
      <c r="U174" s="17"/>
      <c r="V174" s="17"/>
      <c r="W174" s="17"/>
    </row>
    <row r="175" ht="14.25" customHeight="1">
      <c r="A175" s="9" t="s">
        <v>327</v>
      </c>
      <c r="B175" s="10" t="s">
        <v>206</v>
      </c>
      <c r="C175" s="11" t="s">
        <v>190</v>
      </c>
      <c r="D175" s="12" t="s">
        <v>313</v>
      </c>
      <c r="E175" s="13" t="str">
        <f t="array" ref="E175">INDEX(Turmas!C2:C103,MATCH(D175,Turmas!A2:A103,0))</f>
        <v>Manhã</v>
      </c>
      <c r="F175" s="14">
        <v>55.0</v>
      </c>
      <c r="G175" s="15">
        <v>4.0</v>
      </c>
      <c r="H175" s="15">
        <v>0.0</v>
      </c>
      <c r="I175" s="16" t="str">
        <f t="shared" si="1"/>
        <v>7-16</v>
      </c>
      <c r="J175" s="16" t="str">
        <f t="shared" si="2"/>
        <v>7-16</v>
      </c>
      <c r="K175" s="16" t="str">
        <f t="shared" si="3"/>
        <v>7-16</v>
      </c>
      <c r="L175" s="16" t="str">
        <f t="shared" si="4"/>
        <v>7-16</v>
      </c>
      <c r="M175" s="16" t="str">
        <f t="shared" si="5"/>
        <v>7-16</v>
      </c>
      <c r="N175" s="16" t="str">
        <f t="shared" si="6"/>
        <v>1-16</v>
      </c>
      <c r="O175" s="17"/>
      <c r="P175" s="17"/>
      <c r="Q175" s="17"/>
      <c r="R175" s="17"/>
      <c r="S175" s="17"/>
      <c r="T175" s="17"/>
      <c r="U175" s="17"/>
      <c r="V175" s="17"/>
      <c r="W175" s="17"/>
    </row>
    <row r="176" ht="14.25" customHeight="1">
      <c r="A176" s="9" t="s">
        <v>328</v>
      </c>
      <c r="B176" s="10" t="s">
        <v>254</v>
      </c>
      <c r="C176" s="11" t="s">
        <v>255</v>
      </c>
      <c r="D176" s="12" t="s">
        <v>329</v>
      </c>
      <c r="E176" s="13" t="str">
        <f t="array" ref="E176">INDEX(Turmas!C2:C103,MATCH(D176,Turmas!A2:A103,0))</f>
        <v>Tarde</v>
      </c>
      <c r="F176" s="14">
        <v>50.0</v>
      </c>
      <c r="G176" s="15">
        <v>5.0</v>
      </c>
      <c r="H176" s="15">
        <v>0.0</v>
      </c>
      <c r="I176" s="16" t="str">
        <f t="shared" si="1"/>
        <v>1-6,13-16</v>
      </c>
      <c r="J176" s="16" t="str">
        <f t="shared" si="2"/>
        <v>1-6,13-16</v>
      </c>
      <c r="K176" s="16" t="str">
        <f t="shared" si="3"/>
        <v>1-6,13-16</v>
      </c>
      <c r="L176" s="16" t="str">
        <f t="shared" si="4"/>
        <v>1-6,13-16</v>
      </c>
      <c r="M176" s="16" t="str">
        <f t="shared" si="5"/>
        <v>1-6,13-16</v>
      </c>
      <c r="N176" s="16" t="str">
        <f t="shared" si="6"/>
        <v>1-16</v>
      </c>
      <c r="O176" s="17"/>
      <c r="P176" s="17"/>
      <c r="Q176" s="17"/>
      <c r="R176" s="17"/>
      <c r="S176" s="17"/>
      <c r="T176" s="17"/>
      <c r="U176" s="17"/>
      <c r="V176" s="17"/>
      <c r="W176" s="17"/>
    </row>
    <row r="177" ht="14.25" customHeight="1">
      <c r="A177" s="9" t="s">
        <v>330</v>
      </c>
      <c r="B177" s="10" t="s">
        <v>331</v>
      </c>
      <c r="C177" s="11" t="s">
        <v>243</v>
      </c>
      <c r="D177" s="12" t="s">
        <v>329</v>
      </c>
      <c r="E177" s="13" t="str">
        <f t="array" ref="E177">INDEX(Turmas!C2:C103,MATCH(D177,Turmas!A2:A103,0))</f>
        <v>Tarde</v>
      </c>
      <c r="F177" s="14">
        <v>50.0</v>
      </c>
      <c r="G177" s="15">
        <v>3.0</v>
      </c>
      <c r="H177" s="15">
        <v>0.0</v>
      </c>
      <c r="I177" s="16" t="str">
        <f t="shared" si="1"/>
        <v>1-6,13-16</v>
      </c>
      <c r="J177" s="16" t="str">
        <f t="shared" si="2"/>
        <v>1-6,13-16</v>
      </c>
      <c r="K177" s="16" t="str">
        <f t="shared" si="3"/>
        <v>1-6,13-16</v>
      </c>
      <c r="L177" s="16" t="str">
        <f t="shared" si="4"/>
        <v>1-6,13-16</v>
      </c>
      <c r="M177" s="16" t="str">
        <f t="shared" si="5"/>
        <v>1-6,13-16</v>
      </c>
      <c r="N177" s="16" t="str">
        <f t="shared" si="6"/>
        <v>1-16</v>
      </c>
      <c r="O177" s="17"/>
      <c r="P177" s="17"/>
      <c r="Q177" s="17"/>
      <c r="R177" s="17"/>
      <c r="S177" s="17"/>
      <c r="T177" s="17"/>
      <c r="U177" s="17"/>
      <c r="V177" s="17"/>
      <c r="W177" s="17"/>
    </row>
    <row r="178" ht="14.25" customHeight="1">
      <c r="A178" s="9" t="s">
        <v>332</v>
      </c>
      <c r="B178" s="10" t="s">
        <v>333</v>
      </c>
      <c r="C178" s="11" t="s">
        <v>334</v>
      </c>
      <c r="D178" s="12" t="s">
        <v>329</v>
      </c>
      <c r="E178" s="13" t="str">
        <f t="array" ref="E178">INDEX(Turmas!C2:C103,MATCH(D178,Turmas!A2:A103,0))</f>
        <v>Tarde</v>
      </c>
      <c r="F178" s="14">
        <v>50.0</v>
      </c>
      <c r="G178" s="15">
        <v>4.0</v>
      </c>
      <c r="H178" s="15">
        <v>0.0</v>
      </c>
      <c r="I178" s="16" t="str">
        <f t="shared" si="1"/>
        <v>1-6,13-16</v>
      </c>
      <c r="J178" s="16" t="str">
        <f t="shared" si="2"/>
        <v>1-6,13-16</v>
      </c>
      <c r="K178" s="16" t="str">
        <f t="shared" si="3"/>
        <v>1-6,13-16</v>
      </c>
      <c r="L178" s="16" t="str">
        <f t="shared" si="4"/>
        <v>1-6,13-16</v>
      </c>
      <c r="M178" s="16" t="str">
        <f t="shared" si="5"/>
        <v>1-6,13-16</v>
      </c>
      <c r="N178" s="16" t="str">
        <f t="shared" si="6"/>
        <v>1-16</v>
      </c>
      <c r="O178" s="17"/>
      <c r="P178" s="17"/>
      <c r="Q178" s="17"/>
      <c r="R178" s="17"/>
      <c r="S178" s="17"/>
      <c r="T178" s="17"/>
      <c r="U178" s="17"/>
      <c r="V178" s="17"/>
      <c r="W178" s="17"/>
    </row>
    <row r="179" ht="14.25" customHeight="1">
      <c r="A179" s="9" t="s">
        <v>335</v>
      </c>
      <c r="B179" s="10" t="s">
        <v>336</v>
      </c>
      <c r="C179" s="11" t="s">
        <v>337</v>
      </c>
      <c r="D179" s="12" t="s">
        <v>329</v>
      </c>
      <c r="E179" s="13" t="str">
        <f t="array" ref="E179">INDEX(Turmas!C2:C103,MATCH(D179,Turmas!A2:A103,0))</f>
        <v>Tarde</v>
      </c>
      <c r="F179" s="14">
        <v>50.0</v>
      </c>
      <c r="G179" s="15">
        <v>4.0</v>
      </c>
      <c r="H179" s="15">
        <v>0.0</v>
      </c>
      <c r="I179" s="16" t="str">
        <f t="shared" si="1"/>
        <v>1-6,13-16</v>
      </c>
      <c r="J179" s="16" t="str">
        <f t="shared" si="2"/>
        <v>1-6,13-16</v>
      </c>
      <c r="K179" s="16" t="str">
        <f t="shared" si="3"/>
        <v>1-6,13-16</v>
      </c>
      <c r="L179" s="16" t="str">
        <f t="shared" si="4"/>
        <v>1-6,13-16</v>
      </c>
      <c r="M179" s="16" t="str">
        <f t="shared" si="5"/>
        <v>1-6,13-16</v>
      </c>
      <c r="N179" s="16" t="str">
        <f t="shared" si="6"/>
        <v>1-16</v>
      </c>
      <c r="O179" s="17"/>
      <c r="P179" s="17"/>
      <c r="Q179" s="17"/>
      <c r="R179" s="17"/>
      <c r="S179" s="17"/>
      <c r="T179" s="17"/>
      <c r="U179" s="17"/>
      <c r="V179" s="17"/>
      <c r="W179" s="17"/>
    </row>
    <row r="180" ht="14.25" customHeight="1">
      <c r="A180" s="9" t="s">
        <v>338</v>
      </c>
      <c r="B180" s="10" t="s">
        <v>209</v>
      </c>
      <c r="C180" s="11" t="s">
        <v>173</v>
      </c>
      <c r="D180" s="12" t="s">
        <v>329</v>
      </c>
      <c r="E180" s="13" t="str">
        <f t="array" ref="E180">INDEX(Turmas!C2:C103,MATCH(D180,Turmas!A2:A103,0))</f>
        <v>Tarde</v>
      </c>
      <c r="F180" s="14">
        <v>50.0</v>
      </c>
      <c r="G180" s="15">
        <v>4.0</v>
      </c>
      <c r="H180" s="15">
        <v>0.0</v>
      </c>
      <c r="I180" s="16" t="str">
        <f t="shared" si="1"/>
        <v>1-6,13-16</v>
      </c>
      <c r="J180" s="16" t="str">
        <f t="shared" si="2"/>
        <v>1-6,13-16</v>
      </c>
      <c r="K180" s="16" t="str">
        <f t="shared" si="3"/>
        <v>1-6,13-16</v>
      </c>
      <c r="L180" s="16" t="str">
        <f t="shared" si="4"/>
        <v>1-6,13-16</v>
      </c>
      <c r="M180" s="16" t="str">
        <f t="shared" si="5"/>
        <v>1-6,13-16</v>
      </c>
      <c r="N180" s="16" t="str">
        <f t="shared" si="6"/>
        <v>1-16</v>
      </c>
      <c r="O180" s="17"/>
      <c r="P180" s="17"/>
      <c r="Q180" s="17"/>
      <c r="R180" s="17"/>
      <c r="S180" s="17"/>
      <c r="T180" s="17"/>
      <c r="U180" s="17"/>
      <c r="V180" s="17"/>
      <c r="W180" s="17"/>
    </row>
    <row r="181" ht="14.25" customHeight="1">
      <c r="A181" s="9" t="s">
        <v>339</v>
      </c>
      <c r="B181" s="10" t="s">
        <v>340</v>
      </c>
      <c r="C181" s="11" t="s">
        <v>240</v>
      </c>
      <c r="D181" s="12" t="s">
        <v>329</v>
      </c>
      <c r="E181" s="13" t="str">
        <f t="array" ref="E181">INDEX(Turmas!C2:C103,MATCH(D181,Turmas!A2:A103,0))</f>
        <v>Tarde</v>
      </c>
      <c r="F181" s="14">
        <v>50.0</v>
      </c>
      <c r="G181" s="15">
        <v>2.0</v>
      </c>
      <c r="H181" s="15">
        <v>0.0</v>
      </c>
      <c r="I181" s="16" t="str">
        <f t="shared" si="1"/>
        <v>1-6,13-16</v>
      </c>
      <c r="J181" s="16" t="str">
        <f t="shared" si="2"/>
        <v>1-6,13-16</v>
      </c>
      <c r="K181" s="16" t="str">
        <f t="shared" si="3"/>
        <v>1-6,13-16</v>
      </c>
      <c r="L181" s="16" t="str">
        <f t="shared" si="4"/>
        <v>1-6,13-16</v>
      </c>
      <c r="M181" s="16" t="str">
        <f t="shared" si="5"/>
        <v>1-6,13-16</v>
      </c>
      <c r="N181" s="16" t="str">
        <f t="shared" si="6"/>
        <v>1-16</v>
      </c>
      <c r="O181" s="17"/>
      <c r="P181" s="17"/>
      <c r="Q181" s="17"/>
      <c r="R181" s="17"/>
      <c r="S181" s="17"/>
      <c r="T181" s="17"/>
      <c r="U181" s="17"/>
      <c r="V181" s="17"/>
      <c r="W181" s="17"/>
    </row>
    <row r="182" ht="14.25" customHeight="1">
      <c r="A182" s="9" t="s">
        <v>341</v>
      </c>
      <c r="B182" s="10" t="s">
        <v>342</v>
      </c>
      <c r="C182" s="11" t="s">
        <v>277</v>
      </c>
      <c r="D182" s="12" t="s">
        <v>343</v>
      </c>
      <c r="E182" s="13" t="str">
        <f t="array" ref="E182">INDEX(Turmas!C2:C103,MATCH(D182,Turmas!A2:A103,0))</f>
        <v>Integral</v>
      </c>
      <c r="F182" s="14">
        <v>50.0</v>
      </c>
      <c r="G182" s="15">
        <v>3.0</v>
      </c>
      <c r="H182" s="15">
        <v>0.0</v>
      </c>
      <c r="I182" s="16" t="str">
        <f t="shared" si="1"/>
        <v>13-16</v>
      </c>
      <c r="J182" s="16" t="str">
        <f t="shared" si="2"/>
        <v>13-16</v>
      </c>
      <c r="K182" s="16" t="str">
        <f t="shared" si="3"/>
        <v>13-16</v>
      </c>
      <c r="L182" s="16" t="str">
        <f t="shared" si="4"/>
        <v>13-16</v>
      </c>
      <c r="M182" s="16" t="str">
        <f t="shared" si="5"/>
        <v>13-16</v>
      </c>
      <c r="N182" s="16" t="str">
        <f t="shared" si="6"/>
        <v>1-16</v>
      </c>
      <c r="O182" s="17"/>
      <c r="P182" s="17"/>
      <c r="Q182" s="17"/>
      <c r="R182" s="17"/>
      <c r="S182" s="17"/>
      <c r="T182" s="17"/>
      <c r="U182" s="17"/>
      <c r="V182" s="17"/>
      <c r="W182" s="17"/>
    </row>
    <row r="183" ht="14.25" customHeight="1">
      <c r="A183" s="9" t="s">
        <v>344</v>
      </c>
      <c r="B183" s="10" t="s">
        <v>345</v>
      </c>
      <c r="C183" s="11" t="s">
        <v>234</v>
      </c>
      <c r="D183" s="12" t="s">
        <v>343</v>
      </c>
      <c r="E183" s="13" t="str">
        <f t="array" ref="E183">INDEX(Turmas!C2:C103,MATCH(D183,Turmas!A2:A103,0))</f>
        <v>Integral</v>
      </c>
      <c r="F183" s="14">
        <v>50.0</v>
      </c>
      <c r="G183" s="15">
        <v>4.0</v>
      </c>
      <c r="H183" s="15">
        <v>0.0</v>
      </c>
      <c r="I183" s="16" t="str">
        <f t="shared" si="1"/>
        <v>13-16</v>
      </c>
      <c r="J183" s="16" t="str">
        <f t="shared" si="2"/>
        <v>13-16</v>
      </c>
      <c r="K183" s="16" t="str">
        <f t="shared" si="3"/>
        <v>13-16</v>
      </c>
      <c r="L183" s="16" t="str">
        <f t="shared" si="4"/>
        <v>13-16</v>
      </c>
      <c r="M183" s="16" t="str">
        <f t="shared" si="5"/>
        <v>13-16</v>
      </c>
      <c r="N183" s="16" t="str">
        <f t="shared" si="6"/>
        <v>1-16</v>
      </c>
      <c r="O183" s="17"/>
      <c r="P183" s="17"/>
      <c r="Q183" s="17"/>
      <c r="R183" s="17"/>
      <c r="S183" s="17"/>
      <c r="T183" s="17"/>
      <c r="U183" s="17"/>
      <c r="V183" s="17"/>
      <c r="W183" s="17"/>
    </row>
    <row r="184" ht="14.25" customHeight="1">
      <c r="A184" s="9" t="s">
        <v>346</v>
      </c>
      <c r="B184" s="10" t="s">
        <v>347</v>
      </c>
      <c r="C184" s="11" t="s">
        <v>320</v>
      </c>
      <c r="D184" s="12" t="s">
        <v>343</v>
      </c>
      <c r="E184" s="13" t="str">
        <f t="array" ref="E184">INDEX(Turmas!C2:C103,MATCH(D184,Turmas!A2:A103,0))</f>
        <v>Integral</v>
      </c>
      <c r="F184" s="14">
        <v>50.0</v>
      </c>
      <c r="G184" s="15">
        <v>2.0</v>
      </c>
      <c r="H184" s="15">
        <v>0.0</v>
      </c>
      <c r="I184" s="16" t="str">
        <f t="shared" si="1"/>
        <v>13-16</v>
      </c>
      <c r="J184" s="16" t="str">
        <f t="shared" si="2"/>
        <v>13-16</v>
      </c>
      <c r="K184" s="16" t="str">
        <f t="shared" si="3"/>
        <v>13-16</v>
      </c>
      <c r="L184" s="16" t="str">
        <f t="shared" si="4"/>
        <v>13-16</v>
      </c>
      <c r="M184" s="16" t="str">
        <f t="shared" si="5"/>
        <v>13-16</v>
      </c>
      <c r="N184" s="16" t="str">
        <f t="shared" si="6"/>
        <v>1-16</v>
      </c>
      <c r="O184" s="17"/>
      <c r="P184" s="17"/>
      <c r="Q184" s="17"/>
      <c r="R184" s="17"/>
      <c r="S184" s="17"/>
      <c r="T184" s="17"/>
      <c r="U184" s="17"/>
      <c r="V184" s="17"/>
      <c r="W184" s="17"/>
    </row>
    <row r="185" ht="14.25" customHeight="1">
      <c r="A185" s="9" t="s">
        <v>348</v>
      </c>
      <c r="B185" s="10" t="s">
        <v>349</v>
      </c>
      <c r="C185" s="11" t="s">
        <v>350</v>
      </c>
      <c r="D185" s="12" t="s">
        <v>343</v>
      </c>
      <c r="E185" s="13" t="str">
        <f t="array" ref="E185">INDEX(Turmas!C2:C103,MATCH(D185,Turmas!A2:A103,0))</f>
        <v>Integral</v>
      </c>
      <c r="F185" s="14">
        <v>50.0</v>
      </c>
      <c r="G185" s="15">
        <v>5.0</v>
      </c>
      <c r="H185" s="15">
        <v>0.0</v>
      </c>
      <c r="I185" s="16" t="str">
        <f t="shared" si="1"/>
        <v>13-16</v>
      </c>
      <c r="J185" s="16" t="str">
        <f t="shared" si="2"/>
        <v>13-16</v>
      </c>
      <c r="K185" s="16" t="str">
        <f t="shared" si="3"/>
        <v>13-16</v>
      </c>
      <c r="L185" s="16" t="str">
        <f t="shared" si="4"/>
        <v>13-16</v>
      </c>
      <c r="M185" s="16" t="str">
        <f t="shared" si="5"/>
        <v>13-16</v>
      </c>
      <c r="N185" s="16" t="str">
        <f t="shared" si="6"/>
        <v>1-16</v>
      </c>
      <c r="O185" s="17"/>
      <c r="P185" s="17"/>
      <c r="Q185" s="17"/>
      <c r="R185" s="17"/>
      <c r="S185" s="17"/>
      <c r="T185" s="17"/>
      <c r="U185" s="17"/>
      <c r="V185" s="17"/>
      <c r="W185" s="17"/>
    </row>
    <row r="186" ht="14.25" customHeight="1">
      <c r="A186" s="9" t="s">
        <v>351</v>
      </c>
      <c r="B186" s="10" t="s">
        <v>352</v>
      </c>
      <c r="C186" s="11" t="s">
        <v>353</v>
      </c>
      <c r="D186" s="12" t="s">
        <v>343</v>
      </c>
      <c r="E186" s="13" t="str">
        <f t="array" ref="E186">INDEX(Turmas!C2:C103,MATCH(D186,Turmas!A2:A103,0))</f>
        <v>Integral</v>
      </c>
      <c r="F186" s="14">
        <v>50.0</v>
      </c>
      <c r="G186" s="15">
        <v>4.0</v>
      </c>
      <c r="H186" s="15">
        <v>0.0</v>
      </c>
      <c r="I186" s="16" t="str">
        <f t="shared" si="1"/>
        <v>13-16</v>
      </c>
      <c r="J186" s="16" t="str">
        <f t="shared" si="2"/>
        <v>13-16</v>
      </c>
      <c r="K186" s="16" t="str">
        <f t="shared" si="3"/>
        <v>13-16</v>
      </c>
      <c r="L186" s="16" t="str">
        <f t="shared" si="4"/>
        <v>13-16</v>
      </c>
      <c r="M186" s="16" t="str">
        <f t="shared" si="5"/>
        <v>13-16</v>
      </c>
      <c r="N186" s="16" t="str">
        <f t="shared" si="6"/>
        <v>1-16</v>
      </c>
      <c r="O186" s="17"/>
      <c r="P186" s="17"/>
      <c r="Q186" s="17"/>
      <c r="R186" s="17"/>
      <c r="S186" s="17"/>
      <c r="T186" s="17"/>
      <c r="U186" s="17"/>
      <c r="V186" s="17"/>
      <c r="W186" s="17"/>
    </row>
    <row r="187" ht="14.25" customHeight="1">
      <c r="A187" s="9" t="s">
        <v>354</v>
      </c>
      <c r="B187" s="10" t="s">
        <v>355</v>
      </c>
      <c r="C187" s="11" t="s">
        <v>305</v>
      </c>
      <c r="D187" s="22" t="s">
        <v>343</v>
      </c>
      <c r="E187" s="13" t="str">
        <f t="array" ref="E187">INDEX(Turmas!C2:C103,MATCH(D187,Turmas!A2:A103,0))</f>
        <v>Integral</v>
      </c>
      <c r="F187" s="14">
        <v>50.0</v>
      </c>
      <c r="G187" s="15">
        <v>4.0</v>
      </c>
      <c r="H187" s="15">
        <v>0.0</v>
      </c>
      <c r="I187" s="16" t="str">
        <f t="shared" si="1"/>
        <v>13-16</v>
      </c>
      <c r="J187" s="16" t="str">
        <f t="shared" si="2"/>
        <v>13-16</v>
      </c>
      <c r="K187" s="16" t="str">
        <f t="shared" si="3"/>
        <v>13-16</v>
      </c>
      <c r="L187" s="16" t="str">
        <f t="shared" si="4"/>
        <v>13-16</v>
      </c>
      <c r="M187" s="16" t="str">
        <f t="shared" si="5"/>
        <v>13-16</v>
      </c>
      <c r="N187" s="16" t="str">
        <f t="shared" si="6"/>
        <v>1-16</v>
      </c>
      <c r="O187" s="17"/>
      <c r="P187" s="17"/>
      <c r="Q187" s="17"/>
      <c r="R187" s="17"/>
      <c r="S187" s="17"/>
      <c r="T187" s="17"/>
      <c r="U187" s="17"/>
      <c r="V187" s="17"/>
      <c r="W187" s="17"/>
    </row>
    <row r="188" ht="14.25" customHeight="1">
      <c r="A188" s="9" t="s">
        <v>356</v>
      </c>
      <c r="B188" s="10" t="s">
        <v>357</v>
      </c>
      <c r="C188" s="11" t="s">
        <v>358</v>
      </c>
      <c r="D188" s="22" t="s">
        <v>343</v>
      </c>
      <c r="E188" s="13" t="str">
        <f t="array" ref="E188">INDEX(Turmas!C2:C103,MATCH(D188,Turmas!A2:A103,0))</f>
        <v>Integral</v>
      </c>
      <c r="F188" s="14">
        <v>55.0</v>
      </c>
      <c r="G188" s="15">
        <v>4.0</v>
      </c>
      <c r="H188" s="15">
        <v>0.0</v>
      </c>
      <c r="I188" s="16" t="str">
        <f t="shared" si="1"/>
        <v>13-16</v>
      </c>
      <c r="J188" s="16" t="str">
        <f t="shared" si="2"/>
        <v>13-16</v>
      </c>
      <c r="K188" s="16" t="str">
        <f t="shared" si="3"/>
        <v>13-16</v>
      </c>
      <c r="L188" s="16" t="str">
        <f t="shared" si="4"/>
        <v>13-16</v>
      </c>
      <c r="M188" s="16" t="str">
        <f t="shared" si="5"/>
        <v>13-16</v>
      </c>
      <c r="N188" s="16" t="str">
        <f t="shared" si="6"/>
        <v>1-16</v>
      </c>
      <c r="O188" s="17"/>
      <c r="P188" s="17"/>
      <c r="Q188" s="17"/>
      <c r="R188" s="17"/>
      <c r="S188" s="17"/>
      <c r="T188" s="17"/>
      <c r="U188" s="17"/>
      <c r="V188" s="17"/>
      <c r="W188" s="17"/>
    </row>
    <row r="189" ht="14.25" customHeight="1">
      <c r="A189" s="9" t="s">
        <v>323</v>
      </c>
      <c r="B189" s="10" t="s">
        <v>324</v>
      </c>
      <c r="C189" s="11" t="s">
        <v>359</v>
      </c>
      <c r="D189" s="22" t="s">
        <v>360</v>
      </c>
      <c r="E189" s="13" t="str">
        <f t="array" ref="E189">INDEX(Turmas!C2:C103,MATCH(D189,Turmas!A2:A103,0))</f>
        <v>Integral</v>
      </c>
      <c r="F189" s="14">
        <v>50.0</v>
      </c>
      <c r="G189" s="15">
        <v>24.0</v>
      </c>
      <c r="H189" s="15">
        <v>0.0</v>
      </c>
      <c r="I189" s="16" t="str">
        <f t="shared" si="1"/>
        <v>13-16</v>
      </c>
      <c r="J189" s="16" t="str">
        <f t="shared" si="2"/>
        <v>13-16</v>
      </c>
      <c r="K189" s="16" t="str">
        <f t="shared" si="3"/>
        <v>13-16</v>
      </c>
      <c r="L189" s="16" t="str">
        <f t="shared" si="4"/>
        <v>13-16</v>
      </c>
      <c r="M189" s="16" t="str">
        <f t="shared" si="5"/>
        <v>13-16</v>
      </c>
      <c r="N189" s="16" t="str">
        <f t="shared" si="6"/>
        <v>1-16</v>
      </c>
      <c r="O189" s="17"/>
      <c r="P189" s="17"/>
      <c r="Q189" s="17"/>
      <c r="R189" s="17"/>
      <c r="S189" s="17"/>
      <c r="T189" s="17"/>
      <c r="U189" s="17"/>
      <c r="V189" s="17"/>
      <c r="W189" s="17"/>
    </row>
    <row r="190" ht="14.25" customHeight="1">
      <c r="A190" s="9" t="s">
        <v>361</v>
      </c>
      <c r="B190" s="10" t="s">
        <v>199</v>
      </c>
      <c r="C190" s="11" t="s">
        <v>261</v>
      </c>
      <c r="D190" s="22" t="s">
        <v>362</v>
      </c>
      <c r="E190" s="13" t="str">
        <f t="array" ref="E190">INDEX(Turmas!C2:C103,MATCH(D190,Turmas!A2:A103,0))</f>
        <v>Noite</v>
      </c>
      <c r="F190" s="14">
        <v>60.0</v>
      </c>
      <c r="G190" s="15">
        <v>4.0</v>
      </c>
      <c r="H190" s="15">
        <v>0.0</v>
      </c>
      <c r="I190" s="16" t="str">
        <f t="shared" si="1"/>
        <v>1-12</v>
      </c>
      <c r="J190" s="16" t="str">
        <f t="shared" si="2"/>
        <v>1-12</v>
      </c>
      <c r="K190" s="16" t="str">
        <f t="shared" si="3"/>
        <v>1-12</v>
      </c>
      <c r="L190" s="16" t="str">
        <f t="shared" si="4"/>
        <v>1-12</v>
      </c>
      <c r="M190" s="16" t="str">
        <f t="shared" si="5"/>
        <v>1-12</v>
      </c>
      <c r="N190" s="16" t="str">
        <f t="shared" si="6"/>
        <v>0</v>
      </c>
      <c r="O190" s="17"/>
      <c r="P190" s="17"/>
      <c r="Q190" s="17"/>
      <c r="R190" s="17"/>
      <c r="S190" s="17"/>
      <c r="T190" s="17"/>
      <c r="U190" s="17"/>
      <c r="V190" s="17"/>
      <c r="W190" s="17"/>
    </row>
    <row r="191" ht="14.25" customHeight="1">
      <c r="A191" s="9" t="s">
        <v>363</v>
      </c>
      <c r="B191" s="10" t="s">
        <v>364</v>
      </c>
      <c r="C191" s="11" t="s">
        <v>365</v>
      </c>
      <c r="D191" s="22" t="s">
        <v>362</v>
      </c>
      <c r="E191" s="13" t="str">
        <f t="array" ref="E191">INDEX(Turmas!C2:C103,MATCH(D191,Turmas!A2:A103,0))</f>
        <v>Noite</v>
      </c>
      <c r="F191" s="14">
        <v>60.0</v>
      </c>
      <c r="G191" s="15">
        <v>4.0</v>
      </c>
      <c r="H191" s="15">
        <v>0.0</v>
      </c>
      <c r="I191" s="16" t="str">
        <f t="shared" si="1"/>
        <v>1-12</v>
      </c>
      <c r="J191" s="16" t="str">
        <f t="shared" si="2"/>
        <v>1-12</v>
      </c>
      <c r="K191" s="16" t="str">
        <f t="shared" si="3"/>
        <v>1-12</v>
      </c>
      <c r="L191" s="16" t="str">
        <f t="shared" si="4"/>
        <v>1-12</v>
      </c>
      <c r="M191" s="16" t="str">
        <f t="shared" si="5"/>
        <v>1-12</v>
      </c>
      <c r="N191" s="16" t="str">
        <f t="shared" si="6"/>
        <v>0</v>
      </c>
      <c r="O191" s="17"/>
      <c r="P191" s="17"/>
      <c r="Q191" s="17"/>
      <c r="R191" s="17"/>
      <c r="S191" s="17"/>
      <c r="T191" s="17"/>
      <c r="U191" s="17"/>
      <c r="V191" s="17"/>
      <c r="W191" s="17"/>
    </row>
    <row r="192" ht="14.25" customHeight="1">
      <c r="A192" s="9" t="s">
        <v>366</v>
      </c>
      <c r="B192" s="10" t="s">
        <v>367</v>
      </c>
      <c r="C192" s="11" t="s">
        <v>368</v>
      </c>
      <c r="D192" s="22" t="s">
        <v>362</v>
      </c>
      <c r="E192" s="13" t="str">
        <f t="array" ref="E192">INDEX(Turmas!C2:C103,MATCH(D192,Turmas!A2:A103,0))</f>
        <v>Noite</v>
      </c>
      <c r="F192" s="14">
        <v>60.0</v>
      </c>
      <c r="G192" s="15">
        <v>2.0</v>
      </c>
      <c r="H192" s="15">
        <v>0.0</v>
      </c>
      <c r="I192" s="16" t="str">
        <f t="shared" si="1"/>
        <v>1-12</v>
      </c>
      <c r="J192" s="16" t="str">
        <f t="shared" si="2"/>
        <v>1-12</v>
      </c>
      <c r="K192" s="16" t="str">
        <f t="shared" si="3"/>
        <v>1-12</v>
      </c>
      <c r="L192" s="16" t="str">
        <f t="shared" si="4"/>
        <v>1-12</v>
      </c>
      <c r="M192" s="16" t="str">
        <f t="shared" si="5"/>
        <v>1-12</v>
      </c>
      <c r="N192" s="16" t="str">
        <f t="shared" si="6"/>
        <v>0</v>
      </c>
      <c r="O192" s="17"/>
      <c r="P192" s="17"/>
      <c r="Q192" s="17"/>
      <c r="R192" s="17"/>
      <c r="S192" s="17"/>
      <c r="T192" s="17"/>
      <c r="U192" s="17"/>
      <c r="V192" s="17"/>
      <c r="W192" s="17"/>
    </row>
    <row r="193" ht="14.25" customHeight="1">
      <c r="A193" s="9" t="s">
        <v>369</v>
      </c>
      <c r="B193" s="10" t="s">
        <v>370</v>
      </c>
      <c r="C193" s="11" t="s">
        <v>371</v>
      </c>
      <c r="D193" s="22" t="s">
        <v>362</v>
      </c>
      <c r="E193" s="13" t="str">
        <f t="array" ref="E193">INDEX(Turmas!C2:C103,MATCH(D193,Turmas!A2:A103,0))</f>
        <v>Noite</v>
      </c>
      <c r="F193" s="14">
        <v>60.0</v>
      </c>
      <c r="G193" s="15">
        <v>2.0</v>
      </c>
      <c r="H193" s="15">
        <v>0.0</v>
      </c>
      <c r="I193" s="16" t="str">
        <f t="shared" si="1"/>
        <v>1-12</v>
      </c>
      <c r="J193" s="16" t="str">
        <f t="shared" si="2"/>
        <v>1-12</v>
      </c>
      <c r="K193" s="16" t="str">
        <f t="shared" si="3"/>
        <v>1-12</v>
      </c>
      <c r="L193" s="16" t="str">
        <f t="shared" si="4"/>
        <v>1-12</v>
      </c>
      <c r="M193" s="16" t="str">
        <f t="shared" si="5"/>
        <v>1-12</v>
      </c>
      <c r="N193" s="16" t="str">
        <f t="shared" si="6"/>
        <v>0</v>
      </c>
      <c r="O193" s="17"/>
      <c r="P193" s="17"/>
      <c r="Q193" s="17"/>
      <c r="R193" s="17"/>
      <c r="S193" s="17"/>
      <c r="T193" s="17"/>
      <c r="U193" s="17"/>
      <c r="V193" s="17"/>
      <c r="W193" s="17"/>
    </row>
    <row r="194" ht="14.25" customHeight="1">
      <c r="A194" s="9" t="s">
        <v>372</v>
      </c>
      <c r="B194" s="10" t="s">
        <v>151</v>
      </c>
      <c r="C194" s="11" t="s">
        <v>373</v>
      </c>
      <c r="D194" s="22" t="s">
        <v>362</v>
      </c>
      <c r="E194" s="13" t="str">
        <f t="array" ref="E194">INDEX(Turmas!C2:C103,MATCH(D194,Turmas!A2:A103,0))</f>
        <v>Noite</v>
      </c>
      <c r="F194" s="14">
        <v>60.0</v>
      </c>
      <c r="G194" s="15">
        <v>2.0</v>
      </c>
      <c r="H194" s="15">
        <v>0.0</v>
      </c>
      <c r="I194" s="16" t="str">
        <f t="shared" si="1"/>
        <v>1-12</v>
      </c>
      <c r="J194" s="16" t="str">
        <f t="shared" si="2"/>
        <v>1-12</v>
      </c>
      <c r="K194" s="16" t="str">
        <f t="shared" si="3"/>
        <v>1-12</v>
      </c>
      <c r="L194" s="16" t="str">
        <f t="shared" si="4"/>
        <v>1-12</v>
      </c>
      <c r="M194" s="16" t="str">
        <f t="shared" si="5"/>
        <v>1-12</v>
      </c>
      <c r="N194" s="16" t="str">
        <f t="shared" si="6"/>
        <v>0</v>
      </c>
      <c r="O194" s="17"/>
      <c r="P194" s="17"/>
      <c r="Q194" s="17"/>
      <c r="R194" s="17"/>
      <c r="S194" s="17"/>
      <c r="T194" s="17"/>
      <c r="U194" s="17"/>
      <c r="V194" s="17"/>
      <c r="W194" s="17"/>
    </row>
    <row r="195" ht="14.25" customHeight="1">
      <c r="A195" s="9" t="s">
        <v>374</v>
      </c>
      <c r="B195" s="10" t="s">
        <v>375</v>
      </c>
      <c r="C195" s="11" t="s">
        <v>103</v>
      </c>
      <c r="D195" s="22" t="s">
        <v>362</v>
      </c>
      <c r="E195" s="13" t="str">
        <f t="array" ref="E195">INDEX(Turmas!C2:C103,MATCH(D195,Turmas!A2:A103,0))</f>
        <v>Noite</v>
      </c>
      <c r="F195" s="14">
        <v>60.0</v>
      </c>
      <c r="G195" s="15">
        <v>2.0</v>
      </c>
      <c r="H195" s="15">
        <v>0.0</v>
      </c>
      <c r="I195" s="16" t="str">
        <f t="shared" si="1"/>
        <v>1-12</v>
      </c>
      <c r="J195" s="16" t="str">
        <f t="shared" si="2"/>
        <v>1-12</v>
      </c>
      <c r="K195" s="16" t="str">
        <f t="shared" si="3"/>
        <v>1-12</v>
      </c>
      <c r="L195" s="16" t="str">
        <f t="shared" si="4"/>
        <v>1-12</v>
      </c>
      <c r="M195" s="16" t="str">
        <f t="shared" si="5"/>
        <v>1-12</v>
      </c>
      <c r="N195" s="16" t="str">
        <f t="shared" si="6"/>
        <v>0</v>
      </c>
      <c r="O195" s="17"/>
      <c r="P195" s="17"/>
      <c r="Q195" s="17"/>
      <c r="R195" s="17"/>
      <c r="S195" s="17"/>
      <c r="T195" s="17"/>
      <c r="U195" s="17"/>
      <c r="V195" s="17"/>
      <c r="W195" s="17"/>
    </row>
    <row r="196" ht="14.25" customHeight="1">
      <c r="A196" s="9" t="s">
        <v>376</v>
      </c>
      <c r="B196" s="10" t="s">
        <v>377</v>
      </c>
      <c r="C196" s="11" t="s">
        <v>378</v>
      </c>
      <c r="D196" s="22" t="s">
        <v>362</v>
      </c>
      <c r="E196" s="13" t="str">
        <f t="array" ref="E196">INDEX(Turmas!C2:C103,MATCH(D196,Turmas!A2:A103,0))</f>
        <v>Noite</v>
      </c>
      <c r="F196" s="20">
        <v>60.0</v>
      </c>
      <c r="G196" s="15">
        <v>4.0</v>
      </c>
      <c r="H196" s="15">
        <v>0.0</v>
      </c>
      <c r="I196" s="16" t="str">
        <f t="shared" si="1"/>
        <v>1-12</v>
      </c>
      <c r="J196" s="16" t="str">
        <f t="shared" si="2"/>
        <v>1-12</v>
      </c>
      <c r="K196" s="16" t="str">
        <f t="shared" si="3"/>
        <v>1-12</v>
      </c>
      <c r="L196" s="16" t="str">
        <f t="shared" si="4"/>
        <v>1-12</v>
      </c>
      <c r="M196" s="16" t="str">
        <f t="shared" si="5"/>
        <v>1-12</v>
      </c>
      <c r="N196" s="16" t="str">
        <f t="shared" si="6"/>
        <v>0</v>
      </c>
      <c r="O196" s="21"/>
      <c r="P196" s="21"/>
      <c r="Q196" s="21"/>
      <c r="R196" s="21"/>
      <c r="S196" s="21"/>
      <c r="T196" s="21"/>
      <c r="U196" s="21"/>
      <c r="V196" s="21"/>
      <c r="W196" s="21"/>
    </row>
    <row r="197" ht="14.25" customHeight="1">
      <c r="A197" s="9" t="s">
        <v>45</v>
      </c>
      <c r="B197" s="10" t="s">
        <v>46</v>
      </c>
      <c r="C197" s="11" t="s">
        <v>177</v>
      </c>
      <c r="D197" s="22" t="s">
        <v>379</v>
      </c>
      <c r="E197" s="13" t="str">
        <f t="array" ref="E197">INDEX(Turmas!C2:C103,MATCH(D197,Turmas!A2:A103,0))</f>
        <v>Noite</v>
      </c>
      <c r="F197" s="14">
        <v>60.0</v>
      </c>
      <c r="G197" s="15">
        <v>3.0</v>
      </c>
      <c r="H197" s="15">
        <v>0.0</v>
      </c>
      <c r="I197" s="16" t="str">
        <f t="shared" si="1"/>
        <v>1-12</v>
      </c>
      <c r="J197" s="16" t="str">
        <f t="shared" si="2"/>
        <v>1-12</v>
      </c>
      <c r="K197" s="16" t="str">
        <f t="shared" si="3"/>
        <v>1-12</v>
      </c>
      <c r="L197" s="16" t="str">
        <f t="shared" si="4"/>
        <v>1-12</v>
      </c>
      <c r="M197" s="16" t="str">
        <f t="shared" si="5"/>
        <v>1-12</v>
      </c>
      <c r="N197" s="16" t="str">
        <f t="shared" si="6"/>
        <v>0</v>
      </c>
      <c r="O197" s="17"/>
      <c r="P197" s="17"/>
      <c r="Q197" s="17"/>
      <c r="R197" s="17"/>
      <c r="S197" s="17"/>
      <c r="T197" s="17"/>
      <c r="U197" s="17"/>
      <c r="V197" s="17"/>
      <c r="W197" s="17"/>
    </row>
    <row r="198" ht="14.25" customHeight="1">
      <c r="A198" s="9" t="s">
        <v>380</v>
      </c>
      <c r="B198" s="10" t="s">
        <v>381</v>
      </c>
      <c r="C198" s="11" t="s">
        <v>382</v>
      </c>
      <c r="D198" s="22" t="s">
        <v>379</v>
      </c>
      <c r="E198" s="13" t="str">
        <f t="array" ref="E198">INDEX(Turmas!C2:C103,MATCH(D198,Turmas!A2:A103,0))</f>
        <v>Noite</v>
      </c>
      <c r="F198" s="14">
        <v>60.0</v>
      </c>
      <c r="G198" s="15">
        <v>3.0</v>
      </c>
      <c r="H198" s="15">
        <v>0.0</v>
      </c>
      <c r="I198" s="16" t="str">
        <f t="shared" si="1"/>
        <v>1-12</v>
      </c>
      <c r="J198" s="16" t="str">
        <f t="shared" si="2"/>
        <v>1-12</v>
      </c>
      <c r="K198" s="16" t="str">
        <f t="shared" si="3"/>
        <v>1-12</v>
      </c>
      <c r="L198" s="16" t="str">
        <f t="shared" si="4"/>
        <v>1-12</v>
      </c>
      <c r="M198" s="16" t="str">
        <f t="shared" si="5"/>
        <v>1-12</v>
      </c>
      <c r="N198" s="16" t="str">
        <f t="shared" si="6"/>
        <v>0</v>
      </c>
      <c r="O198" s="17"/>
      <c r="P198" s="17"/>
      <c r="Q198" s="17"/>
      <c r="R198" s="17"/>
      <c r="S198" s="17"/>
      <c r="T198" s="17"/>
      <c r="U198" s="17"/>
      <c r="V198" s="17"/>
      <c r="W198" s="17"/>
    </row>
    <row r="199" ht="14.25" customHeight="1">
      <c r="A199" s="9" t="s">
        <v>383</v>
      </c>
      <c r="B199" s="10" t="s">
        <v>384</v>
      </c>
      <c r="C199" s="11" t="s">
        <v>385</v>
      </c>
      <c r="D199" s="22" t="s">
        <v>379</v>
      </c>
      <c r="E199" s="13" t="str">
        <f t="array" ref="E199">INDEX(Turmas!C2:C103,MATCH(D199,Turmas!A2:A103,0))</f>
        <v>Noite</v>
      </c>
      <c r="F199" s="14">
        <v>60.0</v>
      </c>
      <c r="G199" s="15">
        <v>3.0</v>
      </c>
      <c r="H199" s="15">
        <v>0.0</v>
      </c>
      <c r="I199" s="16" t="str">
        <f t="shared" si="1"/>
        <v>1-12</v>
      </c>
      <c r="J199" s="16" t="str">
        <f t="shared" si="2"/>
        <v>1-12</v>
      </c>
      <c r="K199" s="16" t="str">
        <f t="shared" si="3"/>
        <v>1-12</v>
      </c>
      <c r="L199" s="16" t="str">
        <f t="shared" si="4"/>
        <v>1-12</v>
      </c>
      <c r="M199" s="16" t="str">
        <f t="shared" si="5"/>
        <v>1-12</v>
      </c>
      <c r="N199" s="16" t="str">
        <f t="shared" si="6"/>
        <v>0</v>
      </c>
      <c r="O199" s="17"/>
      <c r="P199" s="17"/>
      <c r="Q199" s="17"/>
      <c r="R199" s="17"/>
      <c r="S199" s="17"/>
      <c r="T199" s="17"/>
      <c r="U199" s="17"/>
      <c r="V199" s="17"/>
      <c r="W199" s="17"/>
    </row>
    <row r="200" ht="14.25" customHeight="1">
      <c r="A200" s="9" t="s">
        <v>386</v>
      </c>
      <c r="B200" s="10" t="s">
        <v>387</v>
      </c>
      <c r="C200" s="11" t="s">
        <v>388</v>
      </c>
      <c r="D200" s="22" t="s">
        <v>379</v>
      </c>
      <c r="E200" s="13" t="str">
        <f t="array" ref="E200">INDEX(Turmas!C2:C103,MATCH(D200,Turmas!A2:A103,0))</f>
        <v>Noite</v>
      </c>
      <c r="F200" s="14">
        <v>60.0</v>
      </c>
      <c r="G200" s="15">
        <v>4.0</v>
      </c>
      <c r="H200" s="15">
        <v>0.0</v>
      </c>
      <c r="I200" s="16" t="str">
        <f t="shared" si="1"/>
        <v>1-12</v>
      </c>
      <c r="J200" s="16" t="str">
        <f t="shared" si="2"/>
        <v>1-12</v>
      </c>
      <c r="K200" s="16" t="str">
        <f t="shared" si="3"/>
        <v>1-12</v>
      </c>
      <c r="L200" s="16" t="str">
        <f t="shared" si="4"/>
        <v>1-12</v>
      </c>
      <c r="M200" s="16" t="str">
        <f t="shared" si="5"/>
        <v>1-12</v>
      </c>
      <c r="N200" s="16" t="str">
        <f t="shared" si="6"/>
        <v>0</v>
      </c>
      <c r="O200" s="17"/>
      <c r="P200" s="17"/>
      <c r="Q200" s="17"/>
      <c r="R200" s="17"/>
      <c r="S200" s="17"/>
      <c r="T200" s="17"/>
      <c r="U200" s="17"/>
      <c r="V200" s="17"/>
      <c r="W200" s="17"/>
    </row>
    <row r="201" ht="14.25" customHeight="1">
      <c r="A201" s="9" t="s">
        <v>389</v>
      </c>
      <c r="B201" s="10" t="s">
        <v>390</v>
      </c>
      <c r="C201" s="11" t="s">
        <v>371</v>
      </c>
      <c r="D201" s="22" t="s">
        <v>379</v>
      </c>
      <c r="E201" s="13" t="str">
        <f t="array" ref="E201">INDEX(Turmas!C2:C103,MATCH(D201,Turmas!A2:A103,0))</f>
        <v>Noite</v>
      </c>
      <c r="F201" s="14">
        <v>60.0</v>
      </c>
      <c r="G201" s="15">
        <v>4.0</v>
      </c>
      <c r="H201" s="15">
        <v>0.0</v>
      </c>
      <c r="I201" s="16" t="str">
        <f t="shared" si="1"/>
        <v>1-12</v>
      </c>
      <c r="J201" s="16" t="str">
        <f t="shared" si="2"/>
        <v>1-12</v>
      </c>
      <c r="K201" s="16" t="str">
        <f t="shared" si="3"/>
        <v>1-12</v>
      </c>
      <c r="L201" s="16" t="str">
        <f t="shared" si="4"/>
        <v>1-12</v>
      </c>
      <c r="M201" s="16" t="str">
        <f t="shared" si="5"/>
        <v>1-12</v>
      </c>
      <c r="N201" s="16" t="str">
        <f t="shared" si="6"/>
        <v>0</v>
      </c>
      <c r="O201" s="17"/>
      <c r="P201" s="17"/>
      <c r="Q201" s="17"/>
      <c r="R201" s="17"/>
      <c r="S201" s="17"/>
      <c r="T201" s="17"/>
      <c r="U201" s="17"/>
      <c r="V201" s="17"/>
      <c r="W201" s="17"/>
    </row>
    <row r="202" ht="14.25" customHeight="1">
      <c r="A202" s="9" t="s">
        <v>391</v>
      </c>
      <c r="B202" s="10" t="s">
        <v>392</v>
      </c>
      <c r="C202" s="11" t="s">
        <v>385</v>
      </c>
      <c r="D202" s="22" t="s">
        <v>393</v>
      </c>
      <c r="E202" s="13" t="str">
        <f t="array" ref="E202">INDEX(Turmas!C2:C103,MATCH(D202,Turmas!A2:A103,0))</f>
        <v>Noite</v>
      </c>
      <c r="F202" s="14">
        <v>60.0</v>
      </c>
      <c r="G202" s="15">
        <v>4.0</v>
      </c>
      <c r="H202" s="15">
        <v>0.0</v>
      </c>
      <c r="I202" s="16" t="str">
        <f t="shared" si="1"/>
        <v>1-12</v>
      </c>
      <c r="J202" s="16" t="str">
        <f t="shared" si="2"/>
        <v>1-12</v>
      </c>
      <c r="K202" s="16" t="str">
        <f t="shared" si="3"/>
        <v>1-12</v>
      </c>
      <c r="L202" s="16" t="str">
        <f t="shared" si="4"/>
        <v>1-12</v>
      </c>
      <c r="M202" s="16" t="str">
        <f t="shared" si="5"/>
        <v>1-12</v>
      </c>
      <c r="N202" s="16" t="str">
        <f t="shared" si="6"/>
        <v>0</v>
      </c>
      <c r="O202" s="17"/>
      <c r="P202" s="17"/>
      <c r="Q202" s="17"/>
      <c r="R202" s="17"/>
      <c r="S202" s="17"/>
      <c r="T202" s="17"/>
      <c r="U202" s="17"/>
      <c r="V202" s="17"/>
      <c r="W202" s="17"/>
    </row>
    <row r="203" ht="14.25" customHeight="1">
      <c r="A203" s="9" t="s">
        <v>394</v>
      </c>
      <c r="B203" s="10" t="s">
        <v>395</v>
      </c>
      <c r="C203" s="11" t="s">
        <v>249</v>
      </c>
      <c r="D203" s="22" t="s">
        <v>393</v>
      </c>
      <c r="E203" s="13" t="str">
        <f t="array" ref="E203">INDEX(Turmas!C2:C103,MATCH(D203,Turmas!A2:A103,0))</f>
        <v>Noite</v>
      </c>
      <c r="F203" s="14">
        <v>60.0</v>
      </c>
      <c r="G203" s="15">
        <v>4.0</v>
      </c>
      <c r="H203" s="15">
        <v>0.0</v>
      </c>
      <c r="I203" s="16" t="str">
        <f t="shared" si="1"/>
        <v>1-12</v>
      </c>
      <c r="J203" s="16" t="str">
        <f t="shared" si="2"/>
        <v>1-12</v>
      </c>
      <c r="K203" s="16" t="str">
        <f t="shared" si="3"/>
        <v>1-12</v>
      </c>
      <c r="L203" s="16" t="str">
        <f t="shared" si="4"/>
        <v>1-12</v>
      </c>
      <c r="M203" s="16" t="str">
        <f t="shared" si="5"/>
        <v>1-12</v>
      </c>
      <c r="N203" s="16" t="str">
        <f t="shared" si="6"/>
        <v>0</v>
      </c>
      <c r="O203" s="17"/>
      <c r="P203" s="17"/>
      <c r="Q203" s="17"/>
      <c r="R203" s="17"/>
      <c r="S203" s="17"/>
      <c r="T203" s="17"/>
      <c r="U203" s="17"/>
      <c r="V203" s="17"/>
      <c r="W203" s="17"/>
    </row>
    <row r="204" ht="14.25" customHeight="1">
      <c r="A204" s="9" t="s">
        <v>396</v>
      </c>
      <c r="B204" s="10" t="s">
        <v>397</v>
      </c>
      <c r="C204" s="11" t="s">
        <v>398</v>
      </c>
      <c r="D204" s="22" t="s">
        <v>393</v>
      </c>
      <c r="E204" s="13" t="str">
        <f t="array" ref="E204">INDEX(Turmas!C2:C103,MATCH(D204,Turmas!A2:A103,0))</f>
        <v>Noite</v>
      </c>
      <c r="F204" s="14">
        <v>60.0</v>
      </c>
      <c r="G204" s="15">
        <v>4.0</v>
      </c>
      <c r="H204" s="15">
        <v>0.0</v>
      </c>
      <c r="I204" s="16" t="str">
        <f t="shared" si="1"/>
        <v>1-12</v>
      </c>
      <c r="J204" s="16" t="str">
        <f t="shared" si="2"/>
        <v>1-12</v>
      </c>
      <c r="K204" s="16" t="str">
        <f t="shared" si="3"/>
        <v>1-12</v>
      </c>
      <c r="L204" s="16" t="str">
        <f t="shared" si="4"/>
        <v>1-12</v>
      </c>
      <c r="M204" s="16" t="str">
        <f t="shared" si="5"/>
        <v>1-12</v>
      </c>
      <c r="N204" s="16" t="str">
        <f t="shared" si="6"/>
        <v>0</v>
      </c>
      <c r="O204" s="17"/>
      <c r="P204" s="17"/>
      <c r="Q204" s="17"/>
      <c r="R204" s="17"/>
      <c r="S204" s="17"/>
      <c r="T204" s="17"/>
      <c r="U204" s="17"/>
      <c r="V204" s="17"/>
      <c r="W204" s="17"/>
    </row>
    <row r="205" ht="14.25" customHeight="1">
      <c r="A205" s="9" t="s">
        <v>399</v>
      </c>
      <c r="B205" s="10" t="s">
        <v>400</v>
      </c>
      <c r="C205" s="11" t="s">
        <v>378</v>
      </c>
      <c r="D205" s="22" t="s">
        <v>393</v>
      </c>
      <c r="E205" s="13" t="str">
        <f t="array" ref="E205">INDEX(Turmas!C2:C103,MATCH(D205,Turmas!A2:A103,0))</f>
        <v>Noite</v>
      </c>
      <c r="F205" s="14">
        <v>60.0</v>
      </c>
      <c r="G205" s="15">
        <v>4.0</v>
      </c>
      <c r="H205" s="15">
        <v>0.0</v>
      </c>
      <c r="I205" s="16" t="str">
        <f t="shared" si="1"/>
        <v>1-12</v>
      </c>
      <c r="J205" s="16" t="str">
        <f t="shared" si="2"/>
        <v>1-12</v>
      </c>
      <c r="K205" s="16" t="str">
        <f t="shared" si="3"/>
        <v>1-12</v>
      </c>
      <c r="L205" s="16" t="str">
        <f t="shared" si="4"/>
        <v>1-12</v>
      </c>
      <c r="M205" s="16" t="str">
        <f t="shared" si="5"/>
        <v>1-12</v>
      </c>
      <c r="N205" s="16" t="str">
        <f t="shared" si="6"/>
        <v>0</v>
      </c>
      <c r="O205" s="17"/>
      <c r="P205" s="17"/>
      <c r="Q205" s="17"/>
      <c r="R205" s="17"/>
      <c r="S205" s="17"/>
      <c r="T205" s="17"/>
      <c r="U205" s="17"/>
      <c r="V205" s="17"/>
      <c r="W205" s="17"/>
    </row>
    <row r="206" ht="14.25" customHeight="1">
      <c r="A206" s="9" t="s">
        <v>401</v>
      </c>
      <c r="B206" s="10" t="s">
        <v>402</v>
      </c>
      <c r="C206" s="11" t="s">
        <v>378</v>
      </c>
      <c r="D206" s="22" t="s">
        <v>393</v>
      </c>
      <c r="E206" s="13" t="str">
        <f t="array" ref="E206">INDEX(Turmas!C2:C103,MATCH(D206,Turmas!A2:A103,0))</f>
        <v>Noite</v>
      </c>
      <c r="F206" s="14">
        <v>60.0</v>
      </c>
      <c r="G206" s="15">
        <v>4.0</v>
      </c>
      <c r="H206" s="15">
        <v>0.0</v>
      </c>
      <c r="I206" s="16" t="str">
        <f t="shared" si="1"/>
        <v>1-12</v>
      </c>
      <c r="J206" s="16" t="str">
        <f t="shared" si="2"/>
        <v>1-12</v>
      </c>
      <c r="K206" s="16" t="str">
        <f t="shared" si="3"/>
        <v>1-12</v>
      </c>
      <c r="L206" s="16" t="str">
        <f t="shared" si="4"/>
        <v>1-12</v>
      </c>
      <c r="M206" s="16" t="str">
        <f t="shared" si="5"/>
        <v>1-12</v>
      </c>
      <c r="N206" s="16" t="str">
        <f t="shared" si="6"/>
        <v>0</v>
      </c>
      <c r="O206" s="17"/>
      <c r="P206" s="17"/>
      <c r="Q206" s="17"/>
      <c r="R206" s="17"/>
      <c r="S206" s="17"/>
      <c r="T206" s="17"/>
      <c r="U206" s="17"/>
      <c r="V206" s="17"/>
      <c r="W206" s="17"/>
    </row>
    <row r="207" ht="14.25" customHeight="1">
      <c r="A207" s="9" t="s">
        <v>403</v>
      </c>
      <c r="B207" s="10" t="s">
        <v>404</v>
      </c>
      <c r="C207" s="11" t="s">
        <v>385</v>
      </c>
      <c r="D207" s="12" t="s">
        <v>405</v>
      </c>
      <c r="E207" s="13" t="str">
        <f t="array" ref="E207">INDEX(Turmas!C2:C103,MATCH(D207,Turmas!A2:A103,0))</f>
        <v>Noite</v>
      </c>
      <c r="F207" s="14">
        <v>60.0</v>
      </c>
      <c r="G207" s="15">
        <v>3.0</v>
      </c>
      <c r="H207" s="15">
        <v>0.0</v>
      </c>
      <c r="I207" s="16" t="str">
        <f t="shared" si="1"/>
        <v>1-12</v>
      </c>
      <c r="J207" s="16" t="str">
        <f t="shared" si="2"/>
        <v>1-12</v>
      </c>
      <c r="K207" s="16" t="str">
        <f t="shared" si="3"/>
        <v>1-12</v>
      </c>
      <c r="L207" s="16" t="str">
        <f t="shared" si="4"/>
        <v>1-12</v>
      </c>
      <c r="M207" s="16" t="str">
        <f t="shared" si="5"/>
        <v>1-12</v>
      </c>
      <c r="N207" s="16" t="str">
        <f t="shared" si="6"/>
        <v>0</v>
      </c>
      <c r="O207" s="17"/>
      <c r="P207" s="17"/>
      <c r="Q207" s="17"/>
      <c r="R207" s="17"/>
      <c r="S207" s="17"/>
      <c r="T207" s="17"/>
      <c r="U207" s="17"/>
      <c r="V207" s="17"/>
      <c r="W207" s="17"/>
    </row>
    <row r="208" ht="14.25" customHeight="1">
      <c r="A208" s="9" t="s">
        <v>406</v>
      </c>
      <c r="B208" s="10" t="s">
        <v>407</v>
      </c>
      <c r="C208" s="11" t="s">
        <v>371</v>
      </c>
      <c r="D208" s="12" t="s">
        <v>405</v>
      </c>
      <c r="E208" s="13" t="str">
        <f t="array" ref="E208">INDEX(Turmas!C2:C103,MATCH(D208,Turmas!A2:A103,0))</f>
        <v>Noite</v>
      </c>
      <c r="F208" s="14">
        <v>60.0</v>
      </c>
      <c r="G208" s="15">
        <v>3.0</v>
      </c>
      <c r="H208" s="15">
        <v>0.0</v>
      </c>
      <c r="I208" s="16" t="str">
        <f t="shared" si="1"/>
        <v>1-12</v>
      </c>
      <c r="J208" s="16" t="str">
        <f t="shared" si="2"/>
        <v>1-12</v>
      </c>
      <c r="K208" s="16" t="str">
        <f t="shared" si="3"/>
        <v>1-12</v>
      </c>
      <c r="L208" s="16" t="str">
        <f t="shared" si="4"/>
        <v>1-12</v>
      </c>
      <c r="M208" s="16" t="str">
        <f t="shared" si="5"/>
        <v>1-12</v>
      </c>
      <c r="N208" s="16" t="str">
        <f t="shared" si="6"/>
        <v>0</v>
      </c>
      <c r="O208" s="17"/>
      <c r="P208" s="17"/>
      <c r="Q208" s="17"/>
      <c r="R208" s="17"/>
      <c r="S208" s="17"/>
      <c r="T208" s="17"/>
      <c r="U208" s="17"/>
      <c r="V208" s="17"/>
      <c r="W208" s="17"/>
    </row>
    <row r="209" ht="14.25" customHeight="1">
      <c r="A209" s="9" t="s">
        <v>408</v>
      </c>
      <c r="B209" s="10" t="s">
        <v>409</v>
      </c>
      <c r="C209" s="11" t="s">
        <v>385</v>
      </c>
      <c r="D209" s="12" t="s">
        <v>405</v>
      </c>
      <c r="E209" s="13" t="str">
        <f t="array" ref="E209">INDEX(Turmas!C2:C103,MATCH(D209,Turmas!A2:A103,0))</f>
        <v>Noite</v>
      </c>
      <c r="F209" s="14">
        <v>60.0</v>
      </c>
      <c r="G209" s="15">
        <v>4.0</v>
      </c>
      <c r="H209" s="15">
        <v>0.0</v>
      </c>
      <c r="I209" s="16" t="str">
        <f t="shared" si="1"/>
        <v>1-12</v>
      </c>
      <c r="J209" s="16" t="str">
        <f t="shared" si="2"/>
        <v>1-12</v>
      </c>
      <c r="K209" s="16" t="str">
        <f t="shared" si="3"/>
        <v>1-12</v>
      </c>
      <c r="L209" s="16" t="str">
        <f t="shared" si="4"/>
        <v>1-12</v>
      </c>
      <c r="M209" s="16" t="str">
        <f t="shared" si="5"/>
        <v>1-12</v>
      </c>
      <c r="N209" s="16" t="str">
        <f t="shared" si="6"/>
        <v>0</v>
      </c>
      <c r="O209" s="17"/>
      <c r="P209" s="17"/>
      <c r="Q209" s="17"/>
      <c r="R209" s="17"/>
      <c r="S209" s="17"/>
      <c r="T209" s="17"/>
      <c r="U209" s="17"/>
      <c r="V209" s="17"/>
      <c r="W209" s="17"/>
    </row>
    <row r="210" ht="14.25" customHeight="1">
      <c r="A210" s="9" t="s">
        <v>410</v>
      </c>
      <c r="B210" s="10" t="s">
        <v>411</v>
      </c>
      <c r="C210" s="11" t="s">
        <v>382</v>
      </c>
      <c r="D210" s="12" t="s">
        <v>405</v>
      </c>
      <c r="E210" s="13" t="str">
        <f t="array" ref="E210">INDEX(Turmas!C2:C103,MATCH(D210,Turmas!A2:A103,0))</f>
        <v>Noite</v>
      </c>
      <c r="F210" s="14">
        <v>60.0</v>
      </c>
      <c r="G210" s="15">
        <v>3.0</v>
      </c>
      <c r="H210" s="15">
        <v>0.0</v>
      </c>
      <c r="I210" s="16" t="str">
        <f t="shared" si="1"/>
        <v>1-12</v>
      </c>
      <c r="J210" s="16" t="str">
        <f t="shared" si="2"/>
        <v>1-12</v>
      </c>
      <c r="K210" s="16" t="str">
        <f t="shared" si="3"/>
        <v>1-12</v>
      </c>
      <c r="L210" s="16" t="str">
        <f t="shared" si="4"/>
        <v>1-12</v>
      </c>
      <c r="M210" s="16" t="str">
        <f t="shared" si="5"/>
        <v>1-12</v>
      </c>
      <c r="N210" s="16" t="str">
        <f t="shared" si="6"/>
        <v>0</v>
      </c>
      <c r="O210" s="17"/>
      <c r="P210" s="17"/>
      <c r="Q210" s="17"/>
      <c r="R210" s="17"/>
      <c r="S210" s="17"/>
      <c r="T210" s="17"/>
      <c r="U210" s="17"/>
      <c r="V210" s="17"/>
      <c r="W210" s="17"/>
    </row>
    <row r="211" ht="14.25" customHeight="1">
      <c r="A211" s="9" t="s">
        <v>412</v>
      </c>
      <c r="B211" s="10" t="s">
        <v>413</v>
      </c>
      <c r="C211" s="11" t="s">
        <v>382</v>
      </c>
      <c r="D211" s="12" t="s">
        <v>405</v>
      </c>
      <c r="E211" s="13" t="str">
        <f t="array" ref="E211">INDEX(Turmas!C2:C103,MATCH(D211,Turmas!A2:A103,0))</f>
        <v>Noite</v>
      </c>
      <c r="F211" s="14">
        <v>60.0</v>
      </c>
      <c r="G211" s="15">
        <v>3.0</v>
      </c>
      <c r="H211" s="15">
        <v>0.0</v>
      </c>
      <c r="I211" s="16" t="str">
        <f t="shared" si="1"/>
        <v>1-12</v>
      </c>
      <c r="J211" s="16" t="str">
        <f t="shared" si="2"/>
        <v>1-12</v>
      </c>
      <c r="K211" s="16" t="str">
        <f t="shared" si="3"/>
        <v>1-12</v>
      </c>
      <c r="L211" s="16" t="str">
        <f t="shared" si="4"/>
        <v>1-12</v>
      </c>
      <c r="M211" s="16" t="str">
        <f t="shared" si="5"/>
        <v>1-12</v>
      </c>
      <c r="N211" s="16" t="str">
        <f t="shared" si="6"/>
        <v>0</v>
      </c>
      <c r="O211" s="17"/>
      <c r="P211" s="17"/>
      <c r="Q211" s="17"/>
      <c r="R211" s="17"/>
      <c r="S211" s="17"/>
      <c r="T211" s="17"/>
      <c r="U211" s="17"/>
      <c r="V211" s="17"/>
      <c r="W211" s="17"/>
    </row>
    <row r="212" ht="14.25" customHeight="1">
      <c r="A212" s="9" t="s">
        <v>414</v>
      </c>
      <c r="B212" s="10" t="s">
        <v>415</v>
      </c>
      <c r="C212" s="11" t="s">
        <v>388</v>
      </c>
      <c r="D212" s="12" t="s">
        <v>405</v>
      </c>
      <c r="E212" s="13" t="str">
        <f t="array" ref="E212">INDEX(Turmas!C2:C103,MATCH(D212,Turmas!A2:A103,0))</f>
        <v>Noite</v>
      </c>
      <c r="F212" s="14">
        <v>60.0</v>
      </c>
      <c r="G212" s="15">
        <v>4.0</v>
      </c>
      <c r="H212" s="15">
        <v>0.0</v>
      </c>
      <c r="I212" s="16" t="str">
        <f t="shared" si="1"/>
        <v>1-12</v>
      </c>
      <c r="J212" s="16" t="str">
        <f t="shared" si="2"/>
        <v>1-12</v>
      </c>
      <c r="K212" s="16" t="str">
        <f t="shared" si="3"/>
        <v>1-12</v>
      </c>
      <c r="L212" s="16" t="str">
        <f t="shared" si="4"/>
        <v>1-12</v>
      </c>
      <c r="M212" s="16" t="str">
        <f t="shared" si="5"/>
        <v>1-12</v>
      </c>
      <c r="N212" s="16" t="str">
        <f t="shared" si="6"/>
        <v>0</v>
      </c>
      <c r="O212" s="17"/>
      <c r="P212" s="17"/>
      <c r="Q212" s="17"/>
      <c r="R212" s="17"/>
      <c r="S212" s="17"/>
      <c r="T212" s="17"/>
      <c r="U212" s="17"/>
      <c r="V212" s="17"/>
      <c r="W212" s="17"/>
    </row>
    <row r="213" ht="14.25" customHeight="1">
      <c r="A213" s="9" t="s">
        <v>416</v>
      </c>
      <c r="B213" s="10" t="s">
        <v>417</v>
      </c>
      <c r="C213" s="11" t="s">
        <v>418</v>
      </c>
      <c r="D213" s="12" t="s">
        <v>419</v>
      </c>
      <c r="E213" s="13" t="str">
        <f t="array" ref="E213">INDEX(Turmas!C2:C103,MATCH(D213,Turmas!A2:A103,0))</f>
        <v>Manhã</v>
      </c>
      <c r="F213" s="14">
        <v>50.0</v>
      </c>
      <c r="G213" s="15">
        <v>4.0</v>
      </c>
      <c r="H213" s="15">
        <v>0.0</v>
      </c>
      <c r="I213" s="16" t="str">
        <f t="shared" si="1"/>
        <v>7-16</v>
      </c>
      <c r="J213" s="16" t="str">
        <f t="shared" si="2"/>
        <v>7-16</v>
      </c>
      <c r="K213" s="16" t="str">
        <f t="shared" si="3"/>
        <v>7-16</v>
      </c>
      <c r="L213" s="16" t="str">
        <f t="shared" si="4"/>
        <v>7-16</v>
      </c>
      <c r="M213" s="16" t="str">
        <f t="shared" si="5"/>
        <v>7-16</v>
      </c>
      <c r="N213" s="16" t="str">
        <f t="shared" si="6"/>
        <v>1-16</v>
      </c>
      <c r="O213" s="17"/>
      <c r="P213" s="17"/>
      <c r="Q213" s="17"/>
      <c r="R213" s="17"/>
      <c r="S213" s="17"/>
      <c r="T213" s="17"/>
      <c r="U213" s="17"/>
      <c r="V213" s="17"/>
      <c r="W213" s="17"/>
    </row>
    <row r="214" ht="14.25" customHeight="1">
      <c r="A214" s="9" t="s">
        <v>420</v>
      </c>
      <c r="B214" s="10" t="s">
        <v>421</v>
      </c>
      <c r="C214" s="11" t="s">
        <v>219</v>
      </c>
      <c r="D214" s="12" t="s">
        <v>419</v>
      </c>
      <c r="E214" s="13" t="str">
        <f t="array" ref="E214">INDEX(Turmas!C2:C103,MATCH(D214,Turmas!A2:A103,0))</f>
        <v>Manhã</v>
      </c>
      <c r="F214" s="14">
        <v>50.0</v>
      </c>
      <c r="G214" s="15">
        <v>6.0</v>
      </c>
      <c r="H214" s="15">
        <v>0.0</v>
      </c>
      <c r="I214" s="16" t="str">
        <f t="shared" si="1"/>
        <v>7-16</v>
      </c>
      <c r="J214" s="16" t="str">
        <f t="shared" si="2"/>
        <v>7-16</v>
      </c>
      <c r="K214" s="16" t="str">
        <f t="shared" si="3"/>
        <v>7-16</v>
      </c>
      <c r="L214" s="16" t="str">
        <f t="shared" si="4"/>
        <v>7-16</v>
      </c>
      <c r="M214" s="16" t="str">
        <f t="shared" si="5"/>
        <v>7-16</v>
      </c>
      <c r="N214" s="16" t="str">
        <f t="shared" si="6"/>
        <v>1-16</v>
      </c>
      <c r="O214" s="17"/>
      <c r="P214" s="17"/>
      <c r="Q214" s="17"/>
      <c r="R214" s="17"/>
      <c r="S214" s="17"/>
      <c r="T214" s="17"/>
      <c r="U214" s="17"/>
      <c r="V214" s="17"/>
      <c r="W214" s="17"/>
    </row>
    <row r="215" ht="14.25" customHeight="1">
      <c r="A215" s="9" t="s">
        <v>176</v>
      </c>
      <c r="B215" s="10" t="s">
        <v>46</v>
      </c>
      <c r="C215" s="11" t="s">
        <v>62</v>
      </c>
      <c r="D215" s="12" t="s">
        <v>419</v>
      </c>
      <c r="E215" s="13" t="str">
        <f t="array" ref="E215">INDEX(Turmas!C2:C103,MATCH(D215,Turmas!A2:A103,0))</f>
        <v>Manhã</v>
      </c>
      <c r="F215" s="14">
        <v>50.0</v>
      </c>
      <c r="G215" s="15">
        <v>4.0</v>
      </c>
      <c r="H215" s="15">
        <v>0.0</v>
      </c>
      <c r="I215" s="16" t="str">
        <f t="shared" si="1"/>
        <v>7-16</v>
      </c>
      <c r="J215" s="16" t="str">
        <f t="shared" si="2"/>
        <v>7-16</v>
      </c>
      <c r="K215" s="16" t="str">
        <f t="shared" si="3"/>
        <v>7-16</v>
      </c>
      <c r="L215" s="16" t="str">
        <f t="shared" si="4"/>
        <v>7-16</v>
      </c>
      <c r="M215" s="16" t="str">
        <f t="shared" si="5"/>
        <v>7-16</v>
      </c>
      <c r="N215" s="16" t="str">
        <f t="shared" si="6"/>
        <v>1-16</v>
      </c>
      <c r="O215" s="17"/>
      <c r="P215" s="17"/>
      <c r="Q215" s="17"/>
      <c r="R215" s="17"/>
      <c r="S215" s="17"/>
      <c r="T215" s="17"/>
      <c r="U215" s="17"/>
      <c r="V215" s="17"/>
      <c r="W215" s="17"/>
    </row>
    <row r="216" ht="14.25" customHeight="1">
      <c r="A216" s="9" t="s">
        <v>422</v>
      </c>
      <c r="B216" s="10" t="s">
        <v>423</v>
      </c>
      <c r="C216" s="11" t="s">
        <v>424</v>
      </c>
      <c r="D216" s="12" t="s">
        <v>419</v>
      </c>
      <c r="E216" s="13" t="str">
        <f t="array" ref="E216">INDEX(Turmas!C2:C103,MATCH(D216,Turmas!A2:A103,0))</f>
        <v>Manhã</v>
      </c>
      <c r="F216" s="14">
        <v>50.0</v>
      </c>
      <c r="G216" s="15">
        <v>3.0</v>
      </c>
      <c r="H216" s="15">
        <v>0.0</v>
      </c>
      <c r="I216" s="16" t="str">
        <f t="shared" si="1"/>
        <v>7-16</v>
      </c>
      <c r="J216" s="16" t="str">
        <f t="shared" si="2"/>
        <v>7-16</v>
      </c>
      <c r="K216" s="16" t="str">
        <f t="shared" si="3"/>
        <v>7-16</v>
      </c>
      <c r="L216" s="16" t="str">
        <f t="shared" si="4"/>
        <v>7-16</v>
      </c>
      <c r="M216" s="16" t="str">
        <f t="shared" si="5"/>
        <v>7-16</v>
      </c>
      <c r="N216" s="16" t="str">
        <f t="shared" si="6"/>
        <v>1-16</v>
      </c>
      <c r="O216" s="17"/>
      <c r="P216" s="17"/>
      <c r="Q216" s="17"/>
      <c r="R216" s="17"/>
      <c r="S216" s="17"/>
      <c r="T216" s="17"/>
      <c r="U216" s="17"/>
      <c r="V216" s="17"/>
      <c r="W216" s="17"/>
    </row>
    <row r="217" ht="14.25" customHeight="1">
      <c r="A217" s="9" t="s">
        <v>425</v>
      </c>
      <c r="B217" s="10" t="s">
        <v>426</v>
      </c>
      <c r="C217" s="11" t="s">
        <v>427</v>
      </c>
      <c r="D217" s="12" t="s">
        <v>419</v>
      </c>
      <c r="E217" s="13" t="str">
        <f t="array" ref="E217">INDEX(Turmas!C2:C103,MATCH(D217,Turmas!A2:A103,0))</f>
        <v>Manhã</v>
      </c>
      <c r="F217" s="14">
        <v>50.0</v>
      </c>
      <c r="G217" s="15">
        <v>7.0</v>
      </c>
      <c r="H217" s="15">
        <v>0.0</v>
      </c>
      <c r="I217" s="16" t="str">
        <f t="shared" si="1"/>
        <v>7-16</v>
      </c>
      <c r="J217" s="16" t="str">
        <f t="shared" si="2"/>
        <v>7-16</v>
      </c>
      <c r="K217" s="16" t="str">
        <f t="shared" si="3"/>
        <v>7-16</v>
      </c>
      <c r="L217" s="16" t="str">
        <f t="shared" si="4"/>
        <v>7-16</v>
      </c>
      <c r="M217" s="16" t="str">
        <f t="shared" si="5"/>
        <v>7-16</v>
      </c>
      <c r="N217" s="16" t="str">
        <f t="shared" si="6"/>
        <v>1-16</v>
      </c>
      <c r="O217" s="17"/>
      <c r="P217" s="17"/>
      <c r="Q217" s="17"/>
      <c r="R217" s="17"/>
      <c r="S217" s="17"/>
      <c r="T217" s="17"/>
      <c r="U217" s="17"/>
      <c r="V217" s="17"/>
      <c r="W217" s="17"/>
    </row>
    <row r="218" ht="14.25" customHeight="1">
      <c r="A218" s="9" t="s">
        <v>428</v>
      </c>
      <c r="B218" s="10" t="s">
        <v>285</v>
      </c>
      <c r="C218" s="11" t="s">
        <v>429</v>
      </c>
      <c r="D218" s="12" t="s">
        <v>419</v>
      </c>
      <c r="E218" s="13" t="str">
        <f t="array" ref="E218">INDEX(Turmas!C2:C103,MATCH(D218,Turmas!A2:A103,0))</f>
        <v>Manhã</v>
      </c>
      <c r="F218" s="14">
        <v>50.0</v>
      </c>
      <c r="G218" s="15">
        <v>5.0</v>
      </c>
      <c r="H218" s="15">
        <v>0.0</v>
      </c>
      <c r="I218" s="16" t="str">
        <f t="shared" si="1"/>
        <v>7-16</v>
      </c>
      <c r="J218" s="16" t="str">
        <f t="shared" si="2"/>
        <v>7-16</v>
      </c>
      <c r="K218" s="16" t="str">
        <f t="shared" si="3"/>
        <v>7-16</v>
      </c>
      <c r="L218" s="16" t="str">
        <f t="shared" si="4"/>
        <v>7-16</v>
      </c>
      <c r="M218" s="16" t="str">
        <f t="shared" si="5"/>
        <v>7-16</v>
      </c>
      <c r="N218" s="16" t="str">
        <f t="shared" si="6"/>
        <v>1-16</v>
      </c>
      <c r="O218" s="17"/>
      <c r="P218" s="17"/>
      <c r="Q218" s="17"/>
      <c r="R218" s="17"/>
      <c r="S218" s="17"/>
      <c r="T218" s="17"/>
      <c r="U218" s="17"/>
      <c r="V218" s="17"/>
      <c r="W218" s="17"/>
    </row>
    <row r="219" ht="14.25" customHeight="1">
      <c r="A219" s="9" t="s">
        <v>430</v>
      </c>
      <c r="B219" s="10" t="s">
        <v>431</v>
      </c>
      <c r="C219" s="11" t="s">
        <v>432</v>
      </c>
      <c r="D219" s="12" t="s">
        <v>433</v>
      </c>
      <c r="E219" s="13" t="str">
        <f t="array" ref="E219">INDEX(Turmas!C2:C103,MATCH(D219,Turmas!A2:A103,0))</f>
        <v>Tarde</v>
      </c>
      <c r="F219" s="14">
        <v>50.0</v>
      </c>
      <c r="G219" s="15">
        <v>5.0</v>
      </c>
      <c r="H219" s="15">
        <v>0.0</v>
      </c>
      <c r="I219" s="16" t="str">
        <f t="shared" si="1"/>
        <v>1-6,13-16</v>
      </c>
      <c r="J219" s="16" t="str">
        <f t="shared" si="2"/>
        <v>1-6,13-16</v>
      </c>
      <c r="K219" s="16" t="str">
        <f t="shared" si="3"/>
        <v>1-6,13-16</v>
      </c>
      <c r="L219" s="16" t="str">
        <f t="shared" si="4"/>
        <v>1-6,13-16</v>
      </c>
      <c r="M219" s="16" t="str">
        <f t="shared" si="5"/>
        <v>1-6,13-16</v>
      </c>
      <c r="N219" s="16" t="str">
        <f t="shared" si="6"/>
        <v>1-16</v>
      </c>
      <c r="O219" s="17"/>
      <c r="P219" s="17"/>
      <c r="Q219" s="17"/>
      <c r="R219" s="17"/>
      <c r="S219" s="17"/>
      <c r="T219" s="17"/>
      <c r="U219" s="17"/>
      <c r="V219" s="17"/>
      <c r="W219" s="17"/>
    </row>
    <row r="220" ht="14.25" customHeight="1">
      <c r="A220" s="9" t="s">
        <v>434</v>
      </c>
      <c r="B220" s="10" t="s">
        <v>435</v>
      </c>
      <c r="C220" s="11" t="s">
        <v>418</v>
      </c>
      <c r="D220" s="12" t="s">
        <v>433</v>
      </c>
      <c r="E220" s="13" t="str">
        <f t="array" ref="E220">INDEX(Turmas!C2:C103,MATCH(D220,Turmas!A2:A103,0))</f>
        <v>Tarde</v>
      </c>
      <c r="F220" s="14">
        <v>54.0</v>
      </c>
      <c r="G220" s="15">
        <v>5.0</v>
      </c>
      <c r="H220" s="15">
        <v>0.0</v>
      </c>
      <c r="I220" s="16" t="str">
        <f t="shared" si="1"/>
        <v>1-6,13-16</v>
      </c>
      <c r="J220" s="16" t="str">
        <f t="shared" si="2"/>
        <v>1-6,13-16</v>
      </c>
      <c r="K220" s="16" t="str">
        <f t="shared" si="3"/>
        <v>1-6,13-16</v>
      </c>
      <c r="L220" s="16" t="str">
        <f t="shared" si="4"/>
        <v>1-6,13-16</v>
      </c>
      <c r="M220" s="16" t="str">
        <f t="shared" si="5"/>
        <v>1-6,13-16</v>
      </c>
      <c r="N220" s="16" t="str">
        <f t="shared" si="6"/>
        <v>1-16</v>
      </c>
      <c r="O220" s="17"/>
      <c r="P220" s="17"/>
      <c r="Q220" s="17"/>
      <c r="R220" s="17"/>
      <c r="S220" s="17"/>
      <c r="T220" s="17"/>
      <c r="U220" s="17"/>
      <c r="V220" s="17"/>
      <c r="W220" s="17"/>
    </row>
    <row r="221" ht="14.25" customHeight="1">
      <c r="A221" s="9" t="s">
        <v>436</v>
      </c>
      <c r="B221" s="10" t="s">
        <v>437</v>
      </c>
      <c r="C221" s="11" t="s">
        <v>438</v>
      </c>
      <c r="D221" s="12" t="s">
        <v>433</v>
      </c>
      <c r="E221" s="13" t="str">
        <f t="array" ref="E221">INDEX(Turmas!C2:C103,MATCH(D221,Turmas!A2:A103,0))</f>
        <v>Tarde</v>
      </c>
      <c r="F221" s="14">
        <v>50.0</v>
      </c>
      <c r="G221" s="15">
        <v>3.0</v>
      </c>
      <c r="H221" s="15">
        <v>0.0</v>
      </c>
      <c r="I221" s="16" t="str">
        <f t="shared" si="1"/>
        <v>1-6,13-16</v>
      </c>
      <c r="J221" s="16" t="str">
        <f t="shared" si="2"/>
        <v>1-6,13-16</v>
      </c>
      <c r="K221" s="16" t="str">
        <f t="shared" si="3"/>
        <v>1-6,13-16</v>
      </c>
      <c r="L221" s="16" t="str">
        <f t="shared" si="4"/>
        <v>1-6,13-16</v>
      </c>
      <c r="M221" s="16" t="str">
        <f t="shared" si="5"/>
        <v>1-6,13-16</v>
      </c>
      <c r="N221" s="16" t="str">
        <f t="shared" si="6"/>
        <v>1-16</v>
      </c>
      <c r="O221" s="17"/>
      <c r="P221" s="17"/>
      <c r="Q221" s="17"/>
      <c r="R221" s="17"/>
      <c r="S221" s="17"/>
      <c r="T221" s="17"/>
      <c r="U221" s="17"/>
      <c r="V221" s="17"/>
      <c r="W221" s="17"/>
    </row>
    <row r="222" ht="14.25" customHeight="1">
      <c r="A222" s="9" t="s">
        <v>439</v>
      </c>
      <c r="B222" s="10" t="s">
        <v>440</v>
      </c>
      <c r="C222" s="11" t="s">
        <v>441</v>
      </c>
      <c r="D222" s="12" t="s">
        <v>433</v>
      </c>
      <c r="E222" s="13" t="str">
        <f t="array" ref="E222">INDEX(Turmas!C2:C103,MATCH(D222,Turmas!A2:A103,0))</f>
        <v>Tarde</v>
      </c>
      <c r="F222" s="14">
        <v>50.0</v>
      </c>
      <c r="G222" s="15">
        <v>5.0</v>
      </c>
      <c r="H222" s="15">
        <v>0.0</v>
      </c>
      <c r="I222" s="16" t="str">
        <f t="shared" si="1"/>
        <v>1-6,13-16</v>
      </c>
      <c r="J222" s="16" t="str">
        <f t="shared" si="2"/>
        <v>1-6,13-16</v>
      </c>
      <c r="K222" s="16" t="str">
        <f t="shared" si="3"/>
        <v>1-6,13-16</v>
      </c>
      <c r="L222" s="16" t="str">
        <f t="shared" si="4"/>
        <v>1-6,13-16</v>
      </c>
      <c r="M222" s="16" t="str">
        <f t="shared" si="5"/>
        <v>1-6,13-16</v>
      </c>
      <c r="N222" s="16" t="str">
        <f t="shared" si="6"/>
        <v>1-16</v>
      </c>
      <c r="O222" s="17"/>
      <c r="P222" s="17"/>
      <c r="Q222" s="17"/>
      <c r="R222" s="17"/>
      <c r="S222" s="17"/>
      <c r="T222" s="17"/>
      <c r="U222" s="17"/>
      <c r="V222" s="17"/>
      <c r="W222" s="17"/>
    </row>
    <row r="223" ht="14.25" customHeight="1">
      <c r="A223" s="9" t="s">
        <v>442</v>
      </c>
      <c r="B223" s="10" t="s">
        <v>279</v>
      </c>
      <c r="C223" s="11" t="s">
        <v>388</v>
      </c>
      <c r="D223" s="12" t="s">
        <v>433</v>
      </c>
      <c r="E223" s="13" t="str">
        <f t="array" ref="E223">INDEX(Turmas!C2:C103,MATCH(D223,Turmas!A2:A103,0))</f>
        <v>Tarde</v>
      </c>
      <c r="F223" s="14">
        <v>50.0</v>
      </c>
      <c r="G223" s="15">
        <v>3.0</v>
      </c>
      <c r="H223" s="15">
        <v>0.0</v>
      </c>
      <c r="I223" s="16" t="str">
        <f t="shared" si="1"/>
        <v>1-6,13-16</v>
      </c>
      <c r="J223" s="16" t="str">
        <f t="shared" si="2"/>
        <v>1-6,13-16</v>
      </c>
      <c r="K223" s="16" t="str">
        <f t="shared" si="3"/>
        <v>1-6,13-16</v>
      </c>
      <c r="L223" s="16" t="str">
        <f t="shared" si="4"/>
        <v>1-6,13-16</v>
      </c>
      <c r="M223" s="16" t="str">
        <f t="shared" si="5"/>
        <v>1-6,13-16</v>
      </c>
      <c r="N223" s="16" t="str">
        <f t="shared" si="6"/>
        <v>1-16</v>
      </c>
      <c r="O223" s="17"/>
      <c r="P223" s="17"/>
      <c r="Q223" s="17"/>
      <c r="R223" s="17"/>
      <c r="S223" s="17"/>
      <c r="T223" s="17"/>
      <c r="U223" s="17"/>
      <c r="V223" s="17"/>
      <c r="W223" s="17"/>
    </row>
    <row r="224" ht="14.25" customHeight="1">
      <c r="A224" s="9" t="s">
        <v>443</v>
      </c>
      <c r="B224" s="10" t="s">
        <v>444</v>
      </c>
      <c r="C224" s="11" t="s">
        <v>373</v>
      </c>
      <c r="D224" s="12" t="s">
        <v>433</v>
      </c>
      <c r="E224" s="13" t="str">
        <f t="array" ref="E224">INDEX(Turmas!C2:C103,MATCH(D224,Turmas!A2:A103,0))</f>
        <v>Tarde</v>
      </c>
      <c r="F224" s="14">
        <v>50.0</v>
      </c>
      <c r="G224" s="15">
        <v>4.0</v>
      </c>
      <c r="H224" s="15">
        <v>0.0</v>
      </c>
      <c r="I224" s="16" t="str">
        <f t="shared" si="1"/>
        <v>1-6,13-16</v>
      </c>
      <c r="J224" s="16" t="str">
        <f t="shared" si="2"/>
        <v>1-6,13-16</v>
      </c>
      <c r="K224" s="16" t="str">
        <f t="shared" si="3"/>
        <v>1-6,13-16</v>
      </c>
      <c r="L224" s="16" t="str">
        <f t="shared" si="4"/>
        <v>1-6,13-16</v>
      </c>
      <c r="M224" s="16" t="str">
        <f t="shared" si="5"/>
        <v>1-6,13-16</v>
      </c>
      <c r="N224" s="16" t="str">
        <f t="shared" si="6"/>
        <v>1-16</v>
      </c>
      <c r="O224" s="17"/>
      <c r="P224" s="17"/>
      <c r="Q224" s="17"/>
      <c r="R224" s="17"/>
      <c r="S224" s="17"/>
      <c r="T224" s="17"/>
      <c r="U224" s="17"/>
      <c r="V224" s="17"/>
      <c r="W224" s="17"/>
    </row>
    <row r="225" ht="14.25" customHeight="1">
      <c r="A225" s="9" t="s">
        <v>445</v>
      </c>
      <c r="B225" s="10" t="s">
        <v>446</v>
      </c>
      <c r="C225" s="11" t="s">
        <v>447</v>
      </c>
      <c r="D225" s="12" t="s">
        <v>448</v>
      </c>
      <c r="E225" s="13" t="str">
        <f t="array" ref="E225">INDEX(Turmas!C2:C103,MATCH(D225,Turmas!A2:A103,0))</f>
        <v>Manhã</v>
      </c>
      <c r="F225" s="14">
        <v>50.0</v>
      </c>
      <c r="G225" s="15">
        <v>4.0</v>
      </c>
      <c r="H225" s="15">
        <v>0.0</v>
      </c>
      <c r="I225" s="16" t="str">
        <f t="shared" si="1"/>
        <v>7-16</v>
      </c>
      <c r="J225" s="16" t="str">
        <f t="shared" si="2"/>
        <v>7-16</v>
      </c>
      <c r="K225" s="16" t="str">
        <f t="shared" si="3"/>
        <v>7-16</v>
      </c>
      <c r="L225" s="16" t="str">
        <f t="shared" si="4"/>
        <v>7-16</v>
      </c>
      <c r="M225" s="16" t="str">
        <f t="shared" si="5"/>
        <v>7-16</v>
      </c>
      <c r="N225" s="16" t="str">
        <f t="shared" si="6"/>
        <v>1-16</v>
      </c>
      <c r="O225" s="17"/>
      <c r="P225" s="17"/>
      <c r="Q225" s="17"/>
      <c r="R225" s="17"/>
      <c r="S225" s="17"/>
      <c r="T225" s="17"/>
      <c r="U225" s="17"/>
      <c r="V225" s="17"/>
      <c r="W225" s="17"/>
    </row>
    <row r="226" ht="14.25" customHeight="1">
      <c r="A226" s="9" t="s">
        <v>449</v>
      </c>
      <c r="B226" s="10" t="s">
        <v>450</v>
      </c>
      <c r="C226" s="11" t="s">
        <v>249</v>
      </c>
      <c r="D226" s="12" t="s">
        <v>448</v>
      </c>
      <c r="E226" s="13" t="str">
        <f t="array" ref="E226">INDEX(Turmas!C2:C103,MATCH(D226,Turmas!A2:A103,0))</f>
        <v>Manhã</v>
      </c>
      <c r="F226" s="14">
        <v>50.0</v>
      </c>
      <c r="G226" s="15">
        <v>2.0</v>
      </c>
      <c r="H226" s="15">
        <v>0.0</v>
      </c>
      <c r="I226" s="16" t="str">
        <f t="shared" si="1"/>
        <v>7-16</v>
      </c>
      <c r="J226" s="16" t="str">
        <f t="shared" si="2"/>
        <v>7-16</v>
      </c>
      <c r="K226" s="16" t="str">
        <f t="shared" si="3"/>
        <v>7-16</v>
      </c>
      <c r="L226" s="16" t="str">
        <f t="shared" si="4"/>
        <v>7-16</v>
      </c>
      <c r="M226" s="16" t="str">
        <f t="shared" si="5"/>
        <v>7-16</v>
      </c>
      <c r="N226" s="16" t="str">
        <f t="shared" si="6"/>
        <v>1-16</v>
      </c>
      <c r="O226" s="17"/>
      <c r="P226" s="17"/>
      <c r="Q226" s="17"/>
      <c r="R226" s="17"/>
      <c r="S226" s="17"/>
      <c r="T226" s="17"/>
      <c r="U226" s="17"/>
      <c r="V226" s="17"/>
      <c r="W226" s="17"/>
    </row>
    <row r="227" ht="14.25" customHeight="1">
      <c r="A227" s="9" t="s">
        <v>451</v>
      </c>
      <c r="B227" s="10" t="s">
        <v>402</v>
      </c>
      <c r="C227" s="11" t="s">
        <v>388</v>
      </c>
      <c r="D227" s="12" t="s">
        <v>448</v>
      </c>
      <c r="E227" s="13" t="str">
        <f t="array" ref="E227">INDEX(Turmas!C2:C103,MATCH(D227,Turmas!A2:A103,0))</f>
        <v>Manhã</v>
      </c>
      <c r="F227" s="14">
        <v>50.0</v>
      </c>
      <c r="G227" s="15">
        <v>4.0</v>
      </c>
      <c r="H227" s="15">
        <v>0.0</v>
      </c>
      <c r="I227" s="16" t="str">
        <f t="shared" si="1"/>
        <v>7-16</v>
      </c>
      <c r="J227" s="16" t="str">
        <f t="shared" si="2"/>
        <v>7-16</v>
      </c>
      <c r="K227" s="16" t="str">
        <f t="shared" si="3"/>
        <v>7-16</v>
      </c>
      <c r="L227" s="16" t="str">
        <f t="shared" si="4"/>
        <v>7-16</v>
      </c>
      <c r="M227" s="16" t="str">
        <f t="shared" si="5"/>
        <v>7-16</v>
      </c>
      <c r="N227" s="16" t="str">
        <f t="shared" si="6"/>
        <v>1-16</v>
      </c>
      <c r="O227" s="17"/>
      <c r="P227" s="17"/>
      <c r="Q227" s="17"/>
      <c r="R227" s="17"/>
      <c r="S227" s="17"/>
      <c r="T227" s="17"/>
      <c r="U227" s="17"/>
      <c r="V227" s="17"/>
      <c r="W227" s="17"/>
    </row>
    <row r="228" ht="14.25" customHeight="1">
      <c r="A228" s="9" t="s">
        <v>452</v>
      </c>
      <c r="B228" s="10" t="s">
        <v>453</v>
      </c>
      <c r="C228" s="11" t="s">
        <v>447</v>
      </c>
      <c r="D228" s="12" t="s">
        <v>448</v>
      </c>
      <c r="E228" s="13" t="str">
        <f t="array" ref="E228">INDEX(Turmas!C2:C103,MATCH(D228,Turmas!A2:A103,0))</f>
        <v>Manhã</v>
      </c>
      <c r="F228" s="14">
        <v>50.0</v>
      </c>
      <c r="G228" s="15">
        <v>4.0</v>
      </c>
      <c r="H228" s="15">
        <v>0.0</v>
      </c>
      <c r="I228" s="16" t="str">
        <f t="shared" si="1"/>
        <v>7-16</v>
      </c>
      <c r="J228" s="16" t="str">
        <f t="shared" si="2"/>
        <v>7-16</v>
      </c>
      <c r="K228" s="16" t="str">
        <f t="shared" si="3"/>
        <v>7-16</v>
      </c>
      <c r="L228" s="16" t="str">
        <f t="shared" si="4"/>
        <v>7-16</v>
      </c>
      <c r="M228" s="16" t="str">
        <f t="shared" si="5"/>
        <v>7-16</v>
      </c>
      <c r="N228" s="16" t="str">
        <f t="shared" si="6"/>
        <v>1-16</v>
      </c>
      <c r="O228" s="17"/>
      <c r="P228" s="17"/>
      <c r="Q228" s="17"/>
      <c r="R228" s="17"/>
      <c r="S228" s="17"/>
      <c r="T228" s="17"/>
      <c r="U228" s="17"/>
      <c r="V228" s="17"/>
      <c r="W228" s="17"/>
    </row>
    <row r="229" ht="14.25" customHeight="1">
      <c r="A229" s="9" t="s">
        <v>454</v>
      </c>
      <c r="B229" s="10" t="s">
        <v>455</v>
      </c>
      <c r="C229" s="11" t="s">
        <v>456</v>
      </c>
      <c r="D229" s="12" t="s">
        <v>448</v>
      </c>
      <c r="E229" s="13" t="str">
        <f t="array" ref="E229">INDEX(Turmas!C2:C103,MATCH(D229,Turmas!A2:A103,0))</f>
        <v>Manhã</v>
      </c>
      <c r="F229" s="14">
        <v>50.0</v>
      </c>
      <c r="G229" s="15">
        <v>3.0</v>
      </c>
      <c r="H229" s="15">
        <v>0.0</v>
      </c>
      <c r="I229" s="16" t="str">
        <f t="shared" si="1"/>
        <v>7-16</v>
      </c>
      <c r="J229" s="16" t="str">
        <f t="shared" si="2"/>
        <v>7-16</v>
      </c>
      <c r="K229" s="16" t="str">
        <f t="shared" si="3"/>
        <v>7-16</v>
      </c>
      <c r="L229" s="16" t="str">
        <f t="shared" si="4"/>
        <v>7-16</v>
      </c>
      <c r="M229" s="16" t="str">
        <f t="shared" si="5"/>
        <v>7-16</v>
      </c>
      <c r="N229" s="16" t="str">
        <f t="shared" si="6"/>
        <v>1-16</v>
      </c>
      <c r="O229" s="17"/>
      <c r="P229" s="17"/>
      <c r="Q229" s="17"/>
      <c r="R229" s="17"/>
      <c r="S229" s="17"/>
      <c r="T229" s="17"/>
      <c r="U229" s="17"/>
      <c r="V229" s="17"/>
      <c r="W229" s="17"/>
    </row>
    <row r="230" ht="14.25" customHeight="1">
      <c r="A230" s="9" t="s">
        <v>457</v>
      </c>
      <c r="B230" s="10" t="s">
        <v>458</v>
      </c>
      <c r="C230" s="11" t="s">
        <v>237</v>
      </c>
      <c r="D230" s="12" t="s">
        <v>448</v>
      </c>
      <c r="E230" s="13" t="str">
        <f t="array" ref="E230">INDEX(Turmas!C2:C103,MATCH(D230,Turmas!A2:A103,0))</f>
        <v>Manhã</v>
      </c>
      <c r="F230" s="14">
        <v>50.0</v>
      </c>
      <c r="G230" s="15">
        <v>4.0</v>
      </c>
      <c r="H230" s="15">
        <v>0.0</v>
      </c>
      <c r="I230" s="16" t="str">
        <f t="shared" si="1"/>
        <v>7-16</v>
      </c>
      <c r="J230" s="16" t="str">
        <f t="shared" si="2"/>
        <v>7-16</v>
      </c>
      <c r="K230" s="16" t="str">
        <f t="shared" si="3"/>
        <v>7-16</v>
      </c>
      <c r="L230" s="16" t="str">
        <f t="shared" si="4"/>
        <v>7-16</v>
      </c>
      <c r="M230" s="16" t="str">
        <f t="shared" si="5"/>
        <v>7-16</v>
      </c>
      <c r="N230" s="16" t="str">
        <f t="shared" si="6"/>
        <v>1-16</v>
      </c>
      <c r="O230" s="17"/>
      <c r="P230" s="17"/>
      <c r="Q230" s="17"/>
      <c r="R230" s="17"/>
      <c r="S230" s="17"/>
      <c r="T230" s="17"/>
      <c r="U230" s="17"/>
      <c r="V230" s="17"/>
      <c r="W230" s="17"/>
    </row>
    <row r="231" ht="14.25" customHeight="1">
      <c r="A231" s="9" t="s">
        <v>459</v>
      </c>
      <c r="B231" s="10" t="s">
        <v>400</v>
      </c>
      <c r="C231" s="11" t="s">
        <v>373</v>
      </c>
      <c r="D231" s="12" t="s">
        <v>460</v>
      </c>
      <c r="E231" s="13" t="str">
        <f t="array" ref="E231">INDEX(Turmas!C2:C103,MATCH(D231,Turmas!A2:A103,0))</f>
        <v>Tarde</v>
      </c>
      <c r="F231" s="14">
        <v>50.0</v>
      </c>
      <c r="G231" s="15">
        <v>5.0</v>
      </c>
      <c r="H231" s="15">
        <v>0.0</v>
      </c>
      <c r="I231" s="16" t="str">
        <f t="shared" si="1"/>
        <v>1-6,13-16</v>
      </c>
      <c r="J231" s="16" t="str">
        <f t="shared" si="2"/>
        <v>1-6,13-16</v>
      </c>
      <c r="K231" s="16" t="str">
        <f t="shared" si="3"/>
        <v>1-6,13-16</v>
      </c>
      <c r="L231" s="16" t="str">
        <f t="shared" si="4"/>
        <v>1-6,13-16</v>
      </c>
      <c r="M231" s="16" t="str">
        <f t="shared" si="5"/>
        <v>1-6,13-16</v>
      </c>
      <c r="N231" s="16" t="str">
        <f t="shared" si="6"/>
        <v>1-16</v>
      </c>
      <c r="O231" s="17"/>
      <c r="P231" s="17"/>
      <c r="Q231" s="17"/>
      <c r="R231" s="17"/>
      <c r="S231" s="17"/>
      <c r="T231" s="17"/>
      <c r="U231" s="17"/>
      <c r="V231" s="17"/>
      <c r="W231" s="17"/>
    </row>
    <row r="232" ht="14.25" customHeight="1">
      <c r="A232" s="9" t="s">
        <v>461</v>
      </c>
      <c r="B232" s="10" t="s">
        <v>392</v>
      </c>
      <c r="C232" s="11" t="s">
        <v>462</v>
      </c>
      <c r="D232" s="12" t="s">
        <v>460</v>
      </c>
      <c r="E232" s="13" t="str">
        <f t="array" ref="E232">INDEX(Turmas!C2:C103,MATCH(D232,Turmas!A2:A103,0))</f>
        <v>Tarde</v>
      </c>
      <c r="F232" s="14">
        <v>50.0</v>
      </c>
      <c r="G232" s="15">
        <v>4.0</v>
      </c>
      <c r="H232" s="15">
        <v>0.0</v>
      </c>
      <c r="I232" s="16" t="str">
        <f t="shared" si="1"/>
        <v>1-6,13-16</v>
      </c>
      <c r="J232" s="16" t="str">
        <f t="shared" si="2"/>
        <v>1-6,13-16</v>
      </c>
      <c r="K232" s="16" t="str">
        <f t="shared" si="3"/>
        <v>1-6,13-16</v>
      </c>
      <c r="L232" s="16" t="str">
        <f t="shared" si="4"/>
        <v>1-6,13-16</v>
      </c>
      <c r="M232" s="16" t="str">
        <f t="shared" si="5"/>
        <v>1-6,13-16</v>
      </c>
      <c r="N232" s="16" t="str">
        <f t="shared" si="6"/>
        <v>1-16</v>
      </c>
      <c r="O232" s="17"/>
      <c r="P232" s="17"/>
      <c r="Q232" s="17"/>
      <c r="R232" s="17"/>
      <c r="S232" s="17"/>
      <c r="T232" s="17"/>
      <c r="U232" s="17"/>
      <c r="V232" s="17"/>
      <c r="W232" s="17"/>
    </row>
    <row r="233" ht="14.25" customHeight="1">
      <c r="A233" s="9" t="s">
        <v>463</v>
      </c>
      <c r="B233" s="10" t="s">
        <v>464</v>
      </c>
      <c r="C233" s="11" t="s">
        <v>447</v>
      </c>
      <c r="D233" s="12" t="s">
        <v>460</v>
      </c>
      <c r="E233" s="13" t="str">
        <f t="array" ref="E233">INDEX(Turmas!C2:C103,MATCH(D233,Turmas!A2:A103,0))</f>
        <v>Tarde</v>
      </c>
      <c r="F233" s="14">
        <v>50.0</v>
      </c>
      <c r="G233" s="15">
        <v>4.0</v>
      </c>
      <c r="H233" s="15">
        <v>0.0</v>
      </c>
      <c r="I233" s="16" t="str">
        <f t="shared" si="1"/>
        <v>1-6,13-16</v>
      </c>
      <c r="J233" s="16" t="str">
        <f t="shared" si="2"/>
        <v>1-6,13-16</v>
      </c>
      <c r="K233" s="16" t="str">
        <f t="shared" si="3"/>
        <v>1-6,13-16</v>
      </c>
      <c r="L233" s="16" t="str">
        <f t="shared" si="4"/>
        <v>1-6,13-16</v>
      </c>
      <c r="M233" s="16" t="str">
        <f t="shared" si="5"/>
        <v>1-6,13-16</v>
      </c>
      <c r="N233" s="16" t="str">
        <f t="shared" si="6"/>
        <v>1-16</v>
      </c>
      <c r="O233" s="17"/>
      <c r="P233" s="17"/>
      <c r="Q233" s="17"/>
      <c r="R233" s="17"/>
      <c r="S233" s="17"/>
      <c r="T233" s="17"/>
      <c r="U233" s="17"/>
      <c r="V233" s="17"/>
      <c r="W233" s="17"/>
    </row>
    <row r="234" ht="14.25" customHeight="1">
      <c r="A234" s="9" t="s">
        <v>465</v>
      </c>
      <c r="B234" s="10" t="s">
        <v>466</v>
      </c>
      <c r="C234" s="11" t="s">
        <v>398</v>
      </c>
      <c r="D234" s="12" t="s">
        <v>460</v>
      </c>
      <c r="E234" s="13" t="str">
        <f t="array" ref="E234">INDEX(Turmas!C2:C103,MATCH(D234,Turmas!A2:A103,0))</f>
        <v>Tarde</v>
      </c>
      <c r="F234" s="14">
        <v>50.0</v>
      </c>
      <c r="G234" s="15">
        <v>4.0</v>
      </c>
      <c r="H234" s="15">
        <v>0.0</v>
      </c>
      <c r="I234" s="16" t="str">
        <f t="shared" si="1"/>
        <v>1-6,13-16</v>
      </c>
      <c r="J234" s="16" t="str">
        <f t="shared" si="2"/>
        <v>1-6,13-16</v>
      </c>
      <c r="K234" s="16" t="str">
        <f t="shared" si="3"/>
        <v>1-6,13-16</v>
      </c>
      <c r="L234" s="16" t="str">
        <f t="shared" si="4"/>
        <v>1-6,13-16</v>
      </c>
      <c r="M234" s="16" t="str">
        <f t="shared" si="5"/>
        <v>1-6,13-16</v>
      </c>
      <c r="N234" s="16" t="str">
        <f t="shared" si="6"/>
        <v>1-16</v>
      </c>
      <c r="O234" s="17"/>
      <c r="P234" s="17"/>
      <c r="Q234" s="17"/>
      <c r="R234" s="17"/>
      <c r="S234" s="17"/>
      <c r="T234" s="17"/>
      <c r="U234" s="17"/>
      <c r="V234" s="17"/>
      <c r="W234" s="17"/>
    </row>
    <row r="235" ht="14.25" customHeight="1">
      <c r="A235" s="9" t="s">
        <v>467</v>
      </c>
      <c r="B235" s="10" t="s">
        <v>468</v>
      </c>
      <c r="C235" s="11" t="s">
        <v>469</v>
      </c>
      <c r="D235" s="12" t="s">
        <v>460</v>
      </c>
      <c r="E235" s="13" t="str">
        <f t="array" ref="E235">INDEX(Turmas!C2:C103,MATCH(D235,Turmas!A2:A103,0))</f>
        <v>Tarde</v>
      </c>
      <c r="F235" s="14">
        <v>50.0</v>
      </c>
      <c r="G235" s="15">
        <v>4.0</v>
      </c>
      <c r="H235" s="15">
        <v>0.0</v>
      </c>
      <c r="I235" s="16" t="str">
        <f t="shared" si="1"/>
        <v>1-6,13-16</v>
      </c>
      <c r="J235" s="16" t="str">
        <f t="shared" si="2"/>
        <v>1-6,13-16</v>
      </c>
      <c r="K235" s="16" t="str">
        <f t="shared" si="3"/>
        <v>1-6,13-16</v>
      </c>
      <c r="L235" s="16" t="str">
        <f t="shared" si="4"/>
        <v>1-6,13-16</v>
      </c>
      <c r="M235" s="16" t="str">
        <f t="shared" si="5"/>
        <v>1-6,13-16</v>
      </c>
      <c r="N235" s="16" t="str">
        <f t="shared" si="6"/>
        <v>1-16</v>
      </c>
      <c r="O235" s="17"/>
      <c r="P235" s="17"/>
      <c r="Q235" s="17"/>
      <c r="R235" s="17"/>
      <c r="S235" s="17"/>
      <c r="T235" s="17"/>
      <c r="U235" s="17"/>
      <c r="V235" s="17"/>
      <c r="W235" s="17"/>
    </row>
    <row r="236" ht="14.25" customHeight="1">
      <c r="A236" s="9" t="s">
        <v>470</v>
      </c>
      <c r="B236" s="10" t="s">
        <v>471</v>
      </c>
      <c r="C236" s="11" t="s">
        <v>115</v>
      </c>
      <c r="D236" s="12" t="s">
        <v>472</v>
      </c>
      <c r="E236" s="13" t="str">
        <f t="array" ref="E236">INDEX(Turmas!C2:C103,MATCH(D236,Turmas!A2:A103,0))</f>
        <v>Integral</v>
      </c>
      <c r="F236" s="14">
        <v>30.0</v>
      </c>
      <c r="G236" s="15">
        <v>5.0</v>
      </c>
      <c r="H236" s="15">
        <v>0.0</v>
      </c>
      <c r="I236" s="16" t="str">
        <f t="shared" si="1"/>
        <v>13-16</v>
      </c>
      <c r="J236" s="16" t="str">
        <f t="shared" si="2"/>
        <v>13-16</v>
      </c>
      <c r="K236" s="16" t="str">
        <f t="shared" si="3"/>
        <v>13-16</v>
      </c>
      <c r="L236" s="16" t="str">
        <f t="shared" si="4"/>
        <v>13-16</v>
      </c>
      <c r="M236" s="16" t="str">
        <f t="shared" si="5"/>
        <v>13-16</v>
      </c>
      <c r="N236" s="16" t="str">
        <f t="shared" si="6"/>
        <v>1-16</v>
      </c>
      <c r="O236" s="17"/>
      <c r="P236" s="17"/>
      <c r="Q236" s="17"/>
      <c r="R236" s="17"/>
      <c r="S236" s="17"/>
      <c r="T236" s="17"/>
      <c r="U236" s="17"/>
      <c r="V236" s="17"/>
      <c r="W236" s="17"/>
    </row>
    <row r="237" ht="14.25" customHeight="1">
      <c r="A237" s="9" t="s">
        <v>473</v>
      </c>
      <c r="B237" s="10" t="s">
        <v>474</v>
      </c>
      <c r="C237" s="11" t="s">
        <v>475</v>
      </c>
      <c r="D237" s="12" t="s">
        <v>476</v>
      </c>
      <c r="E237" s="13" t="str">
        <f t="array" ref="E237">INDEX(Turmas!C2:C103,MATCH(D237,Turmas!A2:A103,0))</f>
        <v>Noite</v>
      </c>
      <c r="F237" s="14">
        <v>58.0</v>
      </c>
      <c r="G237" s="15">
        <v>9.0</v>
      </c>
      <c r="H237" s="15">
        <v>0.0</v>
      </c>
      <c r="I237" s="16" t="str">
        <f t="shared" si="1"/>
        <v>1-12</v>
      </c>
      <c r="J237" s="16" t="str">
        <f t="shared" si="2"/>
        <v>1-12</v>
      </c>
      <c r="K237" s="16" t="str">
        <f t="shared" si="3"/>
        <v>1-12</v>
      </c>
      <c r="L237" s="16" t="str">
        <f t="shared" si="4"/>
        <v>1-12</v>
      </c>
      <c r="M237" s="16" t="str">
        <f t="shared" si="5"/>
        <v>1-12</v>
      </c>
      <c r="N237" s="16" t="str">
        <f t="shared" si="6"/>
        <v>0</v>
      </c>
      <c r="O237" s="17"/>
      <c r="P237" s="17"/>
      <c r="Q237" s="17"/>
      <c r="R237" s="17"/>
      <c r="S237" s="17"/>
      <c r="T237" s="17"/>
      <c r="U237" s="17"/>
      <c r="V237" s="17"/>
      <c r="W237" s="17"/>
    </row>
    <row r="238" ht="14.25" customHeight="1">
      <c r="A238" s="9" t="s">
        <v>477</v>
      </c>
      <c r="B238" s="10" t="s">
        <v>478</v>
      </c>
      <c r="C238" s="11" t="s">
        <v>479</v>
      </c>
      <c r="D238" s="12" t="s">
        <v>476</v>
      </c>
      <c r="E238" s="13" t="str">
        <f t="array" ref="E238">INDEX(Turmas!C2:C103,MATCH(D238,Turmas!A2:A103,0))</f>
        <v>Noite</v>
      </c>
      <c r="F238" s="14">
        <v>54.0</v>
      </c>
      <c r="G238" s="15">
        <v>4.0</v>
      </c>
      <c r="H238" s="15">
        <v>0.0</v>
      </c>
      <c r="I238" s="16" t="str">
        <f t="shared" si="1"/>
        <v>1-12</v>
      </c>
      <c r="J238" s="16" t="str">
        <f t="shared" si="2"/>
        <v>1-12</v>
      </c>
      <c r="K238" s="16" t="str">
        <f t="shared" si="3"/>
        <v>1-12</v>
      </c>
      <c r="L238" s="16" t="str">
        <f t="shared" si="4"/>
        <v>1-12</v>
      </c>
      <c r="M238" s="16" t="str">
        <f t="shared" si="5"/>
        <v>1-12</v>
      </c>
      <c r="N238" s="16" t="str">
        <f t="shared" si="6"/>
        <v>0</v>
      </c>
      <c r="O238" s="17"/>
      <c r="P238" s="17"/>
      <c r="Q238" s="17"/>
      <c r="R238" s="17"/>
      <c r="S238" s="17"/>
      <c r="T238" s="17"/>
      <c r="U238" s="17"/>
      <c r="V238" s="17"/>
      <c r="W238" s="17"/>
    </row>
    <row r="239" ht="14.25" customHeight="1">
      <c r="A239" s="9" t="s">
        <v>480</v>
      </c>
      <c r="B239" s="10" t="s">
        <v>481</v>
      </c>
      <c r="C239" s="11" t="s">
        <v>482</v>
      </c>
      <c r="D239" s="12" t="s">
        <v>476</v>
      </c>
      <c r="E239" s="13" t="str">
        <f t="array" ref="E239">INDEX(Turmas!C2:C103,MATCH(D239,Turmas!A2:A103,0))</f>
        <v>Noite</v>
      </c>
      <c r="F239" s="14">
        <v>55.0</v>
      </c>
      <c r="G239" s="15">
        <v>6.0</v>
      </c>
      <c r="H239" s="15">
        <v>0.0</v>
      </c>
      <c r="I239" s="16" t="str">
        <f t="shared" si="1"/>
        <v>1-12</v>
      </c>
      <c r="J239" s="16" t="str">
        <f t="shared" si="2"/>
        <v>1-12</v>
      </c>
      <c r="K239" s="16" t="str">
        <f t="shared" si="3"/>
        <v>1-12</v>
      </c>
      <c r="L239" s="16" t="str">
        <f t="shared" si="4"/>
        <v>1-12</v>
      </c>
      <c r="M239" s="16" t="str">
        <f t="shared" si="5"/>
        <v>1-12</v>
      </c>
      <c r="N239" s="16" t="str">
        <f t="shared" si="6"/>
        <v>0</v>
      </c>
      <c r="O239" s="17"/>
      <c r="P239" s="17"/>
      <c r="Q239" s="17"/>
      <c r="R239" s="17"/>
      <c r="S239" s="17"/>
      <c r="T239" s="17"/>
      <c r="U239" s="17"/>
      <c r="V239" s="17"/>
      <c r="W239" s="17"/>
    </row>
    <row r="240" ht="14.25" customHeight="1">
      <c r="A240" s="9" t="s">
        <v>428</v>
      </c>
      <c r="B240" s="10" t="s">
        <v>285</v>
      </c>
      <c r="C240" s="11" t="s">
        <v>429</v>
      </c>
      <c r="D240" s="12" t="s">
        <v>476</v>
      </c>
      <c r="E240" s="13" t="str">
        <f t="array" ref="E240">INDEX(Turmas!C2:C103,MATCH(D240,Turmas!A2:A103,0))</f>
        <v>Noite</v>
      </c>
      <c r="F240" s="14">
        <v>53.0</v>
      </c>
      <c r="G240" s="15">
        <v>6.0</v>
      </c>
      <c r="H240" s="15">
        <v>0.0</v>
      </c>
      <c r="I240" s="16" t="str">
        <f t="shared" si="1"/>
        <v>1-12</v>
      </c>
      <c r="J240" s="16" t="str">
        <f t="shared" si="2"/>
        <v>1-12</v>
      </c>
      <c r="K240" s="16" t="str">
        <f t="shared" si="3"/>
        <v>1-12</v>
      </c>
      <c r="L240" s="16" t="str">
        <f t="shared" si="4"/>
        <v>1-12</v>
      </c>
      <c r="M240" s="16" t="str">
        <f t="shared" si="5"/>
        <v>1-12</v>
      </c>
      <c r="N240" s="16" t="str">
        <f t="shared" si="6"/>
        <v>0</v>
      </c>
      <c r="O240" s="17"/>
      <c r="P240" s="17"/>
      <c r="Q240" s="17"/>
      <c r="R240" s="17"/>
      <c r="S240" s="17"/>
      <c r="T240" s="17"/>
      <c r="U240" s="17"/>
      <c r="V240" s="17"/>
      <c r="W240" s="17"/>
    </row>
    <row r="241" ht="14.25" customHeight="1">
      <c r="A241" s="9" t="s">
        <v>483</v>
      </c>
      <c r="B241" s="10" t="s">
        <v>484</v>
      </c>
      <c r="C241" s="11" t="s">
        <v>485</v>
      </c>
      <c r="D241" s="12" t="s">
        <v>476</v>
      </c>
      <c r="E241" s="13" t="str">
        <f t="array" ref="E241">INDEX(Turmas!C2:C103,MATCH(D241,Turmas!A2:A103,0))</f>
        <v>Noite</v>
      </c>
      <c r="F241" s="14">
        <v>57.0</v>
      </c>
      <c r="G241" s="15">
        <v>7.0</v>
      </c>
      <c r="H241" s="15">
        <v>0.0</v>
      </c>
      <c r="I241" s="16" t="str">
        <f t="shared" si="1"/>
        <v>1-12</v>
      </c>
      <c r="J241" s="16" t="str">
        <f t="shared" si="2"/>
        <v>1-12</v>
      </c>
      <c r="K241" s="16" t="str">
        <f t="shared" si="3"/>
        <v>1-12</v>
      </c>
      <c r="L241" s="16" t="str">
        <f t="shared" si="4"/>
        <v>1-12</v>
      </c>
      <c r="M241" s="16" t="str">
        <f t="shared" si="5"/>
        <v>1-12</v>
      </c>
      <c r="N241" s="16" t="str">
        <f t="shared" si="6"/>
        <v>0</v>
      </c>
      <c r="O241" s="17"/>
      <c r="P241" s="17"/>
      <c r="Q241" s="17"/>
      <c r="R241" s="17"/>
      <c r="S241" s="17"/>
      <c r="T241" s="17"/>
      <c r="U241" s="17"/>
      <c r="V241" s="17"/>
      <c r="W241" s="17"/>
    </row>
    <row r="242" ht="14.25" customHeight="1">
      <c r="A242" s="9" t="s">
        <v>486</v>
      </c>
      <c r="B242" s="10" t="s">
        <v>487</v>
      </c>
      <c r="C242" s="11" t="s">
        <v>488</v>
      </c>
      <c r="D242" s="12" t="s">
        <v>489</v>
      </c>
      <c r="E242" s="13" t="str">
        <f t="array" ref="E242">INDEX(Turmas!C2:C103,MATCH(D242,Turmas!A2:A103,0))</f>
        <v>Noite</v>
      </c>
      <c r="F242" s="14">
        <v>50.0</v>
      </c>
      <c r="G242" s="15">
        <v>7.0</v>
      </c>
      <c r="H242" s="15">
        <v>0.0</v>
      </c>
      <c r="I242" s="16" t="str">
        <f t="shared" si="1"/>
        <v>1-12</v>
      </c>
      <c r="J242" s="16" t="str">
        <f t="shared" si="2"/>
        <v>1-12</v>
      </c>
      <c r="K242" s="16" t="str">
        <f t="shared" si="3"/>
        <v>1-12</v>
      </c>
      <c r="L242" s="16" t="str">
        <f t="shared" si="4"/>
        <v>1-12</v>
      </c>
      <c r="M242" s="16" t="str">
        <f t="shared" si="5"/>
        <v>1-12</v>
      </c>
      <c r="N242" s="16" t="str">
        <f t="shared" si="6"/>
        <v>0</v>
      </c>
      <c r="O242" s="17"/>
      <c r="P242" s="17"/>
      <c r="Q242" s="17"/>
      <c r="R242" s="17"/>
      <c r="S242" s="17"/>
      <c r="T242" s="17"/>
      <c r="U242" s="17"/>
      <c r="V242" s="17"/>
      <c r="W242" s="17"/>
    </row>
    <row r="243" ht="14.25" customHeight="1">
      <c r="A243" s="9" t="s">
        <v>490</v>
      </c>
      <c r="B243" s="10" t="s">
        <v>491</v>
      </c>
      <c r="C243" s="11" t="s">
        <v>492</v>
      </c>
      <c r="D243" s="12" t="s">
        <v>489</v>
      </c>
      <c r="E243" s="13" t="str">
        <f t="array" ref="E243">INDEX(Turmas!C2:C103,MATCH(D243,Turmas!A2:A103,0))</f>
        <v>Noite</v>
      </c>
      <c r="F243" s="14">
        <v>50.0</v>
      </c>
      <c r="G243" s="15">
        <v>4.0</v>
      </c>
      <c r="H243" s="15">
        <v>0.0</v>
      </c>
      <c r="I243" s="16" t="str">
        <f t="shared" si="1"/>
        <v>1-12</v>
      </c>
      <c r="J243" s="16" t="str">
        <f t="shared" si="2"/>
        <v>1-12</v>
      </c>
      <c r="K243" s="16" t="str">
        <f t="shared" si="3"/>
        <v>1-12</v>
      </c>
      <c r="L243" s="16" t="str">
        <f t="shared" si="4"/>
        <v>1-12</v>
      </c>
      <c r="M243" s="16" t="str">
        <f t="shared" si="5"/>
        <v>1-12</v>
      </c>
      <c r="N243" s="16" t="str">
        <f t="shared" si="6"/>
        <v>0</v>
      </c>
      <c r="O243" s="17"/>
      <c r="P243" s="17"/>
      <c r="Q243" s="17"/>
      <c r="R243" s="17"/>
      <c r="S243" s="17"/>
      <c r="T243" s="17"/>
      <c r="U243" s="17"/>
      <c r="V243" s="17"/>
      <c r="W243" s="17"/>
    </row>
    <row r="244" ht="14.25" customHeight="1">
      <c r="A244" s="9" t="s">
        <v>493</v>
      </c>
      <c r="B244" s="10" t="s">
        <v>494</v>
      </c>
      <c r="C244" s="11" t="s">
        <v>495</v>
      </c>
      <c r="D244" s="12" t="s">
        <v>489</v>
      </c>
      <c r="E244" s="13" t="str">
        <f t="array" ref="E244">INDEX(Turmas!C2:C103,MATCH(D244,Turmas!A2:A103,0))</f>
        <v>Noite</v>
      </c>
      <c r="F244" s="14">
        <v>50.0</v>
      </c>
      <c r="G244" s="15">
        <v>5.0</v>
      </c>
      <c r="H244" s="15">
        <v>0.0</v>
      </c>
      <c r="I244" s="16" t="str">
        <f t="shared" si="1"/>
        <v>1-12</v>
      </c>
      <c r="J244" s="16" t="str">
        <f t="shared" si="2"/>
        <v>1-12</v>
      </c>
      <c r="K244" s="16" t="str">
        <f t="shared" si="3"/>
        <v>1-12</v>
      </c>
      <c r="L244" s="16" t="str">
        <f t="shared" si="4"/>
        <v>1-12</v>
      </c>
      <c r="M244" s="16" t="str">
        <f t="shared" si="5"/>
        <v>1-12</v>
      </c>
      <c r="N244" s="16" t="str">
        <f t="shared" si="6"/>
        <v>0</v>
      </c>
      <c r="O244" s="17"/>
      <c r="P244" s="17"/>
      <c r="Q244" s="17"/>
      <c r="R244" s="17"/>
      <c r="S244" s="17"/>
      <c r="T244" s="17"/>
      <c r="U244" s="17"/>
      <c r="V244" s="17"/>
      <c r="W244" s="17"/>
    </row>
    <row r="245" ht="14.25" customHeight="1">
      <c r="A245" s="9" t="s">
        <v>496</v>
      </c>
      <c r="B245" s="10" t="s">
        <v>497</v>
      </c>
      <c r="C245" s="11" t="s">
        <v>358</v>
      </c>
      <c r="D245" s="12" t="s">
        <v>489</v>
      </c>
      <c r="E245" s="13" t="str">
        <f t="array" ref="E245">INDEX(Turmas!C2:C103,MATCH(D245,Turmas!A2:A103,0))</f>
        <v>Noite</v>
      </c>
      <c r="F245" s="14">
        <v>50.0</v>
      </c>
      <c r="G245" s="15">
        <v>4.0</v>
      </c>
      <c r="H245" s="15">
        <v>0.0</v>
      </c>
      <c r="I245" s="16" t="str">
        <f t="shared" si="1"/>
        <v>1-12</v>
      </c>
      <c r="J245" s="16" t="str">
        <f t="shared" si="2"/>
        <v>1-12</v>
      </c>
      <c r="K245" s="16" t="str">
        <f t="shared" si="3"/>
        <v>1-12</v>
      </c>
      <c r="L245" s="16" t="str">
        <f t="shared" si="4"/>
        <v>1-12</v>
      </c>
      <c r="M245" s="16" t="str">
        <f t="shared" si="5"/>
        <v>1-12</v>
      </c>
      <c r="N245" s="16" t="str">
        <f t="shared" si="6"/>
        <v>0</v>
      </c>
      <c r="O245" s="17"/>
      <c r="P245" s="17"/>
      <c r="Q245" s="17"/>
      <c r="R245" s="17"/>
      <c r="S245" s="17"/>
      <c r="T245" s="17"/>
      <c r="U245" s="17"/>
      <c r="V245" s="17"/>
      <c r="W245" s="17"/>
    </row>
    <row r="246" ht="14.25" customHeight="1">
      <c r="A246" s="9" t="s">
        <v>498</v>
      </c>
      <c r="B246" s="10" t="s">
        <v>499</v>
      </c>
      <c r="C246" s="11" t="s">
        <v>500</v>
      </c>
      <c r="D246" s="12" t="s">
        <v>489</v>
      </c>
      <c r="E246" s="13" t="str">
        <f t="array" ref="E246">INDEX(Turmas!C2:C103,MATCH(D246,Turmas!A2:A103,0))</f>
        <v>Noite</v>
      </c>
      <c r="F246" s="14">
        <v>50.0</v>
      </c>
      <c r="G246" s="15">
        <v>7.0</v>
      </c>
      <c r="H246" s="15">
        <v>0.0</v>
      </c>
      <c r="I246" s="16" t="str">
        <f t="shared" si="1"/>
        <v>1-12</v>
      </c>
      <c r="J246" s="16" t="str">
        <f t="shared" si="2"/>
        <v>1-12</v>
      </c>
      <c r="K246" s="16" t="str">
        <f t="shared" si="3"/>
        <v>1-12</v>
      </c>
      <c r="L246" s="16" t="str">
        <f t="shared" si="4"/>
        <v>1-12</v>
      </c>
      <c r="M246" s="16" t="str">
        <f t="shared" si="5"/>
        <v>1-12</v>
      </c>
      <c r="N246" s="16" t="str">
        <f t="shared" si="6"/>
        <v>0</v>
      </c>
      <c r="O246" s="17"/>
      <c r="P246" s="17"/>
      <c r="Q246" s="17"/>
      <c r="R246" s="17"/>
      <c r="S246" s="17"/>
      <c r="T246" s="17"/>
      <c r="U246" s="17"/>
      <c r="V246" s="17"/>
      <c r="W246" s="17"/>
    </row>
    <row r="247" ht="14.25" customHeight="1">
      <c r="A247" s="9" t="s">
        <v>501</v>
      </c>
      <c r="B247" s="10" t="s">
        <v>502</v>
      </c>
      <c r="C247" s="11" t="s">
        <v>503</v>
      </c>
      <c r="D247" s="12" t="s">
        <v>504</v>
      </c>
      <c r="E247" s="13" t="str">
        <f t="array" ref="E247">INDEX(Turmas!C2:C103,MATCH(D247,Turmas!A2:A103,0))</f>
        <v>Noite</v>
      </c>
      <c r="F247" s="14">
        <v>50.0</v>
      </c>
      <c r="G247" s="15">
        <v>6.0</v>
      </c>
      <c r="H247" s="15">
        <v>0.0</v>
      </c>
      <c r="I247" s="16" t="str">
        <f t="shared" si="1"/>
        <v>1-12</v>
      </c>
      <c r="J247" s="16" t="str">
        <f t="shared" si="2"/>
        <v>1-12</v>
      </c>
      <c r="K247" s="16" t="str">
        <f t="shared" si="3"/>
        <v>1-12</v>
      </c>
      <c r="L247" s="16" t="str">
        <f t="shared" si="4"/>
        <v>1-12</v>
      </c>
      <c r="M247" s="16" t="str">
        <f t="shared" si="5"/>
        <v>1-12</v>
      </c>
      <c r="N247" s="16" t="str">
        <f t="shared" si="6"/>
        <v>0</v>
      </c>
      <c r="O247" s="17"/>
      <c r="P247" s="17"/>
      <c r="Q247" s="17"/>
      <c r="R247" s="17"/>
      <c r="S247" s="17"/>
      <c r="T247" s="17"/>
      <c r="U247" s="17"/>
      <c r="V247" s="17"/>
      <c r="W247" s="17"/>
    </row>
    <row r="248" ht="14.25" customHeight="1">
      <c r="A248" s="9" t="s">
        <v>505</v>
      </c>
      <c r="B248" s="10" t="s">
        <v>506</v>
      </c>
      <c r="C248" s="11" t="s">
        <v>507</v>
      </c>
      <c r="D248" s="22" t="s">
        <v>504</v>
      </c>
      <c r="E248" s="13" t="str">
        <f t="array" ref="E248">INDEX(Turmas!C2:C103,MATCH(D248,Turmas!A2:A103,0))</f>
        <v>Noite</v>
      </c>
      <c r="F248" s="14">
        <v>50.0</v>
      </c>
      <c r="G248" s="15">
        <v>4.0</v>
      </c>
      <c r="H248" s="15">
        <v>0.0</v>
      </c>
      <c r="I248" s="16" t="str">
        <f t="shared" si="1"/>
        <v>1-12</v>
      </c>
      <c r="J248" s="16" t="str">
        <f t="shared" si="2"/>
        <v>1-12</v>
      </c>
      <c r="K248" s="16" t="str">
        <f t="shared" si="3"/>
        <v>1-12</v>
      </c>
      <c r="L248" s="16" t="str">
        <f t="shared" si="4"/>
        <v>1-12</v>
      </c>
      <c r="M248" s="16" t="str">
        <f t="shared" si="5"/>
        <v>1-12</v>
      </c>
      <c r="N248" s="16" t="str">
        <f t="shared" si="6"/>
        <v>0</v>
      </c>
      <c r="O248" s="17"/>
      <c r="P248" s="17"/>
      <c r="Q248" s="17"/>
      <c r="R248" s="17"/>
      <c r="S248" s="17"/>
      <c r="T248" s="17"/>
      <c r="U248" s="17"/>
      <c r="V248" s="17"/>
      <c r="W248" s="17"/>
    </row>
    <row r="249" ht="14.25" customHeight="1">
      <c r="A249" s="9" t="s">
        <v>508</v>
      </c>
      <c r="B249" s="10" t="s">
        <v>509</v>
      </c>
      <c r="C249" s="11" t="s">
        <v>492</v>
      </c>
      <c r="D249" s="22" t="s">
        <v>504</v>
      </c>
      <c r="E249" s="13" t="str">
        <f t="array" ref="E249">INDEX(Turmas!C2:C103,MATCH(D249,Turmas!A2:A103,0))</f>
        <v>Noite</v>
      </c>
      <c r="F249" s="14">
        <v>50.0</v>
      </c>
      <c r="G249" s="15">
        <v>6.0</v>
      </c>
      <c r="H249" s="15">
        <v>0.0</v>
      </c>
      <c r="I249" s="16" t="str">
        <f t="shared" si="1"/>
        <v>1-12</v>
      </c>
      <c r="J249" s="16" t="str">
        <f t="shared" si="2"/>
        <v>1-12</v>
      </c>
      <c r="K249" s="16" t="str">
        <f t="shared" si="3"/>
        <v>1-12</v>
      </c>
      <c r="L249" s="16" t="str">
        <f t="shared" si="4"/>
        <v>1-12</v>
      </c>
      <c r="M249" s="16" t="str">
        <f t="shared" si="5"/>
        <v>1-12</v>
      </c>
      <c r="N249" s="16" t="str">
        <f t="shared" si="6"/>
        <v>0</v>
      </c>
      <c r="O249" s="17"/>
      <c r="P249" s="17"/>
      <c r="Q249" s="17"/>
      <c r="R249" s="17"/>
      <c r="S249" s="17"/>
      <c r="T249" s="17"/>
      <c r="U249" s="17"/>
      <c r="V249" s="17"/>
      <c r="W249" s="17"/>
    </row>
    <row r="250" ht="14.25" customHeight="1">
      <c r="A250" s="9" t="s">
        <v>510</v>
      </c>
      <c r="B250" s="10" t="s">
        <v>511</v>
      </c>
      <c r="C250" s="11" t="s">
        <v>512</v>
      </c>
      <c r="D250" s="22" t="s">
        <v>504</v>
      </c>
      <c r="E250" s="13" t="str">
        <f t="array" ref="E250">INDEX(Turmas!C2:C103,MATCH(D250,Turmas!A2:A103,0))</f>
        <v>Noite</v>
      </c>
      <c r="F250" s="14">
        <v>50.0</v>
      </c>
      <c r="G250" s="15">
        <v>4.0</v>
      </c>
      <c r="H250" s="15">
        <v>0.0</v>
      </c>
      <c r="I250" s="16" t="str">
        <f t="shared" si="1"/>
        <v>1-12</v>
      </c>
      <c r="J250" s="16" t="str">
        <f t="shared" si="2"/>
        <v>1-12</v>
      </c>
      <c r="K250" s="16" t="str">
        <f t="shared" si="3"/>
        <v>1-12</v>
      </c>
      <c r="L250" s="16" t="str">
        <f t="shared" si="4"/>
        <v>1-12</v>
      </c>
      <c r="M250" s="16" t="str">
        <f t="shared" si="5"/>
        <v>1-12</v>
      </c>
      <c r="N250" s="16" t="str">
        <f t="shared" si="6"/>
        <v>0</v>
      </c>
      <c r="O250" s="17"/>
      <c r="P250" s="17"/>
      <c r="Q250" s="17"/>
      <c r="R250" s="17"/>
      <c r="S250" s="17"/>
      <c r="T250" s="17"/>
      <c r="U250" s="17"/>
      <c r="V250" s="17"/>
      <c r="W250" s="17"/>
    </row>
    <row r="251" ht="14.25" customHeight="1">
      <c r="A251" s="9" t="s">
        <v>513</v>
      </c>
      <c r="B251" s="10" t="s">
        <v>514</v>
      </c>
      <c r="C251" s="11" t="s">
        <v>482</v>
      </c>
      <c r="D251" s="22" t="s">
        <v>515</v>
      </c>
      <c r="E251" s="13" t="str">
        <f t="array" ref="E251">INDEX(Turmas!C2:C103,MATCH(D251,Turmas!A2:A103,0))</f>
        <v>Noite</v>
      </c>
      <c r="F251" s="14">
        <v>50.0</v>
      </c>
      <c r="G251" s="15">
        <v>2.0</v>
      </c>
      <c r="H251" s="15">
        <v>0.0</v>
      </c>
      <c r="I251" s="16" t="str">
        <f t="shared" si="1"/>
        <v>1-12</v>
      </c>
      <c r="J251" s="16" t="str">
        <f t="shared" si="2"/>
        <v>1-12</v>
      </c>
      <c r="K251" s="16" t="str">
        <f t="shared" si="3"/>
        <v>1-12</v>
      </c>
      <c r="L251" s="16" t="str">
        <f t="shared" si="4"/>
        <v>1-12</v>
      </c>
      <c r="M251" s="16" t="str">
        <f t="shared" si="5"/>
        <v>1-12</v>
      </c>
      <c r="N251" s="16" t="str">
        <f t="shared" si="6"/>
        <v>0</v>
      </c>
      <c r="O251" s="17"/>
      <c r="P251" s="17"/>
      <c r="Q251" s="17"/>
      <c r="R251" s="17"/>
      <c r="S251" s="17"/>
      <c r="T251" s="17"/>
      <c r="U251" s="17"/>
      <c r="V251" s="17"/>
      <c r="W251" s="17"/>
    </row>
    <row r="252" ht="14.25" customHeight="1">
      <c r="A252" s="9" t="s">
        <v>516</v>
      </c>
      <c r="B252" s="10" t="s">
        <v>517</v>
      </c>
      <c r="C252" s="11" t="s">
        <v>87</v>
      </c>
      <c r="D252" s="22" t="s">
        <v>515</v>
      </c>
      <c r="E252" s="13" t="str">
        <f t="array" ref="E252">INDEX(Turmas!C2:C103,MATCH(D252,Turmas!A2:A103,0))</f>
        <v>Noite</v>
      </c>
      <c r="F252" s="14">
        <v>50.0</v>
      </c>
      <c r="G252" s="15">
        <v>4.0</v>
      </c>
      <c r="H252" s="15">
        <v>0.0</v>
      </c>
      <c r="I252" s="16" t="str">
        <f t="shared" si="1"/>
        <v>1-12</v>
      </c>
      <c r="J252" s="16" t="str">
        <f t="shared" si="2"/>
        <v>1-12</v>
      </c>
      <c r="K252" s="16" t="str">
        <f t="shared" si="3"/>
        <v>1-12</v>
      </c>
      <c r="L252" s="16" t="str">
        <f t="shared" si="4"/>
        <v>1-12</v>
      </c>
      <c r="M252" s="16" t="str">
        <f t="shared" si="5"/>
        <v>1-12</v>
      </c>
      <c r="N252" s="16" t="str">
        <f t="shared" si="6"/>
        <v>0</v>
      </c>
      <c r="O252" s="17"/>
      <c r="P252" s="17"/>
      <c r="Q252" s="17"/>
      <c r="R252" s="17"/>
      <c r="S252" s="17"/>
      <c r="T252" s="17"/>
      <c r="U252" s="17"/>
      <c r="V252" s="17"/>
      <c r="W252" s="17"/>
    </row>
    <row r="253" ht="14.25" customHeight="1">
      <c r="A253" s="9" t="s">
        <v>518</v>
      </c>
      <c r="B253" s="10" t="s">
        <v>519</v>
      </c>
      <c r="C253" s="11" t="s">
        <v>479</v>
      </c>
      <c r="D253" s="22" t="s">
        <v>515</v>
      </c>
      <c r="E253" s="13" t="str">
        <f t="array" ref="E253">INDEX(Turmas!C2:C103,MATCH(D253,Turmas!A2:A103,0))</f>
        <v>Noite</v>
      </c>
      <c r="F253" s="14">
        <v>30.0</v>
      </c>
      <c r="G253" s="15">
        <v>4.0</v>
      </c>
      <c r="H253" s="15">
        <v>0.0</v>
      </c>
      <c r="I253" s="16" t="str">
        <f t="shared" si="1"/>
        <v>1-12</v>
      </c>
      <c r="J253" s="16" t="str">
        <f t="shared" si="2"/>
        <v>1-12</v>
      </c>
      <c r="K253" s="16" t="str">
        <f t="shared" si="3"/>
        <v>1-12</v>
      </c>
      <c r="L253" s="16" t="str">
        <f t="shared" si="4"/>
        <v>1-12</v>
      </c>
      <c r="M253" s="16" t="str">
        <f t="shared" si="5"/>
        <v>1-12</v>
      </c>
      <c r="N253" s="16" t="str">
        <f t="shared" si="6"/>
        <v>0</v>
      </c>
      <c r="O253" s="17"/>
      <c r="P253" s="17"/>
      <c r="Q253" s="17"/>
      <c r="R253" s="17"/>
      <c r="S253" s="17"/>
      <c r="T253" s="17"/>
      <c r="U253" s="17"/>
      <c r="V253" s="17"/>
      <c r="W253" s="17"/>
    </row>
    <row r="254" ht="14.25" customHeight="1">
      <c r="A254" s="9" t="s">
        <v>520</v>
      </c>
      <c r="B254" s="10" t="s">
        <v>521</v>
      </c>
      <c r="C254" s="11" t="s">
        <v>522</v>
      </c>
      <c r="D254" s="23" t="s">
        <v>515</v>
      </c>
      <c r="E254" s="13" t="str">
        <f t="array" ref="E254">INDEX(Turmas!C2:C103,MATCH(D254,Turmas!A2:A103,0))</f>
        <v>Noite</v>
      </c>
      <c r="F254" s="14">
        <v>50.0</v>
      </c>
      <c r="G254" s="15">
        <v>2.0</v>
      </c>
      <c r="H254" s="15">
        <v>0.0</v>
      </c>
      <c r="I254" s="16" t="str">
        <f t="shared" si="1"/>
        <v>1-12</v>
      </c>
      <c r="J254" s="16" t="str">
        <f t="shared" si="2"/>
        <v>1-12</v>
      </c>
      <c r="K254" s="16" t="str">
        <f t="shared" si="3"/>
        <v>1-12</v>
      </c>
      <c r="L254" s="16" t="str">
        <f t="shared" si="4"/>
        <v>1-12</v>
      </c>
      <c r="M254" s="16" t="str">
        <f t="shared" si="5"/>
        <v>1-12</v>
      </c>
      <c r="N254" s="16" t="str">
        <f t="shared" si="6"/>
        <v>0</v>
      </c>
      <c r="O254" s="17"/>
      <c r="P254" s="17"/>
      <c r="Q254" s="17"/>
      <c r="R254" s="17"/>
      <c r="S254" s="17"/>
      <c r="T254" s="17"/>
      <c r="U254" s="17"/>
      <c r="V254" s="17"/>
      <c r="W254" s="17"/>
    </row>
    <row r="255" ht="14.25" customHeight="1">
      <c r="A255" s="9" t="s">
        <v>523</v>
      </c>
      <c r="B255" s="10" t="s">
        <v>524</v>
      </c>
      <c r="C255" s="11" t="s">
        <v>525</v>
      </c>
      <c r="D255" s="23" t="s">
        <v>526</v>
      </c>
      <c r="E255" s="13" t="str">
        <f t="array" ref="E255">INDEX(Turmas!C2:C103,MATCH(D255,Turmas!A2:A103,0))</f>
        <v>Manhã</v>
      </c>
      <c r="F255" s="14">
        <v>50.0</v>
      </c>
      <c r="G255" s="15">
        <v>2.0</v>
      </c>
      <c r="H255" s="15">
        <v>0.0</v>
      </c>
      <c r="I255" s="16" t="str">
        <f t="shared" si="1"/>
        <v>7-16</v>
      </c>
      <c r="J255" s="16" t="str">
        <f t="shared" si="2"/>
        <v>7-16</v>
      </c>
      <c r="K255" s="16" t="str">
        <f t="shared" si="3"/>
        <v>7-16</v>
      </c>
      <c r="L255" s="16" t="str">
        <f t="shared" si="4"/>
        <v>7-16</v>
      </c>
      <c r="M255" s="16" t="str">
        <f t="shared" si="5"/>
        <v>7-16</v>
      </c>
      <c r="N255" s="16" t="str">
        <f t="shared" si="6"/>
        <v>1-16</v>
      </c>
      <c r="O255" s="17"/>
      <c r="P255" s="17"/>
      <c r="Q255" s="17"/>
      <c r="R255" s="17"/>
      <c r="S255" s="17"/>
      <c r="T255" s="17"/>
      <c r="U255" s="17"/>
      <c r="V255" s="17"/>
      <c r="W255" s="17"/>
    </row>
    <row r="256" ht="14.25" customHeight="1">
      <c r="A256" s="9" t="s">
        <v>527</v>
      </c>
      <c r="B256" s="10" t="s">
        <v>528</v>
      </c>
      <c r="C256" s="11" t="s">
        <v>177</v>
      </c>
      <c r="D256" s="23" t="s">
        <v>526</v>
      </c>
      <c r="E256" s="13" t="str">
        <f t="array" ref="E256">INDEX(Turmas!C2:C103,MATCH(D256,Turmas!A2:A103,0))</f>
        <v>Manhã</v>
      </c>
      <c r="F256" s="14">
        <v>50.0</v>
      </c>
      <c r="G256" s="15">
        <v>4.0</v>
      </c>
      <c r="H256" s="15">
        <v>0.0</v>
      </c>
      <c r="I256" s="16" t="str">
        <f t="shared" si="1"/>
        <v>7-16</v>
      </c>
      <c r="J256" s="16" t="str">
        <f t="shared" si="2"/>
        <v>7-16</v>
      </c>
      <c r="K256" s="16" t="str">
        <f t="shared" si="3"/>
        <v>7-16</v>
      </c>
      <c r="L256" s="16" t="str">
        <f t="shared" si="4"/>
        <v>7-16</v>
      </c>
      <c r="M256" s="16" t="str">
        <f t="shared" si="5"/>
        <v>7-16</v>
      </c>
      <c r="N256" s="16" t="str">
        <f t="shared" si="6"/>
        <v>1-16</v>
      </c>
      <c r="O256" s="17"/>
      <c r="P256" s="17"/>
      <c r="Q256" s="17"/>
      <c r="R256" s="17"/>
      <c r="S256" s="17"/>
      <c r="T256" s="17"/>
      <c r="U256" s="17"/>
      <c r="V256" s="17"/>
      <c r="W256" s="17"/>
    </row>
    <row r="257" ht="14.25" customHeight="1">
      <c r="A257" s="9" t="s">
        <v>529</v>
      </c>
      <c r="B257" s="10" t="s">
        <v>497</v>
      </c>
      <c r="C257" s="11" t="s">
        <v>358</v>
      </c>
      <c r="D257" s="23" t="s">
        <v>526</v>
      </c>
      <c r="E257" s="13" t="str">
        <f t="array" ref="E257">INDEX(Turmas!C2:C103,MATCH(D257,Turmas!A2:A103,0))</f>
        <v>Manhã</v>
      </c>
      <c r="F257" s="14">
        <v>50.0</v>
      </c>
      <c r="G257" s="15">
        <v>2.0</v>
      </c>
      <c r="H257" s="15">
        <v>0.0</v>
      </c>
      <c r="I257" s="16" t="str">
        <f t="shared" si="1"/>
        <v>7-16</v>
      </c>
      <c r="J257" s="16" t="str">
        <f t="shared" si="2"/>
        <v>7-16</v>
      </c>
      <c r="K257" s="16" t="str">
        <f t="shared" si="3"/>
        <v>7-16</v>
      </c>
      <c r="L257" s="16" t="str">
        <f t="shared" si="4"/>
        <v>7-16</v>
      </c>
      <c r="M257" s="16" t="str">
        <f t="shared" si="5"/>
        <v>7-16</v>
      </c>
      <c r="N257" s="16" t="str">
        <f t="shared" si="6"/>
        <v>1-16</v>
      </c>
      <c r="O257" s="17"/>
      <c r="P257" s="17"/>
      <c r="Q257" s="17"/>
      <c r="R257" s="17"/>
      <c r="S257" s="17"/>
      <c r="T257" s="17"/>
      <c r="U257" s="17"/>
      <c r="V257" s="17"/>
      <c r="W257" s="17"/>
    </row>
    <row r="258" ht="14.25" customHeight="1">
      <c r="A258" s="9" t="s">
        <v>530</v>
      </c>
      <c r="B258" s="10" t="s">
        <v>531</v>
      </c>
      <c r="C258" s="11" t="s">
        <v>305</v>
      </c>
      <c r="D258" s="23" t="s">
        <v>526</v>
      </c>
      <c r="E258" s="13" t="str">
        <f t="array" ref="E258">INDEX(Turmas!C2:C103,MATCH(D258,Turmas!A2:A103,0))</f>
        <v>Manhã</v>
      </c>
      <c r="F258" s="14">
        <v>50.0</v>
      </c>
      <c r="G258" s="15">
        <v>4.0</v>
      </c>
      <c r="H258" s="15">
        <v>0.0</v>
      </c>
      <c r="I258" s="16" t="str">
        <f t="shared" si="1"/>
        <v>7-16</v>
      </c>
      <c r="J258" s="16" t="str">
        <f t="shared" si="2"/>
        <v>7-16</v>
      </c>
      <c r="K258" s="16" t="str">
        <f t="shared" si="3"/>
        <v>7-16</v>
      </c>
      <c r="L258" s="16" t="str">
        <f t="shared" si="4"/>
        <v>7-16</v>
      </c>
      <c r="M258" s="16" t="str">
        <f t="shared" si="5"/>
        <v>7-16</v>
      </c>
      <c r="N258" s="16" t="str">
        <f t="shared" si="6"/>
        <v>1-16</v>
      </c>
      <c r="O258" s="17"/>
      <c r="P258" s="17"/>
      <c r="Q258" s="17"/>
      <c r="R258" s="17"/>
      <c r="S258" s="17"/>
      <c r="T258" s="17"/>
      <c r="U258" s="17"/>
      <c r="V258" s="17"/>
      <c r="W258" s="17"/>
    </row>
    <row r="259" ht="14.25" customHeight="1">
      <c r="A259" s="9" t="s">
        <v>532</v>
      </c>
      <c r="B259" s="10" t="s">
        <v>481</v>
      </c>
      <c r="C259" s="11" t="s">
        <v>482</v>
      </c>
      <c r="D259" s="22" t="s">
        <v>526</v>
      </c>
      <c r="E259" s="13" t="str">
        <f t="array" ref="E259">INDEX(Turmas!C2:C103,MATCH(D259,Turmas!A2:A103,0))</f>
        <v>Manhã</v>
      </c>
      <c r="F259" s="14">
        <v>50.0</v>
      </c>
      <c r="G259" s="15">
        <v>4.0</v>
      </c>
      <c r="H259" s="15">
        <v>0.0</v>
      </c>
      <c r="I259" s="16" t="str">
        <f t="shared" si="1"/>
        <v>7-16</v>
      </c>
      <c r="J259" s="16" t="str">
        <f t="shared" si="2"/>
        <v>7-16</v>
      </c>
      <c r="K259" s="16" t="str">
        <f t="shared" si="3"/>
        <v>7-16</v>
      </c>
      <c r="L259" s="16" t="str">
        <f t="shared" si="4"/>
        <v>7-16</v>
      </c>
      <c r="M259" s="16" t="str">
        <f t="shared" si="5"/>
        <v>7-16</v>
      </c>
      <c r="N259" s="16" t="str">
        <f t="shared" si="6"/>
        <v>1-16</v>
      </c>
      <c r="O259" s="17"/>
      <c r="P259" s="17"/>
      <c r="Q259" s="17"/>
      <c r="R259" s="17"/>
      <c r="S259" s="17"/>
      <c r="T259" s="17"/>
      <c r="U259" s="17"/>
      <c r="V259" s="17"/>
      <c r="W259" s="17"/>
    </row>
    <row r="260" ht="14.25" customHeight="1">
      <c r="A260" s="9" t="s">
        <v>428</v>
      </c>
      <c r="B260" s="10" t="s">
        <v>285</v>
      </c>
      <c r="C260" s="11" t="s">
        <v>286</v>
      </c>
      <c r="D260" s="22" t="s">
        <v>526</v>
      </c>
      <c r="E260" s="13" t="str">
        <f t="array" ref="E260">INDEX(Turmas!C2:C103,MATCH(D260,Turmas!A2:A103,0))</f>
        <v>Manhã</v>
      </c>
      <c r="F260" s="14">
        <v>50.0</v>
      </c>
      <c r="G260" s="15">
        <v>5.0</v>
      </c>
      <c r="H260" s="15">
        <v>0.0</v>
      </c>
      <c r="I260" s="16" t="str">
        <f t="shared" si="1"/>
        <v>7-16</v>
      </c>
      <c r="J260" s="16" t="str">
        <f t="shared" si="2"/>
        <v>7-16</v>
      </c>
      <c r="K260" s="16" t="str">
        <f t="shared" si="3"/>
        <v>7-16</v>
      </c>
      <c r="L260" s="16" t="str">
        <f t="shared" si="4"/>
        <v>7-16</v>
      </c>
      <c r="M260" s="16" t="str">
        <f t="shared" si="5"/>
        <v>7-16</v>
      </c>
      <c r="N260" s="16" t="str">
        <f t="shared" si="6"/>
        <v>1-16</v>
      </c>
      <c r="O260" s="17"/>
      <c r="P260" s="17"/>
      <c r="Q260" s="17"/>
      <c r="R260" s="17"/>
      <c r="S260" s="17"/>
      <c r="T260" s="17"/>
      <c r="U260" s="17"/>
      <c r="V260" s="17"/>
      <c r="W260" s="17"/>
    </row>
    <row r="261" ht="14.25" customHeight="1">
      <c r="A261" s="9" t="s">
        <v>533</v>
      </c>
      <c r="B261" s="10" t="s">
        <v>484</v>
      </c>
      <c r="C261" s="11" t="s">
        <v>534</v>
      </c>
      <c r="D261" s="22" t="s">
        <v>526</v>
      </c>
      <c r="E261" s="13" t="str">
        <f t="array" ref="E261">INDEX(Turmas!C2:C103,MATCH(D261,Turmas!A2:A103,0))</f>
        <v>Manhã</v>
      </c>
      <c r="F261" s="14">
        <v>50.0</v>
      </c>
      <c r="G261" s="15">
        <v>8.0</v>
      </c>
      <c r="H261" s="15">
        <v>0.0</v>
      </c>
      <c r="I261" s="16" t="str">
        <f t="shared" si="1"/>
        <v>7-16</v>
      </c>
      <c r="J261" s="16" t="str">
        <f t="shared" si="2"/>
        <v>7-16</v>
      </c>
      <c r="K261" s="16" t="str">
        <f t="shared" si="3"/>
        <v>7-16</v>
      </c>
      <c r="L261" s="16" t="str">
        <f t="shared" si="4"/>
        <v>7-16</v>
      </c>
      <c r="M261" s="16" t="str">
        <f t="shared" si="5"/>
        <v>7-16</v>
      </c>
      <c r="N261" s="16" t="str">
        <f t="shared" si="6"/>
        <v>1-16</v>
      </c>
      <c r="O261" s="17"/>
      <c r="P261" s="17"/>
      <c r="Q261" s="17"/>
      <c r="R261" s="17"/>
      <c r="S261" s="17"/>
      <c r="T261" s="17"/>
      <c r="U261" s="17"/>
      <c r="V261" s="17"/>
      <c r="W261" s="17"/>
    </row>
    <row r="262" ht="14.25" customHeight="1">
      <c r="A262" s="9" t="s">
        <v>490</v>
      </c>
      <c r="B262" s="10" t="s">
        <v>491</v>
      </c>
      <c r="C262" s="11" t="s">
        <v>492</v>
      </c>
      <c r="D262" s="22" t="s">
        <v>535</v>
      </c>
      <c r="E262" s="13" t="str">
        <f t="array" ref="E262">INDEX(Turmas!C2:C103,MATCH(D262,Turmas!A2:A103,0))</f>
        <v>Tarde</v>
      </c>
      <c r="F262" s="14">
        <v>50.0</v>
      </c>
      <c r="G262" s="15">
        <v>3.0</v>
      </c>
      <c r="H262" s="15">
        <v>0.0</v>
      </c>
      <c r="I262" s="16" t="str">
        <f t="shared" si="1"/>
        <v>1-6,13-16</v>
      </c>
      <c r="J262" s="16" t="str">
        <f t="shared" si="2"/>
        <v>1-6,13-16</v>
      </c>
      <c r="K262" s="16" t="str">
        <f t="shared" si="3"/>
        <v>1-6,13-16</v>
      </c>
      <c r="L262" s="16" t="str">
        <f t="shared" si="4"/>
        <v>1-6,13-16</v>
      </c>
      <c r="M262" s="16" t="str">
        <f t="shared" si="5"/>
        <v>1-6,13-16</v>
      </c>
      <c r="N262" s="16" t="str">
        <f t="shared" si="6"/>
        <v>1-16</v>
      </c>
      <c r="O262" s="17"/>
      <c r="P262" s="17"/>
      <c r="Q262" s="17"/>
      <c r="R262" s="17"/>
      <c r="S262" s="17"/>
      <c r="T262" s="17"/>
      <c r="U262" s="17"/>
      <c r="V262" s="17"/>
      <c r="W262" s="17"/>
    </row>
    <row r="263" ht="14.25" customHeight="1">
      <c r="A263" s="9" t="s">
        <v>536</v>
      </c>
      <c r="B263" s="10" t="s">
        <v>537</v>
      </c>
      <c r="C263" s="11" t="s">
        <v>295</v>
      </c>
      <c r="D263" s="22" t="s">
        <v>535</v>
      </c>
      <c r="E263" s="13" t="str">
        <f t="array" ref="E263">INDEX(Turmas!C2:C103,MATCH(D263,Turmas!A2:A103,0))</f>
        <v>Tarde</v>
      </c>
      <c r="F263" s="14">
        <v>50.0</v>
      </c>
      <c r="G263" s="15">
        <v>4.0</v>
      </c>
      <c r="H263" s="15">
        <v>0.0</v>
      </c>
      <c r="I263" s="16" t="str">
        <f t="shared" si="1"/>
        <v>1-6,13-16</v>
      </c>
      <c r="J263" s="16" t="str">
        <f t="shared" si="2"/>
        <v>1-6,13-16</v>
      </c>
      <c r="K263" s="16" t="str">
        <f t="shared" si="3"/>
        <v>1-6,13-16</v>
      </c>
      <c r="L263" s="16" t="str">
        <f t="shared" si="4"/>
        <v>1-6,13-16</v>
      </c>
      <c r="M263" s="16" t="str">
        <f t="shared" si="5"/>
        <v>1-6,13-16</v>
      </c>
      <c r="N263" s="16" t="str">
        <f t="shared" si="6"/>
        <v>1-16</v>
      </c>
      <c r="O263" s="17"/>
      <c r="P263" s="17"/>
      <c r="Q263" s="17"/>
      <c r="R263" s="17"/>
      <c r="S263" s="17"/>
      <c r="T263" s="17"/>
      <c r="U263" s="17"/>
      <c r="V263" s="17"/>
      <c r="W263" s="17"/>
    </row>
    <row r="264" ht="14.25" customHeight="1">
      <c r="A264" s="9" t="s">
        <v>538</v>
      </c>
      <c r="B264" s="10" t="s">
        <v>539</v>
      </c>
      <c r="C264" s="11" t="s">
        <v>485</v>
      </c>
      <c r="D264" s="22" t="s">
        <v>535</v>
      </c>
      <c r="E264" s="13" t="str">
        <f t="array" ref="E264">INDEX(Turmas!C2:C103,MATCH(D264,Turmas!A2:A103,0))</f>
        <v>Tarde</v>
      </c>
      <c r="F264" s="14">
        <v>50.0</v>
      </c>
      <c r="G264" s="15">
        <v>3.0</v>
      </c>
      <c r="H264" s="15">
        <v>0.0</v>
      </c>
      <c r="I264" s="16" t="str">
        <f t="shared" si="1"/>
        <v>1-6,13-16</v>
      </c>
      <c r="J264" s="16" t="str">
        <f t="shared" si="2"/>
        <v>1-6,13-16</v>
      </c>
      <c r="K264" s="16" t="str">
        <f t="shared" si="3"/>
        <v>1-6,13-16</v>
      </c>
      <c r="L264" s="16" t="str">
        <f t="shared" si="4"/>
        <v>1-6,13-16</v>
      </c>
      <c r="M264" s="16" t="str">
        <f t="shared" si="5"/>
        <v>1-6,13-16</v>
      </c>
      <c r="N264" s="16" t="str">
        <f t="shared" si="6"/>
        <v>1-16</v>
      </c>
      <c r="O264" s="17"/>
      <c r="P264" s="17"/>
      <c r="Q264" s="17"/>
      <c r="R264" s="17"/>
      <c r="S264" s="17"/>
      <c r="T264" s="17"/>
      <c r="U264" s="17"/>
      <c r="V264" s="17"/>
      <c r="W264" s="17"/>
    </row>
    <row r="265" ht="14.25" customHeight="1">
      <c r="A265" s="9" t="s">
        <v>540</v>
      </c>
      <c r="B265" s="10" t="s">
        <v>541</v>
      </c>
      <c r="C265" s="11" t="s">
        <v>542</v>
      </c>
      <c r="D265" s="22" t="s">
        <v>535</v>
      </c>
      <c r="E265" s="13" t="str">
        <f t="array" ref="E265">INDEX(Turmas!C2:C103,MATCH(D265,Turmas!A2:A103,0))</f>
        <v>Tarde</v>
      </c>
      <c r="F265" s="14">
        <v>50.0</v>
      </c>
      <c r="G265" s="15">
        <v>4.0</v>
      </c>
      <c r="H265" s="15">
        <v>0.0</v>
      </c>
      <c r="I265" s="16" t="str">
        <f t="shared" si="1"/>
        <v>1-6,13-16</v>
      </c>
      <c r="J265" s="16" t="str">
        <f t="shared" si="2"/>
        <v>1-6,13-16</v>
      </c>
      <c r="K265" s="16" t="str">
        <f t="shared" si="3"/>
        <v>1-6,13-16</v>
      </c>
      <c r="L265" s="16" t="str">
        <f t="shared" si="4"/>
        <v>1-6,13-16</v>
      </c>
      <c r="M265" s="16" t="str">
        <f t="shared" si="5"/>
        <v>1-6,13-16</v>
      </c>
      <c r="N265" s="16" t="str">
        <f t="shared" si="6"/>
        <v>1-16</v>
      </c>
      <c r="O265" s="17"/>
      <c r="P265" s="17"/>
      <c r="Q265" s="17"/>
      <c r="R265" s="17"/>
      <c r="S265" s="17"/>
      <c r="T265" s="17"/>
      <c r="U265" s="17"/>
      <c r="V265" s="17"/>
      <c r="W265" s="17"/>
    </row>
    <row r="266" ht="14.25" customHeight="1">
      <c r="A266" s="9" t="s">
        <v>543</v>
      </c>
      <c r="B266" s="10" t="s">
        <v>544</v>
      </c>
      <c r="C266" s="11" t="s">
        <v>492</v>
      </c>
      <c r="D266" s="22" t="s">
        <v>535</v>
      </c>
      <c r="E266" s="13" t="str">
        <f t="array" ref="E266">INDEX(Turmas!C2:C103,MATCH(D266,Turmas!A2:A103,0))</f>
        <v>Tarde</v>
      </c>
      <c r="F266" s="14">
        <v>50.0</v>
      </c>
      <c r="G266" s="15">
        <v>3.0</v>
      </c>
      <c r="H266" s="15">
        <v>0.0</v>
      </c>
      <c r="I266" s="16" t="str">
        <f t="shared" si="1"/>
        <v>1-6,13-16</v>
      </c>
      <c r="J266" s="16" t="str">
        <f t="shared" si="2"/>
        <v>1-6,13-16</v>
      </c>
      <c r="K266" s="16" t="str">
        <f t="shared" si="3"/>
        <v>1-6,13-16</v>
      </c>
      <c r="L266" s="16" t="str">
        <f t="shared" si="4"/>
        <v>1-6,13-16</v>
      </c>
      <c r="M266" s="16" t="str">
        <f t="shared" si="5"/>
        <v>1-6,13-16</v>
      </c>
      <c r="N266" s="16" t="str">
        <f t="shared" si="6"/>
        <v>1-16</v>
      </c>
      <c r="O266" s="17"/>
      <c r="P266" s="17"/>
      <c r="Q266" s="17"/>
      <c r="R266" s="17"/>
      <c r="S266" s="17"/>
      <c r="T266" s="17"/>
      <c r="U266" s="17"/>
      <c r="V266" s="17"/>
      <c r="W266" s="17"/>
    </row>
    <row r="267" ht="14.25" customHeight="1">
      <c r="A267" s="9" t="s">
        <v>545</v>
      </c>
      <c r="B267" s="10" t="s">
        <v>546</v>
      </c>
      <c r="C267" s="11" t="s">
        <v>534</v>
      </c>
      <c r="D267" s="22" t="s">
        <v>535</v>
      </c>
      <c r="E267" s="13" t="str">
        <f t="array" ref="E267">INDEX(Turmas!C2:C103,MATCH(D267,Turmas!A2:A103,0))</f>
        <v>Tarde</v>
      </c>
      <c r="F267" s="14">
        <v>50.0</v>
      </c>
      <c r="G267" s="15">
        <v>5.0</v>
      </c>
      <c r="H267" s="15">
        <v>0.0</v>
      </c>
      <c r="I267" s="16" t="str">
        <f t="shared" si="1"/>
        <v>1-6,13-16</v>
      </c>
      <c r="J267" s="16" t="str">
        <f t="shared" si="2"/>
        <v>1-6,13-16</v>
      </c>
      <c r="K267" s="16" t="str">
        <f t="shared" si="3"/>
        <v>1-6,13-16</v>
      </c>
      <c r="L267" s="16" t="str">
        <f t="shared" si="4"/>
        <v>1-6,13-16</v>
      </c>
      <c r="M267" s="16" t="str">
        <f t="shared" si="5"/>
        <v>1-6,13-16</v>
      </c>
      <c r="N267" s="16" t="str">
        <f t="shared" si="6"/>
        <v>1-16</v>
      </c>
      <c r="O267" s="17"/>
      <c r="P267" s="17"/>
      <c r="Q267" s="17"/>
      <c r="R267" s="17"/>
      <c r="S267" s="17"/>
      <c r="T267" s="17"/>
      <c r="U267" s="17"/>
      <c r="V267" s="17"/>
      <c r="W267" s="17"/>
    </row>
    <row r="268" ht="14.25" customHeight="1">
      <c r="A268" s="9" t="s">
        <v>547</v>
      </c>
      <c r="B268" s="10" t="s">
        <v>548</v>
      </c>
      <c r="C268" s="11" t="s">
        <v>512</v>
      </c>
      <c r="D268" s="22" t="s">
        <v>549</v>
      </c>
      <c r="E268" s="13" t="str">
        <f t="array" ref="E268">INDEX(Turmas!C2:C103,MATCH(D268,Turmas!A2:A103,0))</f>
        <v>Manhã</v>
      </c>
      <c r="F268" s="14">
        <v>50.0</v>
      </c>
      <c r="G268" s="15">
        <v>3.0</v>
      </c>
      <c r="H268" s="15">
        <v>0.0</v>
      </c>
      <c r="I268" s="16" t="str">
        <f t="shared" si="1"/>
        <v>7-16</v>
      </c>
      <c r="J268" s="16" t="str">
        <f t="shared" si="2"/>
        <v>7-16</v>
      </c>
      <c r="K268" s="16" t="str">
        <f t="shared" si="3"/>
        <v>7-16</v>
      </c>
      <c r="L268" s="16" t="str">
        <f t="shared" si="4"/>
        <v>7-16</v>
      </c>
      <c r="M268" s="16" t="str">
        <f t="shared" si="5"/>
        <v>7-16</v>
      </c>
      <c r="N268" s="16" t="str">
        <f t="shared" si="6"/>
        <v>1-16</v>
      </c>
      <c r="O268" s="17"/>
      <c r="P268" s="17"/>
      <c r="Q268" s="17"/>
      <c r="R268" s="17"/>
      <c r="S268" s="17"/>
      <c r="T268" s="17"/>
      <c r="U268" s="17"/>
      <c r="V268" s="17"/>
      <c r="W268" s="17"/>
    </row>
    <row r="269" ht="14.25" customHeight="1">
      <c r="A269" s="9" t="s">
        <v>550</v>
      </c>
      <c r="B269" s="10" t="s">
        <v>499</v>
      </c>
      <c r="C269" s="11" t="s">
        <v>551</v>
      </c>
      <c r="D269" s="22" t="s">
        <v>549</v>
      </c>
      <c r="E269" s="13" t="str">
        <f t="array" ref="E269">INDEX(Turmas!C2:C103,MATCH(D269,Turmas!A2:A103,0))</f>
        <v>Manhã</v>
      </c>
      <c r="F269" s="14">
        <v>50.0</v>
      </c>
      <c r="G269" s="15">
        <v>4.0</v>
      </c>
      <c r="H269" s="15">
        <v>0.0</v>
      </c>
      <c r="I269" s="16" t="str">
        <f t="shared" si="1"/>
        <v>7-16</v>
      </c>
      <c r="J269" s="16" t="str">
        <f t="shared" si="2"/>
        <v>7-16</v>
      </c>
      <c r="K269" s="16" t="str">
        <f t="shared" si="3"/>
        <v>7-16</v>
      </c>
      <c r="L269" s="16" t="str">
        <f t="shared" si="4"/>
        <v>7-16</v>
      </c>
      <c r="M269" s="16" t="str">
        <f t="shared" si="5"/>
        <v>7-16</v>
      </c>
      <c r="N269" s="16" t="str">
        <f t="shared" si="6"/>
        <v>1-16</v>
      </c>
      <c r="O269" s="17"/>
      <c r="P269" s="17"/>
      <c r="Q269" s="17"/>
      <c r="R269" s="17"/>
      <c r="S269" s="17"/>
      <c r="T269" s="17"/>
      <c r="U269" s="17"/>
      <c r="V269" s="17"/>
      <c r="W269" s="17"/>
    </row>
    <row r="270" ht="14.25" customHeight="1">
      <c r="A270" s="9" t="s">
        <v>552</v>
      </c>
      <c r="B270" s="10" t="s">
        <v>553</v>
      </c>
      <c r="C270" s="11" t="s">
        <v>485</v>
      </c>
      <c r="D270" s="22" t="s">
        <v>549</v>
      </c>
      <c r="E270" s="13" t="str">
        <f t="array" ref="E270">INDEX(Turmas!C2:C103,MATCH(D270,Turmas!A2:A103,0))</f>
        <v>Manhã</v>
      </c>
      <c r="F270" s="14">
        <v>50.0</v>
      </c>
      <c r="G270" s="15">
        <v>3.0</v>
      </c>
      <c r="H270" s="15">
        <v>0.0</v>
      </c>
      <c r="I270" s="16" t="str">
        <f t="shared" si="1"/>
        <v>7-16</v>
      </c>
      <c r="J270" s="16" t="str">
        <f t="shared" si="2"/>
        <v>7-16</v>
      </c>
      <c r="K270" s="16" t="str">
        <f t="shared" si="3"/>
        <v>7-16</v>
      </c>
      <c r="L270" s="16" t="str">
        <f t="shared" si="4"/>
        <v>7-16</v>
      </c>
      <c r="M270" s="16" t="str">
        <f t="shared" si="5"/>
        <v>7-16</v>
      </c>
      <c r="N270" s="16" t="str">
        <f t="shared" si="6"/>
        <v>1-16</v>
      </c>
      <c r="O270" s="17"/>
      <c r="P270" s="17"/>
      <c r="Q270" s="17"/>
      <c r="R270" s="17"/>
      <c r="S270" s="17"/>
      <c r="T270" s="17"/>
      <c r="U270" s="17"/>
      <c r="V270" s="17"/>
      <c r="W270" s="17"/>
    </row>
    <row r="271" ht="14.25" customHeight="1">
      <c r="A271" s="9" t="s">
        <v>554</v>
      </c>
      <c r="B271" s="10" t="s">
        <v>517</v>
      </c>
      <c r="C271" s="11" t="s">
        <v>87</v>
      </c>
      <c r="D271" s="24" t="s">
        <v>549</v>
      </c>
      <c r="E271" s="13" t="str">
        <f t="array" ref="E271">INDEX(Turmas!C2:C103,MATCH(D271,Turmas!A2:A103,0))</f>
        <v>Manhã</v>
      </c>
      <c r="F271" s="14">
        <v>50.0</v>
      </c>
      <c r="G271" s="15">
        <v>3.0</v>
      </c>
      <c r="H271" s="15">
        <v>0.0</v>
      </c>
      <c r="I271" s="16" t="str">
        <f t="shared" si="1"/>
        <v>7-16</v>
      </c>
      <c r="J271" s="16" t="str">
        <f t="shared" si="2"/>
        <v>7-16</v>
      </c>
      <c r="K271" s="16" t="str">
        <f t="shared" si="3"/>
        <v>7-16</v>
      </c>
      <c r="L271" s="16" t="str">
        <f t="shared" si="4"/>
        <v>7-16</v>
      </c>
      <c r="M271" s="16" t="str">
        <f t="shared" si="5"/>
        <v>7-16</v>
      </c>
      <c r="N271" s="16" t="str">
        <f t="shared" si="6"/>
        <v>1-16</v>
      </c>
      <c r="O271" s="17"/>
      <c r="P271" s="17"/>
      <c r="Q271" s="17"/>
      <c r="R271" s="17"/>
      <c r="S271" s="17"/>
      <c r="T271" s="17"/>
      <c r="U271" s="17"/>
      <c r="V271" s="17"/>
      <c r="W271" s="17"/>
    </row>
    <row r="272" ht="14.25" customHeight="1">
      <c r="A272" s="9" t="s">
        <v>555</v>
      </c>
      <c r="B272" s="10" t="s">
        <v>556</v>
      </c>
      <c r="C272" s="11" t="s">
        <v>488</v>
      </c>
      <c r="D272" s="24" t="s">
        <v>549</v>
      </c>
      <c r="E272" s="13" t="str">
        <f t="array" ref="E272">INDEX(Turmas!C2:C103,MATCH(D272,Turmas!A2:A103,0))</f>
        <v>Manhã</v>
      </c>
      <c r="F272" s="14">
        <v>50.0</v>
      </c>
      <c r="G272" s="15">
        <v>4.0</v>
      </c>
      <c r="H272" s="15">
        <v>0.0</v>
      </c>
      <c r="I272" s="16" t="str">
        <f t="shared" si="1"/>
        <v>7-16</v>
      </c>
      <c r="J272" s="16" t="str">
        <f t="shared" si="2"/>
        <v>7-16</v>
      </c>
      <c r="K272" s="16" t="str">
        <f t="shared" si="3"/>
        <v>7-16</v>
      </c>
      <c r="L272" s="16" t="str">
        <f t="shared" si="4"/>
        <v>7-16</v>
      </c>
      <c r="M272" s="16" t="str">
        <f t="shared" si="5"/>
        <v>7-16</v>
      </c>
      <c r="N272" s="16" t="str">
        <f t="shared" si="6"/>
        <v>1-16</v>
      </c>
      <c r="O272" s="17"/>
      <c r="P272" s="17"/>
      <c r="Q272" s="17"/>
      <c r="R272" s="17"/>
      <c r="S272" s="17"/>
      <c r="T272" s="17"/>
      <c r="U272" s="17"/>
      <c r="V272" s="17"/>
      <c r="W272" s="17"/>
    </row>
    <row r="273" ht="14.25" customHeight="1">
      <c r="A273" s="9" t="s">
        <v>557</v>
      </c>
      <c r="B273" s="10" t="s">
        <v>558</v>
      </c>
      <c r="C273" s="11" t="s">
        <v>559</v>
      </c>
      <c r="D273" s="24" t="s">
        <v>549</v>
      </c>
      <c r="E273" s="13" t="str">
        <f t="array" ref="E273">INDEX(Turmas!C2:C103,MATCH(D273,Turmas!A2:A103,0))</f>
        <v>Manhã</v>
      </c>
      <c r="F273" s="14">
        <v>50.0</v>
      </c>
      <c r="G273" s="15">
        <v>3.0</v>
      </c>
      <c r="H273" s="15">
        <v>0.0</v>
      </c>
      <c r="I273" s="16" t="str">
        <f t="shared" si="1"/>
        <v>7-16</v>
      </c>
      <c r="J273" s="16" t="str">
        <f t="shared" si="2"/>
        <v>7-16</v>
      </c>
      <c r="K273" s="16" t="str">
        <f t="shared" si="3"/>
        <v>7-16</v>
      </c>
      <c r="L273" s="16" t="str">
        <f t="shared" si="4"/>
        <v>7-16</v>
      </c>
      <c r="M273" s="16" t="str">
        <f t="shared" si="5"/>
        <v>7-16</v>
      </c>
      <c r="N273" s="16" t="str">
        <f t="shared" si="6"/>
        <v>1-16</v>
      </c>
      <c r="O273" s="17"/>
      <c r="P273" s="17"/>
      <c r="Q273" s="17"/>
      <c r="R273" s="17"/>
      <c r="S273" s="17"/>
      <c r="T273" s="17"/>
      <c r="U273" s="17"/>
      <c r="V273" s="17"/>
      <c r="W273" s="17"/>
    </row>
    <row r="274" ht="14.25" customHeight="1">
      <c r="A274" s="9" t="s">
        <v>560</v>
      </c>
      <c r="B274" s="10" t="s">
        <v>561</v>
      </c>
      <c r="C274" s="11" t="s">
        <v>525</v>
      </c>
      <c r="D274" s="24" t="s">
        <v>562</v>
      </c>
      <c r="E274" s="13" t="str">
        <f t="array" ref="E274">INDEX(Turmas!C2:C103,MATCH(D274,Turmas!A2:A103,0))</f>
        <v>Tarde</v>
      </c>
      <c r="F274" s="14">
        <v>50.0</v>
      </c>
      <c r="G274" s="15">
        <v>2.0</v>
      </c>
      <c r="H274" s="15">
        <v>0.0</v>
      </c>
      <c r="I274" s="16" t="str">
        <f t="shared" si="1"/>
        <v>1-6,13-16</v>
      </c>
      <c r="J274" s="16" t="str">
        <f t="shared" si="2"/>
        <v>1-6,13-16</v>
      </c>
      <c r="K274" s="16" t="str">
        <f t="shared" si="3"/>
        <v>1-6,13-16</v>
      </c>
      <c r="L274" s="16" t="str">
        <f t="shared" si="4"/>
        <v>1-6,13-16</v>
      </c>
      <c r="M274" s="16" t="str">
        <f t="shared" si="5"/>
        <v>1-6,13-16</v>
      </c>
      <c r="N274" s="16" t="str">
        <f t="shared" si="6"/>
        <v>1-16</v>
      </c>
      <c r="O274" s="17"/>
      <c r="P274" s="17"/>
      <c r="Q274" s="17"/>
      <c r="R274" s="17"/>
      <c r="S274" s="17"/>
      <c r="T274" s="17"/>
      <c r="U274" s="17"/>
      <c r="V274" s="17"/>
      <c r="W274" s="17"/>
    </row>
    <row r="275" ht="14.25" customHeight="1">
      <c r="A275" s="9" t="s">
        <v>563</v>
      </c>
      <c r="B275" s="10" t="s">
        <v>564</v>
      </c>
      <c r="C275" s="11" t="s">
        <v>488</v>
      </c>
      <c r="D275" s="24" t="s">
        <v>562</v>
      </c>
      <c r="E275" s="13" t="str">
        <f t="array" ref="E275">INDEX(Turmas!C2:C103,MATCH(D275,Turmas!A2:A103,0))</f>
        <v>Tarde</v>
      </c>
      <c r="F275" s="14">
        <v>50.0</v>
      </c>
      <c r="G275" s="15">
        <v>2.0</v>
      </c>
      <c r="H275" s="15">
        <v>0.0</v>
      </c>
      <c r="I275" s="16" t="str">
        <f t="shared" si="1"/>
        <v>1-6,13-16</v>
      </c>
      <c r="J275" s="16" t="str">
        <f t="shared" si="2"/>
        <v>1-6,13-16</v>
      </c>
      <c r="K275" s="16" t="str">
        <f t="shared" si="3"/>
        <v>1-6,13-16</v>
      </c>
      <c r="L275" s="16" t="str">
        <f t="shared" si="4"/>
        <v>1-6,13-16</v>
      </c>
      <c r="M275" s="16" t="str">
        <f t="shared" si="5"/>
        <v>1-6,13-16</v>
      </c>
      <c r="N275" s="16" t="str">
        <f t="shared" si="6"/>
        <v>1-16</v>
      </c>
      <c r="O275" s="17"/>
      <c r="P275" s="17"/>
      <c r="Q275" s="17"/>
      <c r="R275" s="17"/>
      <c r="S275" s="17"/>
      <c r="T275" s="17"/>
      <c r="U275" s="17"/>
      <c r="V275" s="17"/>
      <c r="W275" s="17"/>
    </row>
    <row r="276" ht="14.25" customHeight="1">
      <c r="A276" s="9" t="s">
        <v>565</v>
      </c>
      <c r="B276" s="10" t="s">
        <v>566</v>
      </c>
      <c r="C276" s="11" t="s">
        <v>522</v>
      </c>
      <c r="D276" s="24" t="s">
        <v>562</v>
      </c>
      <c r="E276" s="13" t="str">
        <f t="array" ref="E276">INDEX(Turmas!C2:C103,MATCH(D276,Turmas!A2:A103,0))</f>
        <v>Tarde</v>
      </c>
      <c r="F276" s="14">
        <v>50.0</v>
      </c>
      <c r="G276" s="15">
        <v>3.0</v>
      </c>
      <c r="H276" s="15">
        <v>0.0</v>
      </c>
      <c r="I276" s="16" t="str">
        <f t="shared" si="1"/>
        <v>1-6,13-16</v>
      </c>
      <c r="J276" s="16" t="str">
        <f t="shared" si="2"/>
        <v>1-6,13-16</v>
      </c>
      <c r="K276" s="16" t="str">
        <f t="shared" si="3"/>
        <v>1-6,13-16</v>
      </c>
      <c r="L276" s="16" t="str">
        <f t="shared" si="4"/>
        <v>1-6,13-16</v>
      </c>
      <c r="M276" s="16" t="str">
        <f t="shared" si="5"/>
        <v>1-6,13-16</v>
      </c>
      <c r="N276" s="16" t="str">
        <f t="shared" si="6"/>
        <v>1-16</v>
      </c>
      <c r="O276" s="17"/>
      <c r="P276" s="17"/>
      <c r="Q276" s="17"/>
      <c r="R276" s="17"/>
      <c r="S276" s="17"/>
      <c r="T276" s="17"/>
      <c r="U276" s="17"/>
      <c r="V276" s="17"/>
      <c r="W276" s="17"/>
    </row>
    <row r="277" ht="14.25" customHeight="1">
      <c r="A277" s="9" t="s">
        <v>567</v>
      </c>
      <c r="B277" s="10" t="s">
        <v>568</v>
      </c>
      <c r="C277" s="11" t="s">
        <v>569</v>
      </c>
      <c r="D277" s="24" t="s">
        <v>570</v>
      </c>
      <c r="E277" s="13" t="str">
        <f t="array" ref="E277">INDEX(Turmas!C2:C103,MATCH(D277,Turmas!A2:A103,0))</f>
        <v>Integral</v>
      </c>
      <c r="F277" s="14">
        <v>50.0</v>
      </c>
      <c r="G277" s="15">
        <v>4.0</v>
      </c>
      <c r="H277" s="15">
        <v>0.0</v>
      </c>
      <c r="I277" s="16" t="str">
        <f t="shared" si="1"/>
        <v>13-16</v>
      </c>
      <c r="J277" s="16" t="str">
        <f t="shared" si="2"/>
        <v>13-16</v>
      </c>
      <c r="K277" s="16" t="str">
        <f t="shared" si="3"/>
        <v>13-16</v>
      </c>
      <c r="L277" s="16" t="str">
        <f t="shared" si="4"/>
        <v>13-16</v>
      </c>
      <c r="M277" s="16" t="str">
        <f t="shared" si="5"/>
        <v>13-16</v>
      </c>
      <c r="N277" s="16" t="str">
        <f t="shared" si="6"/>
        <v>1-16</v>
      </c>
      <c r="O277" s="17"/>
      <c r="P277" s="17"/>
      <c r="Q277" s="17"/>
      <c r="R277" s="17"/>
      <c r="S277" s="17"/>
      <c r="T277" s="17"/>
      <c r="U277" s="17"/>
      <c r="V277" s="17"/>
      <c r="W277" s="17"/>
    </row>
    <row r="278" ht="14.25" customHeight="1">
      <c r="A278" s="9" t="s">
        <v>571</v>
      </c>
      <c r="B278" s="10" t="s">
        <v>572</v>
      </c>
      <c r="C278" s="11" t="s">
        <v>525</v>
      </c>
      <c r="D278" s="24" t="s">
        <v>573</v>
      </c>
      <c r="E278" s="13" t="str">
        <f t="array" ref="E278">INDEX(Turmas!C2:C103,MATCH(D278,Turmas!A2:A103,0))</f>
        <v>Noite</v>
      </c>
      <c r="F278" s="14">
        <v>60.0</v>
      </c>
      <c r="G278" s="15">
        <v>4.0</v>
      </c>
      <c r="H278" s="15">
        <v>0.0</v>
      </c>
      <c r="I278" s="16" t="str">
        <f t="shared" si="1"/>
        <v>1-12</v>
      </c>
      <c r="J278" s="16" t="str">
        <f t="shared" si="2"/>
        <v>1-12</v>
      </c>
      <c r="K278" s="16" t="str">
        <f t="shared" si="3"/>
        <v>1-12</v>
      </c>
      <c r="L278" s="16" t="str">
        <f t="shared" si="4"/>
        <v>1-12</v>
      </c>
      <c r="M278" s="16" t="str">
        <f t="shared" si="5"/>
        <v>1-12</v>
      </c>
      <c r="N278" s="16" t="str">
        <f t="shared" si="6"/>
        <v>0</v>
      </c>
      <c r="O278" s="17"/>
      <c r="P278" s="17"/>
      <c r="Q278" s="17"/>
      <c r="R278" s="17"/>
      <c r="S278" s="17"/>
      <c r="T278" s="17"/>
      <c r="U278" s="17"/>
      <c r="V278" s="17"/>
      <c r="W278" s="17"/>
    </row>
    <row r="279" ht="14.25" customHeight="1">
      <c r="A279" s="9" t="s">
        <v>574</v>
      </c>
      <c r="B279" s="10" t="s">
        <v>575</v>
      </c>
      <c r="C279" s="11" t="s">
        <v>576</v>
      </c>
      <c r="D279" s="24" t="s">
        <v>573</v>
      </c>
      <c r="E279" s="13" t="str">
        <f t="array" ref="E279">INDEX(Turmas!C2:C103,MATCH(D279,Turmas!A2:A103,0))</f>
        <v>Noite</v>
      </c>
      <c r="F279" s="14">
        <v>60.0</v>
      </c>
      <c r="G279" s="15">
        <v>2.0</v>
      </c>
      <c r="H279" s="15">
        <v>0.0</v>
      </c>
      <c r="I279" s="16" t="str">
        <f t="shared" si="1"/>
        <v>1-12</v>
      </c>
      <c r="J279" s="16" t="str">
        <f t="shared" si="2"/>
        <v>1-12</v>
      </c>
      <c r="K279" s="16" t="str">
        <f t="shared" si="3"/>
        <v>1-12</v>
      </c>
      <c r="L279" s="16" t="str">
        <f t="shared" si="4"/>
        <v>1-12</v>
      </c>
      <c r="M279" s="16" t="str">
        <f t="shared" si="5"/>
        <v>1-12</v>
      </c>
      <c r="N279" s="16" t="str">
        <f t="shared" si="6"/>
        <v>0</v>
      </c>
      <c r="O279" s="17"/>
      <c r="P279" s="17"/>
      <c r="Q279" s="17"/>
      <c r="R279" s="17"/>
      <c r="S279" s="17"/>
      <c r="T279" s="17"/>
      <c r="U279" s="17"/>
      <c r="V279" s="17"/>
      <c r="W279" s="17"/>
    </row>
    <row r="280" ht="14.25" customHeight="1">
      <c r="A280" s="9" t="s">
        <v>577</v>
      </c>
      <c r="B280" s="10" t="s">
        <v>578</v>
      </c>
      <c r="C280" s="11" t="s">
        <v>368</v>
      </c>
      <c r="D280" s="24" t="s">
        <v>573</v>
      </c>
      <c r="E280" s="13" t="str">
        <f t="array" ref="E280">INDEX(Turmas!C2:C103,MATCH(D280,Turmas!A2:A103,0))</f>
        <v>Noite</v>
      </c>
      <c r="F280" s="14">
        <v>60.0</v>
      </c>
      <c r="G280" s="15">
        <v>3.0</v>
      </c>
      <c r="H280" s="15">
        <v>0.0</v>
      </c>
      <c r="I280" s="16" t="str">
        <f t="shared" si="1"/>
        <v>1-12</v>
      </c>
      <c r="J280" s="16" t="str">
        <f t="shared" si="2"/>
        <v>1-12</v>
      </c>
      <c r="K280" s="16" t="str">
        <f t="shared" si="3"/>
        <v>1-12</v>
      </c>
      <c r="L280" s="16" t="str">
        <f t="shared" si="4"/>
        <v>1-12</v>
      </c>
      <c r="M280" s="16" t="str">
        <f t="shared" si="5"/>
        <v>1-12</v>
      </c>
      <c r="N280" s="16" t="str">
        <f t="shared" si="6"/>
        <v>0</v>
      </c>
      <c r="O280" s="17"/>
      <c r="P280" s="17"/>
      <c r="Q280" s="17"/>
      <c r="R280" s="17"/>
      <c r="S280" s="17"/>
      <c r="T280" s="17"/>
      <c r="U280" s="17"/>
      <c r="V280" s="17"/>
      <c r="W280" s="17"/>
    </row>
    <row r="281" ht="14.25" customHeight="1">
      <c r="A281" s="9" t="s">
        <v>579</v>
      </c>
      <c r="B281" s="10" t="s">
        <v>580</v>
      </c>
      <c r="C281" s="11" t="s">
        <v>167</v>
      </c>
      <c r="D281" s="24" t="s">
        <v>573</v>
      </c>
      <c r="E281" s="13" t="str">
        <f t="array" ref="E281">INDEX(Turmas!C2:C103,MATCH(D281,Turmas!A2:A103,0))</f>
        <v>Noite</v>
      </c>
      <c r="F281" s="14">
        <v>60.0</v>
      </c>
      <c r="G281" s="15">
        <v>4.0</v>
      </c>
      <c r="H281" s="15">
        <v>0.0</v>
      </c>
      <c r="I281" s="16" t="str">
        <f t="shared" si="1"/>
        <v>1-12</v>
      </c>
      <c r="J281" s="16" t="str">
        <f t="shared" si="2"/>
        <v>1-12</v>
      </c>
      <c r="K281" s="16" t="str">
        <f t="shared" si="3"/>
        <v>1-12</v>
      </c>
      <c r="L281" s="16" t="str">
        <f t="shared" si="4"/>
        <v>1-12</v>
      </c>
      <c r="M281" s="16" t="str">
        <f t="shared" si="5"/>
        <v>1-12</v>
      </c>
      <c r="N281" s="16" t="str">
        <f t="shared" si="6"/>
        <v>0</v>
      </c>
      <c r="O281" s="17"/>
      <c r="P281" s="17"/>
      <c r="Q281" s="17"/>
      <c r="R281" s="17"/>
      <c r="S281" s="17"/>
      <c r="T281" s="17"/>
      <c r="U281" s="17"/>
      <c r="V281" s="17"/>
      <c r="W281" s="17"/>
    </row>
    <row r="282" ht="14.25" customHeight="1">
      <c r="A282" s="9" t="s">
        <v>581</v>
      </c>
      <c r="B282" s="10" t="s">
        <v>582</v>
      </c>
      <c r="C282" s="11" t="s">
        <v>385</v>
      </c>
      <c r="D282" s="24" t="s">
        <v>573</v>
      </c>
      <c r="E282" s="13" t="str">
        <f t="array" ref="E282">INDEX(Turmas!C2:C103,MATCH(D282,Turmas!A2:A103,0))</f>
        <v>Noite</v>
      </c>
      <c r="F282" s="14">
        <v>60.0</v>
      </c>
      <c r="G282" s="15">
        <v>4.0</v>
      </c>
      <c r="H282" s="15">
        <v>0.0</v>
      </c>
      <c r="I282" s="16" t="str">
        <f t="shared" si="1"/>
        <v>1-12</v>
      </c>
      <c r="J282" s="16" t="str">
        <f t="shared" si="2"/>
        <v>1-12</v>
      </c>
      <c r="K282" s="16" t="str">
        <f t="shared" si="3"/>
        <v>1-12</v>
      </c>
      <c r="L282" s="16" t="str">
        <f t="shared" si="4"/>
        <v>1-12</v>
      </c>
      <c r="M282" s="16" t="str">
        <f t="shared" si="5"/>
        <v>1-12</v>
      </c>
      <c r="N282" s="16" t="str">
        <f t="shared" si="6"/>
        <v>0</v>
      </c>
      <c r="O282" s="17"/>
      <c r="P282" s="17"/>
      <c r="Q282" s="17"/>
      <c r="R282" s="17"/>
      <c r="S282" s="17"/>
      <c r="T282" s="17"/>
      <c r="U282" s="17"/>
      <c r="V282" s="17"/>
      <c r="W282" s="17"/>
    </row>
    <row r="283" ht="14.25" customHeight="1">
      <c r="A283" s="9" t="s">
        <v>45</v>
      </c>
      <c r="B283" s="10" t="s">
        <v>46</v>
      </c>
      <c r="C283" s="11" t="s">
        <v>149</v>
      </c>
      <c r="D283" s="24" t="s">
        <v>573</v>
      </c>
      <c r="E283" s="13" t="str">
        <f t="array" ref="E283">INDEX(Turmas!C2:C103,MATCH(D283,Turmas!A2:A103,0))</f>
        <v>Noite</v>
      </c>
      <c r="F283" s="14">
        <v>60.0</v>
      </c>
      <c r="G283" s="15">
        <v>3.0</v>
      </c>
      <c r="H283" s="15">
        <v>0.0</v>
      </c>
      <c r="I283" s="16" t="str">
        <f t="shared" si="1"/>
        <v>1-12</v>
      </c>
      <c r="J283" s="16" t="str">
        <f t="shared" si="2"/>
        <v>1-12</v>
      </c>
      <c r="K283" s="16" t="str">
        <f t="shared" si="3"/>
        <v>1-12</v>
      </c>
      <c r="L283" s="16" t="str">
        <f t="shared" si="4"/>
        <v>1-12</v>
      </c>
      <c r="M283" s="16" t="str">
        <f t="shared" si="5"/>
        <v>1-12</v>
      </c>
      <c r="N283" s="16" t="str">
        <f t="shared" si="6"/>
        <v>0</v>
      </c>
      <c r="O283" s="17"/>
      <c r="P283" s="17"/>
      <c r="Q283" s="17"/>
      <c r="R283" s="17"/>
      <c r="S283" s="17"/>
      <c r="T283" s="17"/>
      <c r="U283" s="17"/>
      <c r="V283" s="17"/>
      <c r="W283" s="17"/>
    </row>
    <row r="284" ht="14.25" customHeight="1">
      <c r="A284" s="9" t="s">
        <v>583</v>
      </c>
      <c r="B284" s="10" t="s">
        <v>514</v>
      </c>
      <c r="C284" s="11" t="s">
        <v>482</v>
      </c>
      <c r="D284" s="24" t="s">
        <v>584</v>
      </c>
      <c r="E284" s="13" t="str">
        <f t="array" ref="E284">INDEX(Turmas!C2:C103,MATCH(D284,Turmas!A2:A103,0))</f>
        <v>Noite</v>
      </c>
      <c r="F284" s="14">
        <v>60.0</v>
      </c>
      <c r="G284" s="15">
        <v>3.0</v>
      </c>
      <c r="H284" s="15">
        <v>0.0</v>
      </c>
      <c r="I284" s="16" t="str">
        <f t="shared" si="1"/>
        <v>1-12</v>
      </c>
      <c r="J284" s="16" t="str">
        <f t="shared" si="2"/>
        <v>1-12</v>
      </c>
      <c r="K284" s="16" t="str">
        <f t="shared" si="3"/>
        <v>1-12</v>
      </c>
      <c r="L284" s="16" t="str">
        <f t="shared" si="4"/>
        <v>1-12</v>
      </c>
      <c r="M284" s="16" t="str">
        <f t="shared" si="5"/>
        <v>1-12</v>
      </c>
      <c r="N284" s="16" t="str">
        <f t="shared" si="6"/>
        <v>0</v>
      </c>
      <c r="O284" s="17"/>
      <c r="P284" s="17"/>
      <c r="Q284" s="17"/>
      <c r="R284" s="17"/>
      <c r="S284" s="17"/>
      <c r="T284" s="17"/>
      <c r="U284" s="17"/>
      <c r="V284" s="17"/>
      <c r="W284" s="17"/>
    </row>
    <row r="285" ht="14.25" customHeight="1">
      <c r="A285" s="9" t="s">
        <v>585</v>
      </c>
      <c r="B285" s="10" t="s">
        <v>304</v>
      </c>
      <c r="C285" s="11" t="s">
        <v>576</v>
      </c>
      <c r="D285" s="24" t="s">
        <v>584</v>
      </c>
      <c r="E285" s="13" t="str">
        <f t="array" ref="E285">INDEX(Turmas!C2:C103,MATCH(D285,Turmas!A2:A103,0))</f>
        <v>Noite</v>
      </c>
      <c r="F285" s="14">
        <v>60.0</v>
      </c>
      <c r="G285" s="15">
        <v>3.0</v>
      </c>
      <c r="H285" s="15">
        <v>0.0</v>
      </c>
      <c r="I285" s="16" t="str">
        <f t="shared" si="1"/>
        <v>1-12</v>
      </c>
      <c r="J285" s="16" t="str">
        <f t="shared" si="2"/>
        <v>1-12</v>
      </c>
      <c r="K285" s="16" t="str">
        <f t="shared" si="3"/>
        <v>1-12</v>
      </c>
      <c r="L285" s="16" t="str">
        <f t="shared" si="4"/>
        <v>1-12</v>
      </c>
      <c r="M285" s="16" t="str">
        <f t="shared" si="5"/>
        <v>1-12</v>
      </c>
      <c r="N285" s="16" t="str">
        <f t="shared" si="6"/>
        <v>0</v>
      </c>
      <c r="O285" s="17"/>
      <c r="P285" s="17"/>
      <c r="Q285" s="17"/>
      <c r="R285" s="17"/>
      <c r="S285" s="17"/>
      <c r="T285" s="17"/>
      <c r="U285" s="17"/>
      <c r="V285" s="17"/>
      <c r="W285" s="17"/>
    </row>
    <row r="286" ht="14.25" customHeight="1">
      <c r="A286" s="9" t="s">
        <v>586</v>
      </c>
      <c r="B286" s="10" t="s">
        <v>517</v>
      </c>
      <c r="C286" s="11" t="s">
        <v>87</v>
      </c>
      <c r="D286" s="24" t="s">
        <v>584</v>
      </c>
      <c r="E286" s="13" t="str">
        <f t="array" ref="E286">INDEX(Turmas!C2:C103,MATCH(D286,Turmas!A2:A103,0))</f>
        <v>Noite</v>
      </c>
      <c r="F286" s="14">
        <v>60.0</v>
      </c>
      <c r="G286" s="15">
        <v>3.0</v>
      </c>
      <c r="H286" s="15">
        <v>0.0</v>
      </c>
      <c r="I286" s="16" t="str">
        <f t="shared" si="1"/>
        <v>1-12</v>
      </c>
      <c r="J286" s="16" t="str">
        <f t="shared" si="2"/>
        <v>1-12</v>
      </c>
      <c r="K286" s="16" t="str">
        <f t="shared" si="3"/>
        <v>1-12</v>
      </c>
      <c r="L286" s="16" t="str">
        <f t="shared" si="4"/>
        <v>1-12</v>
      </c>
      <c r="M286" s="16" t="str">
        <f t="shared" si="5"/>
        <v>1-12</v>
      </c>
      <c r="N286" s="16" t="str">
        <f t="shared" si="6"/>
        <v>0</v>
      </c>
      <c r="O286" s="17"/>
      <c r="P286" s="17"/>
      <c r="Q286" s="17"/>
      <c r="R286" s="17"/>
      <c r="S286" s="17"/>
      <c r="T286" s="17"/>
      <c r="U286" s="17"/>
      <c r="V286" s="17"/>
      <c r="W286" s="17"/>
    </row>
    <row r="287" ht="14.25" customHeight="1">
      <c r="A287" s="9" t="s">
        <v>587</v>
      </c>
      <c r="B287" s="10" t="s">
        <v>588</v>
      </c>
      <c r="C287" s="11" t="s">
        <v>500</v>
      </c>
      <c r="D287" s="24" t="s">
        <v>584</v>
      </c>
      <c r="E287" s="13" t="str">
        <f t="array" ref="E287">INDEX(Turmas!C2:C103,MATCH(D287,Turmas!A2:A103,0))</f>
        <v>Noite</v>
      </c>
      <c r="F287" s="14">
        <v>60.0</v>
      </c>
      <c r="G287" s="15">
        <v>3.0</v>
      </c>
      <c r="H287" s="15">
        <v>0.0</v>
      </c>
      <c r="I287" s="16" t="str">
        <f t="shared" si="1"/>
        <v>1-12</v>
      </c>
      <c r="J287" s="16" t="str">
        <f t="shared" si="2"/>
        <v>1-12</v>
      </c>
      <c r="K287" s="16" t="str">
        <f t="shared" si="3"/>
        <v>1-12</v>
      </c>
      <c r="L287" s="16" t="str">
        <f t="shared" si="4"/>
        <v>1-12</v>
      </c>
      <c r="M287" s="16" t="str">
        <f t="shared" si="5"/>
        <v>1-12</v>
      </c>
      <c r="N287" s="16" t="str">
        <f t="shared" si="6"/>
        <v>0</v>
      </c>
      <c r="O287" s="17"/>
      <c r="P287" s="17"/>
      <c r="Q287" s="17"/>
      <c r="R287" s="17"/>
      <c r="S287" s="17"/>
      <c r="T287" s="17"/>
      <c r="U287" s="17"/>
      <c r="V287" s="17"/>
      <c r="W287" s="17"/>
    </row>
    <row r="288" ht="14.25" customHeight="1">
      <c r="A288" s="9" t="s">
        <v>589</v>
      </c>
      <c r="B288" s="10" t="s">
        <v>511</v>
      </c>
      <c r="C288" s="11" t="s">
        <v>512</v>
      </c>
      <c r="D288" s="24" t="s">
        <v>584</v>
      </c>
      <c r="E288" s="13" t="str">
        <f t="array" ref="E288">INDEX(Turmas!C2:C103,MATCH(D288,Turmas!A2:A103,0))</f>
        <v>Noite</v>
      </c>
      <c r="F288" s="14">
        <v>60.0</v>
      </c>
      <c r="G288" s="15">
        <v>4.0</v>
      </c>
      <c r="H288" s="15">
        <v>0.0</v>
      </c>
      <c r="I288" s="16" t="str">
        <f t="shared" si="1"/>
        <v>1-12</v>
      </c>
      <c r="J288" s="16" t="str">
        <f t="shared" si="2"/>
        <v>1-12</v>
      </c>
      <c r="K288" s="16" t="str">
        <f t="shared" si="3"/>
        <v>1-12</v>
      </c>
      <c r="L288" s="16" t="str">
        <f t="shared" si="4"/>
        <v>1-12</v>
      </c>
      <c r="M288" s="16" t="str">
        <f t="shared" si="5"/>
        <v>1-12</v>
      </c>
      <c r="N288" s="16" t="str">
        <f t="shared" si="6"/>
        <v>0</v>
      </c>
      <c r="O288" s="17"/>
      <c r="P288" s="17"/>
      <c r="Q288" s="17"/>
      <c r="R288" s="17"/>
      <c r="S288" s="17"/>
      <c r="T288" s="17"/>
      <c r="U288" s="17"/>
      <c r="V288" s="17"/>
      <c r="W288" s="17"/>
    </row>
    <row r="289" ht="14.25" customHeight="1">
      <c r="A289" s="9" t="s">
        <v>396</v>
      </c>
      <c r="B289" s="10" t="s">
        <v>397</v>
      </c>
      <c r="C289" s="11" t="s">
        <v>398</v>
      </c>
      <c r="D289" s="24" t="s">
        <v>584</v>
      </c>
      <c r="E289" s="13" t="str">
        <f t="array" ref="E289">INDEX(Turmas!C2:C103,MATCH(D289,Turmas!A2:A103,0))</f>
        <v>Noite</v>
      </c>
      <c r="F289" s="14">
        <v>60.0</v>
      </c>
      <c r="G289" s="15">
        <v>4.0</v>
      </c>
      <c r="H289" s="15">
        <v>0.0</v>
      </c>
      <c r="I289" s="16" t="str">
        <f t="shared" si="1"/>
        <v>1-12</v>
      </c>
      <c r="J289" s="16" t="str">
        <f t="shared" si="2"/>
        <v>1-12</v>
      </c>
      <c r="K289" s="16" t="str">
        <f t="shared" si="3"/>
        <v>1-12</v>
      </c>
      <c r="L289" s="16" t="str">
        <f t="shared" si="4"/>
        <v>1-12</v>
      </c>
      <c r="M289" s="16" t="str">
        <f t="shared" si="5"/>
        <v>1-12</v>
      </c>
      <c r="N289" s="16" t="str">
        <f t="shared" si="6"/>
        <v>0</v>
      </c>
      <c r="O289" s="17"/>
      <c r="P289" s="17"/>
      <c r="Q289" s="17"/>
      <c r="R289" s="17"/>
      <c r="S289" s="17"/>
      <c r="T289" s="17"/>
      <c r="U289" s="17"/>
      <c r="V289" s="17"/>
      <c r="W289" s="17"/>
    </row>
    <row r="290" ht="14.25" customHeight="1">
      <c r="A290" s="9" t="s">
        <v>590</v>
      </c>
      <c r="B290" s="10" t="s">
        <v>591</v>
      </c>
      <c r="C290" s="11" t="s">
        <v>106</v>
      </c>
      <c r="D290" s="22" t="s">
        <v>592</v>
      </c>
      <c r="E290" s="13" t="str">
        <f t="array" ref="E290">INDEX(Turmas!C2:C103,MATCH(D290,Turmas!A2:A103,0))</f>
        <v>Noite</v>
      </c>
      <c r="F290" s="14">
        <v>60.0</v>
      </c>
      <c r="G290" s="15">
        <v>4.0</v>
      </c>
      <c r="H290" s="15">
        <v>0.0</v>
      </c>
      <c r="I290" s="16" t="str">
        <f t="shared" si="1"/>
        <v>1-12</v>
      </c>
      <c r="J290" s="16" t="str">
        <f t="shared" si="2"/>
        <v>1-12</v>
      </c>
      <c r="K290" s="16" t="str">
        <f t="shared" si="3"/>
        <v>1-12</v>
      </c>
      <c r="L290" s="16" t="str">
        <f t="shared" si="4"/>
        <v>1-12</v>
      </c>
      <c r="M290" s="16" t="str">
        <f t="shared" si="5"/>
        <v>1-12</v>
      </c>
      <c r="N290" s="16" t="str">
        <f t="shared" si="6"/>
        <v>0</v>
      </c>
      <c r="O290" s="17"/>
      <c r="P290" s="17"/>
      <c r="Q290" s="17"/>
      <c r="R290" s="17"/>
      <c r="S290" s="17"/>
      <c r="T290" s="17"/>
      <c r="U290" s="17"/>
      <c r="V290" s="17"/>
      <c r="W290" s="17"/>
    </row>
    <row r="291" ht="14.25" customHeight="1">
      <c r="A291" s="9" t="s">
        <v>593</v>
      </c>
      <c r="B291" s="10" t="s">
        <v>594</v>
      </c>
      <c r="C291" s="11" t="s">
        <v>595</v>
      </c>
      <c r="D291" s="22" t="s">
        <v>592</v>
      </c>
      <c r="E291" s="13" t="str">
        <f t="array" ref="E291">INDEX(Turmas!C2:C103,MATCH(D291,Turmas!A2:A103,0))</f>
        <v>Noite</v>
      </c>
      <c r="F291" s="14">
        <v>60.0</v>
      </c>
      <c r="G291" s="15">
        <v>4.0</v>
      </c>
      <c r="H291" s="15">
        <v>0.0</v>
      </c>
      <c r="I291" s="16" t="str">
        <f t="shared" si="1"/>
        <v>1-12</v>
      </c>
      <c r="J291" s="16" t="str">
        <f t="shared" si="2"/>
        <v>1-12</v>
      </c>
      <c r="K291" s="16" t="str">
        <f t="shared" si="3"/>
        <v>1-12</v>
      </c>
      <c r="L291" s="16" t="str">
        <f t="shared" si="4"/>
        <v>1-12</v>
      </c>
      <c r="M291" s="16" t="str">
        <f t="shared" si="5"/>
        <v>1-12</v>
      </c>
      <c r="N291" s="16" t="str">
        <f t="shared" si="6"/>
        <v>0</v>
      </c>
      <c r="O291" s="17"/>
      <c r="P291" s="17"/>
      <c r="Q291" s="17"/>
      <c r="R291" s="17"/>
      <c r="S291" s="17"/>
      <c r="T291" s="17"/>
      <c r="U291" s="17"/>
      <c r="V291" s="17"/>
      <c r="W291" s="17"/>
    </row>
    <row r="292" ht="14.25" customHeight="1">
      <c r="A292" s="9" t="s">
        <v>596</v>
      </c>
      <c r="B292" s="10" t="s">
        <v>499</v>
      </c>
      <c r="C292" s="11" t="s">
        <v>551</v>
      </c>
      <c r="D292" s="22" t="s">
        <v>592</v>
      </c>
      <c r="E292" s="13" t="str">
        <f t="array" ref="E292">INDEX(Turmas!C2:C103,MATCH(D292,Turmas!A2:A103,0))</f>
        <v>Noite</v>
      </c>
      <c r="F292" s="14">
        <v>60.0</v>
      </c>
      <c r="G292" s="15">
        <v>4.0</v>
      </c>
      <c r="H292" s="15">
        <v>0.0</v>
      </c>
      <c r="I292" s="16" t="str">
        <f t="shared" si="1"/>
        <v>1-12</v>
      </c>
      <c r="J292" s="16" t="str">
        <f t="shared" si="2"/>
        <v>1-12</v>
      </c>
      <c r="K292" s="16" t="str">
        <f t="shared" si="3"/>
        <v>1-12</v>
      </c>
      <c r="L292" s="16" t="str">
        <f t="shared" si="4"/>
        <v>1-12</v>
      </c>
      <c r="M292" s="16" t="str">
        <f t="shared" si="5"/>
        <v>1-12</v>
      </c>
      <c r="N292" s="16" t="str">
        <f t="shared" si="6"/>
        <v>0</v>
      </c>
      <c r="O292" s="17"/>
      <c r="P292" s="17"/>
      <c r="Q292" s="17"/>
      <c r="R292" s="17"/>
      <c r="S292" s="17"/>
      <c r="T292" s="17"/>
      <c r="U292" s="17"/>
      <c r="V292" s="17"/>
      <c r="W292" s="17"/>
    </row>
    <row r="293" ht="14.25" customHeight="1">
      <c r="A293" s="9" t="s">
        <v>597</v>
      </c>
      <c r="B293" s="10" t="s">
        <v>598</v>
      </c>
      <c r="C293" s="11" t="s">
        <v>295</v>
      </c>
      <c r="D293" s="22" t="s">
        <v>592</v>
      </c>
      <c r="E293" s="13" t="str">
        <f t="array" ref="E293">INDEX(Turmas!C2:C103,MATCH(D293,Turmas!A2:A103,0))</f>
        <v>Noite</v>
      </c>
      <c r="F293" s="14">
        <v>60.0</v>
      </c>
      <c r="G293" s="15">
        <v>3.0</v>
      </c>
      <c r="H293" s="15">
        <v>0.0</v>
      </c>
      <c r="I293" s="16" t="str">
        <f t="shared" si="1"/>
        <v>1-12</v>
      </c>
      <c r="J293" s="16" t="str">
        <f t="shared" si="2"/>
        <v>1-12</v>
      </c>
      <c r="K293" s="16" t="str">
        <f t="shared" si="3"/>
        <v>1-12</v>
      </c>
      <c r="L293" s="16" t="str">
        <f t="shared" si="4"/>
        <v>1-12</v>
      </c>
      <c r="M293" s="16" t="str">
        <f t="shared" si="5"/>
        <v>1-12</v>
      </c>
      <c r="N293" s="16" t="str">
        <f t="shared" si="6"/>
        <v>0</v>
      </c>
      <c r="O293" s="17"/>
      <c r="P293" s="17"/>
      <c r="Q293" s="17"/>
      <c r="R293" s="17"/>
      <c r="S293" s="17"/>
      <c r="T293" s="17"/>
      <c r="U293" s="17"/>
      <c r="V293" s="17"/>
      <c r="W293" s="17"/>
    </row>
    <row r="294" ht="14.25" customHeight="1">
      <c r="A294" s="9" t="s">
        <v>599</v>
      </c>
      <c r="B294" s="10" t="s">
        <v>600</v>
      </c>
      <c r="C294" s="11" t="s">
        <v>106</v>
      </c>
      <c r="D294" s="22" t="s">
        <v>592</v>
      </c>
      <c r="E294" s="13" t="str">
        <f t="array" ref="E294">INDEX(Turmas!C2:C103,MATCH(D294,Turmas!A2:A103,0))</f>
        <v>Noite</v>
      </c>
      <c r="F294" s="14">
        <v>60.0</v>
      </c>
      <c r="G294" s="15">
        <v>5.0</v>
      </c>
      <c r="H294" s="15">
        <v>0.0</v>
      </c>
      <c r="I294" s="16" t="str">
        <f t="shared" si="1"/>
        <v>1-12</v>
      </c>
      <c r="J294" s="16" t="str">
        <f t="shared" si="2"/>
        <v>1-12</v>
      </c>
      <c r="K294" s="16" t="str">
        <f t="shared" si="3"/>
        <v>1-12</v>
      </c>
      <c r="L294" s="16" t="str">
        <f t="shared" si="4"/>
        <v>1-12</v>
      </c>
      <c r="M294" s="16" t="str">
        <f t="shared" si="5"/>
        <v>1-12</v>
      </c>
      <c r="N294" s="16" t="str">
        <f t="shared" si="6"/>
        <v>0</v>
      </c>
      <c r="O294" s="17"/>
      <c r="P294" s="17"/>
      <c r="Q294" s="17"/>
      <c r="R294" s="17"/>
      <c r="S294" s="17"/>
      <c r="T294" s="17"/>
      <c r="U294" s="17"/>
      <c r="V294" s="17"/>
      <c r="W294" s="17"/>
    </row>
    <row r="295" ht="14.25" customHeight="1">
      <c r="A295" s="9" t="s">
        <v>601</v>
      </c>
      <c r="B295" s="10" t="s">
        <v>602</v>
      </c>
      <c r="C295" s="11" t="s">
        <v>398</v>
      </c>
      <c r="D295" s="22" t="s">
        <v>603</v>
      </c>
      <c r="E295" s="13" t="str">
        <f t="array" ref="E295">INDEX(Turmas!C2:C103,MATCH(D295,Turmas!A2:A103,0))</f>
        <v>Noite</v>
      </c>
      <c r="F295" s="14">
        <v>60.0</v>
      </c>
      <c r="G295" s="15">
        <v>4.0</v>
      </c>
      <c r="H295" s="15">
        <v>0.0</v>
      </c>
      <c r="I295" s="16" t="str">
        <f t="shared" si="1"/>
        <v>1-12</v>
      </c>
      <c r="J295" s="16" t="str">
        <f t="shared" si="2"/>
        <v>1-12</v>
      </c>
      <c r="K295" s="16" t="str">
        <f t="shared" si="3"/>
        <v>1-12</v>
      </c>
      <c r="L295" s="16" t="str">
        <f t="shared" si="4"/>
        <v>1-12</v>
      </c>
      <c r="M295" s="16" t="str">
        <f t="shared" si="5"/>
        <v>1-12</v>
      </c>
      <c r="N295" s="16" t="str">
        <f t="shared" si="6"/>
        <v>0</v>
      </c>
      <c r="O295" s="17"/>
      <c r="P295" s="17"/>
      <c r="Q295" s="17"/>
      <c r="R295" s="17"/>
      <c r="S295" s="17"/>
      <c r="T295" s="17"/>
      <c r="U295" s="17"/>
      <c r="V295" s="17"/>
      <c r="W295" s="17"/>
    </row>
    <row r="296" ht="14.25" customHeight="1">
      <c r="A296" s="9" t="s">
        <v>604</v>
      </c>
      <c r="B296" s="10" t="s">
        <v>605</v>
      </c>
      <c r="C296" s="11" t="s">
        <v>312</v>
      </c>
      <c r="D296" s="22" t="s">
        <v>603</v>
      </c>
      <c r="E296" s="13" t="str">
        <f t="array" ref="E296">INDEX(Turmas!C2:C103,MATCH(D296,Turmas!A2:A103,0))</f>
        <v>Noite</v>
      </c>
      <c r="F296" s="14">
        <v>60.0</v>
      </c>
      <c r="G296" s="15">
        <v>4.0</v>
      </c>
      <c r="H296" s="15">
        <v>0.0</v>
      </c>
      <c r="I296" s="16" t="str">
        <f t="shared" si="1"/>
        <v>1-12</v>
      </c>
      <c r="J296" s="16" t="str">
        <f t="shared" si="2"/>
        <v>1-12</v>
      </c>
      <c r="K296" s="16" t="str">
        <f t="shared" si="3"/>
        <v>1-12</v>
      </c>
      <c r="L296" s="16" t="str">
        <f t="shared" si="4"/>
        <v>1-12</v>
      </c>
      <c r="M296" s="16" t="str">
        <f t="shared" si="5"/>
        <v>1-12</v>
      </c>
      <c r="N296" s="16" t="str">
        <f t="shared" si="6"/>
        <v>0</v>
      </c>
      <c r="O296" s="17"/>
      <c r="P296" s="17"/>
      <c r="Q296" s="17"/>
      <c r="R296" s="17"/>
      <c r="S296" s="17"/>
      <c r="T296" s="17"/>
      <c r="U296" s="17"/>
      <c r="V296" s="17"/>
      <c r="W296" s="17"/>
    </row>
    <row r="297" ht="14.25" customHeight="1">
      <c r="A297" s="9" t="s">
        <v>606</v>
      </c>
      <c r="B297" s="10" t="s">
        <v>607</v>
      </c>
      <c r="C297" s="11" t="s">
        <v>608</v>
      </c>
      <c r="D297" s="22" t="s">
        <v>603</v>
      </c>
      <c r="E297" s="13" t="str">
        <f t="array" ref="E297">INDEX(Turmas!C2:C103,MATCH(D297,Turmas!A2:A103,0))</f>
        <v>Noite</v>
      </c>
      <c r="F297" s="14">
        <v>60.0</v>
      </c>
      <c r="G297" s="15">
        <v>4.0</v>
      </c>
      <c r="H297" s="15">
        <v>0.0</v>
      </c>
      <c r="I297" s="16" t="str">
        <f t="shared" si="1"/>
        <v>1-12</v>
      </c>
      <c r="J297" s="16" t="str">
        <f t="shared" si="2"/>
        <v>1-12</v>
      </c>
      <c r="K297" s="16" t="str">
        <f t="shared" si="3"/>
        <v>1-12</v>
      </c>
      <c r="L297" s="16" t="str">
        <f t="shared" si="4"/>
        <v>1-12</v>
      </c>
      <c r="M297" s="16" t="str">
        <f t="shared" si="5"/>
        <v>1-12</v>
      </c>
      <c r="N297" s="16" t="str">
        <f t="shared" si="6"/>
        <v>0</v>
      </c>
      <c r="O297" s="17"/>
      <c r="P297" s="17"/>
      <c r="Q297" s="17"/>
      <c r="R297" s="17"/>
      <c r="S297" s="17"/>
      <c r="T297" s="17"/>
      <c r="U297" s="17"/>
      <c r="V297" s="17"/>
      <c r="W297" s="17"/>
    </row>
    <row r="298" ht="14.25" customHeight="1">
      <c r="A298" s="9" t="s">
        <v>609</v>
      </c>
      <c r="B298" s="10" t="s">
        <v>610</v>
      </c>
      <c r="C298" s="11" t="s">
        <v>398</v>
      </c>
      <c r="D298" s="22" t="s">
        <v>603</v>
      </c>
      <c r="E298" s="13" t="str">
        <f t="array" ref="E298">INDEX(Turmas!C2:C103,MATCH(D298,Turmas!A2:A103,0))</f>
        <v>Noite</v>
      </c>
      <c r="F298" s="14">
        <v>60.0</v>
      </c>
      <c r="G298" s="15">
        <v>4.0</v>
      </c>
      <c r="H298" s="15">
        <v>0.0</v>
      </c>
      <c r="I298" s="16" t="str">
        <f t="shared" si="1"/>
        <v>1-12</v>
      </c>
      <c r="J298" s="16" t="str">
        <f t="shared" si="2"/>
        <v>1-12</v>
      </c>
      <c r="K298" s="16" t="str">
        <f t="shared" si="3"/>
        <v>1-12</v>
      </c>
      <c r="L298" s="16" t="str">
        <f t="shared" si="4"/>
        <v>1-12</v>
      </c>
      <c r="M298" s="16" t="str">
        <f t="shared" si="5"/>
        <v>1-12</v>
      </c>
      <c r="N298" s="16" t="str">
        <f t="shared" si="6"/>
        <v>0</v>
      </c>
      <c r="O298" s="17"/>
      <c r="P298" s="17"/>
      <c r="Q298" s="17"/>
      <c r="R298" s="17"/>
      <c r="S298" s="17"/>
      <c r="T298" s="17"/>
      <c r="U298" s="17"/>
      <c r="V298" s="17"/>
      <c r="W298" s="17"/>
    </row>
    <row r="299" ht="14.25" customHeight="1">
      <c r="A299" s="9" t="s">
        <v>611</v>
      </c>
      <c r="B299" s="10" t="s">
        <v>612</v>
      </c>
      <c r="C299" s="11" t="s">
        <v>312</v>
      </c>
      <c r="D299" s="22" t="s">
        <v>603</v>
      </c>
      <c r="E299" s="13" t="str">
        <f t="array" ref="E299">INDEX(Turmas!C2:C103,MATCH(D299,Turmas!A2:A103,0))</f>
        <v>Noite</v>
      </c>
      <c r="F299" s="14">
        <v>60.0</v>
      </c>
      <c r="G299" s="15">
        <v>4.0</v>
      </c>
      <c r="H299" s="15">
        <v>0.0</v>
      </c>
      <c r="I299" s="16" t="str">
        <f t="shared" si="1"/>
        <v>1-12</v>
      </c>
      <c r="J299" s="16" t="str">
        <f t="shared" si="2"/>
        <v>1-12</v>
      </c>
      <c r="K299" s="16" t="str">
        <f t="shared" si="3"/>
        <v>1-12</v>
      </c>
      <c r="L299" s="16" t="str">
        <f t="shared" si="4"/>
        <v>1-12</v>
      </c>
      <c r="M299" s="16" t="str">
        <f t="shared" si="5"/>
        <v>1-12</v>
      </c>
      <c r="N299" s="16" t="str">
        <f t="shared" si="6"/>
        <v>0</v>
      </c>
      <c r="O299" s="17"/>
      <c r="P299" s="17"/>
      <c r="Q299" s="17"/>
      <c r="R299" s="17"/>
      <c r="S299" s="17"/>
      <c r="T299" s="17"/>
      <c r="U299" s="17"/>
      <c r="V299" s="17"/>
      <c r="W299" s="17"/>
    </row>
    <row r="300" ht="14.25" customHeight="1">
      <c r="A300" s="9" t="s">
        <v>613</v>
      </c>
      <c r="B300" s="10" t="s">
        <v>614</v>
      </c>
      <c r="C300" s="11" t="s">
        <v>149</v>
      </c>
      <c r="D300" s="22" t="s">
        <v>615</v>
      </c>
      <c r="E300" s="13" t="str">
        <f t="array" ref="E300">INDEX(Turmas!C2:C103,MATCH(D300,Turmas!A2:A103,0))</f>
        <v>Manhã</v>
      </c>
      <c r="F300" s="14">
        <v>53.0</v>
      </c>
      <c r="G300" s="15">
        <v>5.0</v>
      </c>
      <c r="H300" s="15">
        <v>0.0</v>
      </c>
      <c r="I300" s="16" t="str">
        <f t="shared" si="1"/>
        <v>7-16</v>
      </c>
      <c r="J300" s="16" t="str">
        <f t="shared" si="2"/>
        <v>7-16</v>
      </c>
      <c r="K300" s="16" t="str">
        <f t="shared" si="3"/>
        <v>7-16</v>
      </c>
      <c r="L300" s="16" t="str">
        <f t="shared" si="4"/>
        <v>7-16</v>
      </c>
      <c r="M300" s="16" t="str">
        <f t="shared" si="5"/>
        <v>7-16</v>
      </c>
      <c r="N300" s="16" t="str">
        <f t="shared" si="6"/>
        <v>1-16</v>
      </c>
      <c r="O300" s="17"/>
      <c r="P300" s="17"/>
      <c r="Q300" s="17"/>
      <c r="R300" s="17"/>
      <c r="S300" s="17"/>
      <c r="T300" s="17"/>
      <c r="U300" s="17"/>
      <c r="V300" s="17"/>
      <c r="W300" s="17"/>
    </row>
    <row r="301" ht="14.25" customHeight="1">
      <c r="A301" s="9" t="s">
        <v>470</v>
      </c>
      <c r="B301" s="10" t="s">
        <v>471</v>
      </c>
      <c r="C301" s="11" t="s">
        <v>616</v>
      </c>
      <c r="D301" s="22" t="s">
        <v>615</v>
      </c>
      <c r="E301" s="13" t="str">
        <f t="array" ref="E301">INDEX(Turmas!C2:C103,MATCH(D301,Turmas!A2:A103,0))</f>
        <v>Manhã</v>
      </c>
      <c r="F301" s="14">
        <v>51.0</v>
      </c>
      <c r="G301" s="15">
        <v>4.0</v>
      </c>
      <c r="H301" s="15">
        <v>0.0</v>
      </c>
      <c r="I301" s="16" t="str">
        <f t="shared" si="1"/>
        <v>7-16</v>
      </c>
      <c r="J301" s="16" t="str">
        <f t="shared" si="2"/>
        <v>7-16</v>
      </c>
      <c r="K301" s="16" t="str">
        <f t="shared" si="3"/>
        <v>7-16</v>
      </c>
      <c r="L301" s="16" t="str">
        <f t="shared" si="4"/>
        <v>7-16</v>
      </c>
      <c r="M301" s="16" t="str">
        <f t="shared" si="5"/>
        <v>7-16</v>
      </c>
      <c r="N301" s="16" t="str">
        <f t="shared" si="6"/>
        <v>1-16</v>
      </c>
      <c r="O301" s="17"/>
      <c r="P301" s="17"/>
      <c r="Q301" s="17"/>
      <c r="R301" s="17"/>
      <c r="S301" s="17"/>
      <c r="T301" s="17"/>
      <c r="U301" s="17"/>
      <c r="V301" s="17"/>
      <c r="W301" s="17"/>
    </row>
    <row r="302" ht="14.25" customHeight="1">
      <c r="A302" s="9" t="s">
        <v>617</v>
      </c>
      <c r="B302" s="10" t="s">
        <v>618</v>
      </c>
      <c r="C302" s="11" t="s">
        <v>619</v>
      </c>
      <c r="D302" s="22" t="s">
        <v>615</v>
      </c>
      <c r="E302" s="13" t="str">
        <f t="array" ref="E302">INDEX(Turmas!C2:C103,MATCH(D302,Turmas!A2:A103,0))</f>
        <v>Manhã</v>
      </c>
      <c r="F302" s="14">
        <v>50.0</v>
      </c>
      <c r="G302" s="15">
        <v>6.0</v>
      </c>
      <c r="H302" s="15">
        <v>0.0</v>
      </c>
      <c r="I302" s="16" t="str">
        <f t="shared" si="1"/>
        <v>7-16</v>
      </c>
      <c r="J302" s="16" t="str">
        <f t="shared" si="2"/>
        <v>7-16</v>
      </c>
      <c r="K302" s="16" t="str">
        <f t="shared" si="3"/>
        <v>7-16</v>
      </c>
      <c r="L302" s="16" t="str">
        <f t="shared" si="4"/>
        <v>7-16</v>
      </c>
      <c r="M302" s="16" t="str">
        <f t="shared" si="5"/>
        <v>7-16</v>
      </c>
      <c r="N302" s="16" t="str">
        <f t="shared" si="6"/>
        <v>1-16</v>
      </c>
      <c r="O302" s="17"/>
      <c r="P302" s="17"/>
      <c r="Q302" s="17"/>
      <c r="R302" s="17"/>
      <c r="S302" s="17"/>
      <c r="T302" s="17"/>
      <c r="U302" s="17"/>
      <c r="V302" s="17"/>
      <c r="W302" s="17"/>
    </row>
    <row r="303" ht="14.25" customHeight="1">
      <c r="A303" s="9" t="s">
        <v>620</v>
      </c>
      <c r="B303" s="10" t="s">
        <v>621</v>
      </c>
      <c r="C303" s="11" t="s">
        <v>622</v>
      </c>
      <c r="D303" s="22" t="s">
        <v>615</v>
      </c>
      <c r="E303" s="13" t="str">
        <f t="array" ref="E303">INDEX(Turmas!C2:C103,MATCH(D303,Turmas!A2:A103,0))</f>
        <v>Manhã</v>
      </c>
      <c r="F303" s="14">
        <v>50.0</v>
      </c>
      <c r="G303" s="15">
        <v>2.0</v>
      </c>
      <c r="H303" s="15">
        <v>0.0</v>
      </c>
      <c r="I303" s="16" t="str">
        <f t="shared" si="1"/>
        <v>7-16</v>
      </c>
      <c r="J303" s="16" t="str">
        <f t="shared" si="2"/>
        <v>7-16</v>
      </c>
      <c r="K303" s="16" t="str">
        <f t="shared" si="3"/>
        <v>7-16</v>
      </c>
      <c r="L303" s="16" t="str">
        <f t="shared" si="4"/>
        <v>7-16</v>
      </c>
      <c r="M303" s="16" t="str">
        <f t="shared" si="5"/>
        <v>7-16</v>
      </c>
      <c r="N303" s="16" t="str">
        <f t="shared" si="6"/>
        <v>1-16</v>
      </c>
      <c r="O303" s="17"/>
      <c r="P303" s="17"/>
      <c r="Q303" s="17"/>
      <c r="R303" s="17"/>
      <c r="S303" s="17"/>
      <c r="T303" s="17"/>
      <c r="U303" s="17"/>
      <c r="V303" s="17"/>
      <c r="W303" s="17"/>
    </row>
    <row r="304" ht="14.25" customHeight="1">
      <c r="A304" s="9" t="s">
        <v>623</v>
      </c>
      <c r="B304" s="10" t="s">
        <v>624</v>
      </c>
      <c r="C304" s="11" t="s">
        <v>616</v>
      </c>
      <c r="D304" s="22" t="s">
        <v>615</v>
      </c>
      <c r="E304" s="13" t="str">
        <f t="array" ref="E304">INDEX(Turmas!C2:C103,MATCH(D304,Turmas!A2:A103,0))</f>
        <v>Manhã</v>
      </c>
      <c r="F304" s="14">
        <v>50.0</v>
      </c>
      <c r="G304" s="15">
        <v>5.0</v>
      </c>
      <c r="H304" s="15">
        <v>0.0</v>
      </c>
      <c r="I304" s="16" t="str">
        <f t="shared" si="1"/>
        <v>7-16</v>
      </c>
      <c r="J304" s="16" t="str">
        <f t="shared" si="2"/>
        <v>7-16</v>
      </c>
      <c r="K304" s="16" t="str">
        <f t="shared" si="3"/>
        <v>7-16</v>
      </c>
      <c r="L304" s="16" t="str">
        <f t="shared" si="4"/>
        <v>7-16</v>
      </c>
      <c r="M304" s="16" t="str">
        <f t="shared" si="5"/>
        <v>7-16</v>
      </c>
      <c r="N304" s="16" t="str">
        <f t="shared" si="6"/>
        <v>1-16</v>
      </c>
      <c r="O304" s="17"/>
      <c r="P304" s="17"/>
      <c r="Q304" s="17"/>
      <c r="R304" s="17"/>
      <c r="S304" s="17"/>
      <c r="T304" s="17"/>
      <c r="U304" s="17"/>
      <c r="V304" s="17"/>
      <c r="W304" s="17"/>
    </row>
    <row r="305" ht="14.25" customHeight="1">
      <c r="A305" s="9" t="s">
        <v>625</v>
      </c>
      <c r="B305" s="10" t="s">
        <v>626</v>
      </c>
      <c r="C305" s="11" t="s">
        <v>469</v>
      </c>
      <c r="D305" s="22" t="s">
        <v>615</v>
      </c>
      <c r="E305" s="13" t="str">
        <f t="array" ref="E305">INDEX(Turmas!C2:C103,MATCH(D305,Turmas!A2:A103,0))</f>
        <v>Manhã</v>
      </c>
      <c r="F305" s="14">
        <v>50.0</v>
      </c>
      <c r="G305" s="15">
        <v>4.0</v>
      </c>
      <c r="H305" s="15">
        <v>0.0</v>
      </c>
      <c r="I305" s="16" t="str">
        <f t="shared" si="1"/>
        <v>7-16</v>
      </c>
      <c r="J305" s="16" t="str">
        <f t="shared" si="2"/>
        <v>7-16</v>
      </c>
      <c r="K305" s="16" t="str">
        <f t="shared" si="3"/>
        <v>7-16</v>
      </c>
      <c r="L305" s="16" t="str">
        <f t="shared" si="4"/>
        <v>7-16</v>
      </c>
      <c r="M305" s="16" t="str">
        <f t="shared" si="5"/>
        <v>7-16</v>
      </c>
      <c r="N305" s="16" t="str">
        <f t="shared" si="6"/>
        <v>1-16</v>
      </c>
      <c r="O305" s="17"/>
      <c r="P305" s="17"/>
      <c r="Q305" s="17"/>
      <c r="R305" s="17"/>
      <c r="S305" s="17"/>
      <c r="T305" s="17"/>
      <c r="U305" s="17"/>
      <c r="V305" s="17"/>
      <c r="W305" s="17"/>
    </row>
    <row r="306" ht="14.25" customHeight="1">
      <c r="A306" s="9" t="s">
        <v>627</v>
      </c>
      <c r="B306" s="10" t="s">
        <v>628</v>
      </c>
      <c r="C306" s="11" t="s">
        <v>629</v>
      </c>
      <c r="D306" s="22" t="s">
        <v>630</v>
      </c>
      <c r="E306" s="13" t="str">
        <f t="array" ref="E306">INDEX(Turmas!C2:C103,MATCH(D306,Turmas!A2:A103,0))</f>
        <v>Tarde</v>
      </c>
      <c r="F306" s="14">
        <v>50.0</v>
      </c>
      <c r="G306" s="15">
        <v>4.0</v>
      </c>
      <c r="H306" s="15">
        <v>0.0</v>
      </c>
      <c r="I306" s="16" t="str">
        <f t="shared" si="1"/>
        <v>1-6,13-16</v>
      </c>
      <c r="J306" s="16" t="str">
        <f t="shared" si="2"/>
        <v>1-6,13-16</v>
      </c>
      <c r="K306" s="16" t="str">
        <f t="shared" si="3"/>
        <v>1-6,13-16</v>
      </c>
      <c r="L306" s="16" t="str">
        <f t="shared" si="4"/>
        <v>1-6,13-16</v>
      </c>
      <c r="M306" s="16" t="str">
        <f t="shared" si="5"/>
        <v>1-6,13-16</v>
      </c>
      <c r="N306" s="16" t="str">
        <f t="shared" si="6"/>
        <v>1-16</v>
      </c>
      <c r="O306" s="17"/>
      <c r="P306" s="17"/>
      <c r="Q306" s="17"/>
      <c r="R306" s="17"/>
      <c r="S306" s="17"/>
      <c r="T306" s="17"/>
      <c r="U306" s="17"/>
      <c r="V306" s="17"/>
      <c r="W306" s="17"/>
    </row>
    <row r="307" ht="14.25" customHeight="1">
      <c r="A307" s="9" t="s">
        <v>631</v>
      </c>
      <c r="B307" s="10" t="s">
        <v>632</v>
      </c>
      <c r="C307" s="11" t="s">
        <v>622</v>
      </c>
      <c r="D307" s="22" t="s">
        <v>630</v>
      </c>
      <c r="E307" s="13" t="str">
        <f t="array" ref="E307">INDEX(Turmas!C2:C103,MATCH(D307,Turmas!A2:A103,0))</f>
        <v>Tarde</v>
      </c>
      <c r="F307" s="14">
        <v>50.0</v>
      </c>
      <c r="G307" s="15">
        <v>5.0</v>
      </c>
      <c r="H307" s="15">
        <v>0.0</v>
      </c>
      <c r="I307" s="16" t="str">
        <f t="shared" si="1"/>
        <v>1-6,13-16</v>
      </c>
      <c r="J307" s="16" t="str">
        <f t="shared" si="2"/>
        <v>1-6,13-16</v>
      </c>
      <c r="K307" s="16" t="str">
        <f t="shared" si="3"/>
        <v>1-6,13-16</v>
      </c>
      <c r="L307" s="16" t="str">
        <f t="shared" si="4"/>
        <v>1-6,13-16</v>
      </c>
      <c r="M307" s="16" t="str">
        <f t="shared" si="5"/>
        <v>1-6,13-16</v>
      </c>
      <c r="N307" s="16" t="str">
        <f t="shared" si="6"/>
        <v>1-16</v>
      </c>
      <c r="O307" s="17"/>
      <c r="P307" s="17"/>
      <c r="Q307" s="17"/>
      <c r="R307" s="17"/>
      <c r="S307" s="17"/>
      <c r="T307" s="17"/>
      <c r="U307" s="17"/>
      <c r="V307" s="17"/>
      <c r="W307" s="17"/>
    </row>
    <row r="308" ht="14.25" customHeight="1">
      <c r="A308" s="9" t="s">
        <v>633</v>
      </c>
      <c r="B308" s="10" t="s">
        <v>634</v>
      </c>
      <c r="C308" s="11" t="s">
        <v>635</v>
      </c>
      <c r="D308" s="22" t="s">
        <v>630</v>
      </c>
      <c r="E308" s="13" t="str">
        <f t="array" ref="E308">INDEX(Turmas!C2:C103,MATCH(D308,Turmas!A2:A103,0))</f>
        <v>Tarde</v>
      </c>
      <c r="F308" s="14">
        <v>50.0</v>
      </c>
      <c r="G308" s="15">
        <v>5.0</v>
      </c>
      <c r="H308" s="15">
        <v>0.0</v>
      </c>
      <c r="I308" s="16" t="str">
        <f t="shared" si="1"/>
        <v>1-6,13-16</v>
      </c>
      <c r="J308" s="16" t="str">
        <f t="shared" si="2"/>
        <v>1-6,13-16</v>
      </c>
      <c r="K308" s="16" t="str">
        <f t="shared" si="3"/>
        <v>1-6,13-16</v>
      </c>
      <c r="L308" s="16" t="str">
        <f t="shared" si="4"/>
        <v>1-6,13-16</v>
      </c>
      <c r="M308" s="16" t="str">
        <f t="shared" si="5"/>
        <v>1-6,13-16</v>
      </c>
      <c r="N308" s="16" t="str">
        <f t="shared" si="6"/>
        <v>1-16</v>
      </c>
      <c r="O308" s="17"/>
      <c r="P308" s="17"/>
      <c r="Q308" s="17"/>
      <c r="R308" s="17"/>
      <c r="S308" s="17"/>
      <c r="T308" s="17"/>
      <c r="U308" s="17"/>
      <c r="V308" s="17"/>
      <c r="W308" s="17"/>
    </row>
    <row r="309" ht="14.25" customHeight="1">
      <c r="A309" s="9" t="s">
        <v>636</v>
      </c>
      <c r="B309" s="10" t="s">
        <v>637</v>
      </c>
      <c r="C309" s="11" t="s">
        <v>629</v>
      </c>
      <c r="D309" s="22" t="s">
        <v>630</v>
      </c>
      <c r="E309" s="13" t="str">
        <f t="array" ref="E309">INDEX(Turmas!C2:C103,MATCH(D309,Turmas!A2:A103,0))</f>
        <v>Tarde</v>
      </c>
      <c r="F309" s="14">
        <v>50.0</v>
      </c>
      <c r="G309" s="15">
        <v>5.0</v>
      </c>
      <c r="H309" s="15">
        <v>0.0</v>
      </c>
      <c r="I309" s="16" t="str">
        <f t="shared" si="1"/>
        <v>1-6,13-16</v>
      </c>
      <c r="J309" s="16" t="str">
        <f t="shared" si="2"/>
        <v>1-6,13-16</v>
      </c>
      <c r="K309" s="16" t="str">
        <f t="shared" si="3"/>
        <v>1-6,13-16</v>
      </c>
      <c r="L309" s="16" t="str">
        <f t="shared" si="4"/>
        <v>1-6,13-16</v>
      </c>
      <c r="M309" s="16" t="str">
        <f t="shared" si="5"/>
        <v>1-6,13-16</v>
      </c>
      <c r="N309" s="16" t="str">
        <f t="shared" si="6"/>
        <v>1-16</v>
      </c>
      <c r="O309" s="17"/>
      <c r="P309" s="17"/>
      <c r="Q309" s="17"/>
      <c r="R309" s="17"/>
      <c r="S309" s="17"/>
      <c r="T309" s="17"/>
      <c r="U309" s="17"/>
      <c r="V309" s="17"/>
      <c r="W309" s="17"/>
    </row>
    <row r="310" ht="14.25" customHeight="1">
      <c r="A310" s="9" t="s">
        <v>638</v>
      </c>
      <c r="B310" s="10" t="s">
        <v>639</v>
      </c>
      <c r="C310" s="11" t="s">
        <v>640</v>
      </c>
      <c r="D310" s="22" t="s">
        <v>630</v>
      </c>
      <c r="E310" s="13" t="str">
        <f t="array" ref="E310">INDEX(Turmas!C2:C103,MATCH(D310,Turmas!A2:A103,0))</f>
        <v>Tarde</v>
      </c>
      <c r="F310" s="14">
        <v>50.0</v>
      </c>
      <c r="G310" s="15">
        <v>4.0</v>
      </c>
      <c r="H310" s="15">
        <v>0.0</v>
      </c>
      <c r="I310" s="16" t="str">
        <f t="shared" si="1"/>
        <v>1-6,13-16</v>
      </c>
      <c r="J310" s="16" t="str">
        <f t="shared" si="2"/>
        <v>1-6,13-16</v>
      </c>
      <c r="K310" s="16" t="str">
        <f t="shared" si="3"/>
        <v>1-6,13-16</v>
      </c>
      <c r="L310" s="16" t="str">
        <f t="shared" si="4"/>
        <v>1-6,13-16</v>
      </c>
      <c r="M310" s="16" t="str">
        <f t="shared" si="5"/>
        <v>1-6,13-16</v>
      </c>
      <c r="N310" s="16" t="str">
        <f t="shared" si="6"/>
        <v>1-16</v>
      </c>
      <c r="O310" s="17"/>
      <c r="P310" s="17"/>
      <c r="Q310" s="17"/>
      <c r="R310" s="17"/>
      <c r="S310" s="17"/>
      <c r="T310" s="17"/>
      <c r="U310" s="17"/>
      <c r="V310" s="17"/>
      <c r="W310" s="17"/>
    </row>
    <row r="311" ht="14.25" customHeight="1">
      <c r="A311" s="9" t="s">
        <v>641</v>
      </c>
      <c r="B311" s="10" t="s">
        <v>642</v>
      </c>
      <c r="C311" s="11" t="s">
        <v>616</v>
      </c>
      <c r="D311" s="22" t="s">
        <v>630</v>
      </c>
      <c r="E311" s="13" t="str">
        <f t="array" ref="E311">INDEX(Turmas!C2:C103,MATCH(D311,Turmas!A2:A103,0))</f>
        <v>Tarde</v>
      </c>
      <c r="F311" s="14">
        <v>50.0</v>
      </c>
      <c r="G311" s="15">
        <v>5.0</v>
      </c>
      <c r="H311" s="15">
        <v>0.0</v>
      </c>
      <c r="I311" s="16" t="str">
        <f t="shared" si="1"/>
        <v>1-6,13-16</v>
      </c>
      <c r="J311" s="16" t="str">
        <f t="shared" si="2"/>
        <v>1-6,13-16</v>
      </c>
      <c r="K311" s="16" t="str">
        <f t="shared" si="3"/>
        <v>1-6,13-16</v>
      </c>
      <c r="L311" s="16" t="str">
        <f t="shared" si="4"/>
        <v>1-6,13-16</v>
      </c>
      <c r="M311" s="16" t="str">
        <f t="shared" si="5"/>
        <v>1-6,13-16</v>
      </c>
      <c r="N311" s="16" t="str">
        <f t="shared" si="6"/>
        <v>1-16</v>
      </c>
      <c r="O311" s="17"/>
      <c r="P311" s="17"/>
      <c r="Q311" s="17"/>
      <c r="R311" s="17"/>
      <c r="S311" s="17"/>
      <c r="T311" s="17"/>
      <c r="U311" s="17"/>
      <c r="V311" s="17"/>
      <c r="W311" s="17"/>
    </row>
    <row r="312" ht="15.75" customHeight="1">
      <c r="A312" s="9" t="s">
        <v>643</v>
      </c>
      <c r="B312" s="10" t="s">
        <v>644</v>
      </c>
      <c r="C312" s="11" t="s">
        <v>645</v>
      </c>
      <c r="D312" s="22" t="s">
        <v>630</v>
      </c>
      <c r="E312" s="13" t="str">
        <f t="array" ref="E312">INDEX(Turmas!C2:C103,MATCH(D312,Turmas!A2:A103,0))</f>
        <v>Tarde</v>
      </c>
      <c r="F312" s="14">
        <v>50.0</v>
      </c>
      <c r="G312" s="15">
        <v>4.0</v>
      </c>
      <c r="H312" s="15">
        <v>0.0</v>
      </c>
      <c r="I312" s="16" t="str">
        <f t="shared" si="1"/>
        <v>1-6,13-16</v>
      </c>
      <c r="J312" s="16" t="str">
        <f t="shared" si="2"/>
        <v>1-6,13-16</v>
      </c>
      <c r="K312" s="16" t="str">
        <f t="shared" si="3"/>
        <v>1-6,13-16</v>
      </c>
      <c r="L312" s="16" t="str">
        <f t="shared" si="4"/>
        <v>1-6,13-16</v>
      </c>
      <c r="M312" s="16" t="str">
        <f t="shared" si="5"/>
        <v>1-6,13-16</v>
      </c>
      <c r="N312" s="16" t="str">
        <f t="shared" si="6"/>
        <v>1-16</v>
      </c>
      <c r="O312" s="17"/>
      <c r="P312" s="17"/>
      <c r="Q312" s="17"/>
      <c r="R312" s="17"/>
      <c r="S312" s="17"/>
      <c r="T312" s="17"/>
      <c r="U312" s="17"/>
      <c r="V312" s="17"/>
      <c r="W312" s="17"/>
    </row>
    <row r="313" ht="15.75" customHeight="1">
      <c r="A313" s="9" t="s">
        <v>646</v>
      </c>
      <c r="B313" s="10" t="s">
        <v>647</v>
      </c>
      <c r="C313" s="11" t="s">
        <v>640</v>
      </c>
      <c r="D313" s="22" t="s">
        <v>648</v>
      </c>
      <c r="E313" s="13" t="str">
        <f t="array" ref="E313">INDEX(Turmas!C2:C103,MATCH(D313,Turmas!A2:A103,0))</f>
        <v>Manhã</v>
      </c>
      <c r="F313" s="14">
        <v>50.0</v>
      </c>
      <c r="G313" s="15">
        <v>4.0</v>
      </c>
      <c r="H313" s="15">
        <v>0.0</v>
      </c>
      <c r="I313" s="16" t="str">
        <f t="shared" si="1"/>
        <v>7-16</v>
      </c>
      <c r="J313" s="16" t="str">
        <f t="shared" si="2"/>
        <v>7-16</v>
      </c>
      <c r="K313" s="16" t="str">
        <f t="shared" si="3"/>
        <v>7-16</v>
      </c>
      <c r="L313" s="16" t="str">
        <f t="shared" si="4"/>
        <v>7-16</v>
      </c>
      <c r="M313" s="16" t="str">
        <f t="shared" si="5"/>
        <v>7-16</v>
      </c>
      <c r="N313" s="16" t="str">
        <f t="shared" si="6"/>
        <v>1-16</v>
      </c>
      <c r="O313" s="17"/>
      <c r="P313" s="17"/>
      <c r="Q313" s="17"/>
      <c r="R313" s="17"/>
      <c r="S313" s="17"/>
      <c r="T313" s="17"/>
      <c r="U313" s="17"/>
      <c r="V313" s="17"/>
      <c r="W313" s="17"/>
    </row>
    <row r="314" ht="15.75" customHeight="1">
      <c r="A314" s="9" t="s">
        <v>649</v>
      </c>
      <c r="B314" s="10" t="s">
        <v>650</v>
      </c>
      <c r="C314" s="11" t="s">
        <v>645</v>
      </c>
      <c r="D314" s="22" t="s">
        <v>648</v>
      </c>
      <c r="E314" s="13" t="str">
        <f t="array" ref="E314">INDEX(Turmas!C2:C103,MATCH(D314,Turmas!A2:A103,0))</f>
        <v>Manhã</v>
      </c>
      <c r="F314" s="14">
        <v>50.0</v>
      </c>
      <c r="G314" s="15">
        <v>5.0</v>
      </c>
      <c r="H314" s="15">
        <v>0.0</v>
      </c>
      <c r="I314" s="16" t="str">
        <f t="shared" si="1"/>
        <v>7-16</v>
      </c>
      <c r="J314" s="16" t="str">
        <f t="shared" si="2"/>
        <v>7-16</v>
      </c>
      <c r="K314" s="16" t="str">
        <f t="shared" si="3"/>
        <v>7-16</v>
      </c>
      <c r="L314" s="16" t="str">
        <f t="shared" si="4"/>
        <v>7-16</v>
      </c>
      <c r="M314" s="16" t="str">
        <f t="shared" si="5"/>
        <v>7-16</v>
      </c>
      <c r="N314" s="16" t="str">
        <f t="shared" si="6"/>
        <v>1-16</v>
      </c>
      <c r="O314" s="17"/>
      <c r="P314" s="17"/>
      <c r="Q314" s="17"/>
      <c r="R314" s="17"/>
      <c r="S314" s="17"/>
      <c r="T314" s="17"/>
      <c r="U314" s="17"/>
      <c r="V314" s="17"/>
      <c r="W314" s="17"/>
    </row>
    <row r="315" ht="15.75" customHeight="1">
      <c r="A315" s="9" t="s">
        <v>651</v>
      </c>
      <c r="B315" s="10" t="s">
        <v>652</v>
      </c>
      <c r="C315" s="11" t="s">
        <v>653</v>
      </c>
      <c r="D315" s="22" t="s">
        <v>648</v>
      </c>
      <c r="E315" s="13" t="str">
        <f t="array" ref="E315">INDEX(Turmas!C2:C103,MATCH(D315,Turmas!A2:A103,0))</f>
        <v>Manhã</v>
      </c>
      <c r="F315" s="14">
        <v>50.0</v>
      </c>
      <c r="G315" s="15">
        <v>4.0</v>
      </c>
      <c r="H315" s="15">
        <v>0.0</v>
      </c>
      <c r="I315" s="16" t="str">
        <f t="shared" si="1"/>
        <v>7-16</v>
      </c>
      <c r="J315" s="16" t="str">
        <f t="shared" si="2"/>
        <v>7-16</v>
      </c>
      <c r="K315" s="16" t="str">
        <f t="shared" si="3"/>
        <v>7-16</v>
      </c>
      <c r="L315" s="16" t="str">
        <f t="shared" si="4"/>
        <v>7-16</v>
      </c>
      <c r="M315" s="16" t="str">
        <f t="shared" si="5"/>
        <v>7-16</v>
      </c>
      <c r="N315" s="16" t="str">
        <f t="shared" si="6"/>
        <v>1-16</v>
      </c>
      <c r="O315" s="17"/>
      <c r="P315" s="17"/>
      <c r="Q315" s="17"/>
      <c r="R315" s="17"/>
      <c r="S315" s="17"/>
      <c r="T315" s="17"/>
      <c r="U315" s="17"/>
      <c r="V315" s="17"/>
      <c r="W315" s="17"/>
    </row>
    <row r="316" ht="15.75" customHeight="1">
      <c r="A316" s="9" t="s">
        <v>654</v>
      </c>
      <c r="B316" s="10" t="s">
        <v>655</v>
      </c>
      <c r="C316" s="11" t="s">
        <v>635</v>
      </c>
      <c r="D316" s="22" t="s">
        <v>648</v>
      </c>
      <c r="E316" s="13" t="str">
        <f t="array" ref="E316">INDEX(Turmas!C2:C103,MATCH(D316,Turmas!A2:A103,0))</f>
        <v>Manhã</v>
      </c>
      <c r="F316" s="14">
        <v>50.0</v>
      </c>
      <c r="G316" s="15">
        <v>3.0</v>
      </c>
      <c r="H316" s="15">
        <v>0.0</v>
      </c>
      <c r="I316" s="16" t="str">
        <f t="shared" si="1"/>
        <v>7-16</v>
      </c>
      <c r="J316" s="16" t="str">
        <f t="shared" si="2"/>
        <v>7-16</v>
      </c>
      <c r="K316" s="16" t="str">
        <f t="shared" si="3"/>
        <v>7-16</v>
      </c>
      <c r="L316" s="16" t="str">
        <f t="shared" si="4"/>
        <v>7-16</v>
      </c>
      <c r="M316" s="16" t="str">
        <f t="shared" si="5"/>
        <v>7-16</v>
      </c>
      <c r="N316" s="16" t="str">
        <f t="shared" si="6"/>
        <v>1-16</v>
      </c>
      <c r="O316" s="17"/>
      <c r="P316" s="17"/>
      <c r="Q316" s="17"/>
      <c r="R316" s="17"/>
      <c r="S316" s="17"/>
      <c r="T316" s="17"/>
      <c r="U316" s="17"/>
      <c r="V316" s="17"/>
      <c r="W316" s="17"/>
    </row>
    <row r="317" ht="15.75" customHeight="1">
      <c r="A317" s="9" t="s">
        <v>656</v>
      </c>
      <c r="B317" s="10" t="s">
        <v>657</v>
      </c>
      <c r="C317" s="11" t="s">
        <v>653</v>
      </c>
      <c r="D317" s="22" t="s">
        <v>648</v>
      </c>
      <c r="E317" s="13" t="str">
        <f t="array" ref="E317">INDEX(Turmas!C2:C103,MATCH(D317,Turmas!A2:A103,0))</f>
        <v>Manhã</v>
      </c>
      <c r="F317" s="14">
        <v>50.0</v>
      </c>
      <c r="G317" s="15">
        <v>3.0</v>
      </c>
      <c r="H317" s="15">
        <v>0.0</v>
      </c>
      <c r="I317" s="16" t="str">
        <f t="shared" si="1"/>
        <v>7-16</v>
      </c>
      <c r="J317" s="16" t="str">
        <f t="shared" si="2"/>
        <v>7-16</v>
      </c>
      <c r="K317" s="16" t="str">
        <f t="shared" si="3"/>
        <v>7-16</v>
      </c>
      <c r="L317" s="16" t="str">
        <f t="shared" si="4"/>
        <v>7-16</v>
      </c>
      <c r="M317" s="16" t="str">
        <f t="shared" si="5"/>
        <v>7-16</v>
      </c>
      <c r="N317" s="16" t="str">
        <f t="shared" si="6"/>
        <v>1-16</v>
      </c>
      <c r="O317" s="17"/>
      <c r="P317" s="17"/>
      <c r="Q317" s="17"/>
      <c r="R317" s="17"/>
      <c r="S317" s="17"/>
      <c r="T317" s="17"/>
      <c r="U317" s="17"/>
      <c r="V317" s="17"/>
      <c r="W317" s="17"/>
    </row>
    <row r="318" ht="15.75" customHeight="1">
      <c r="A318" s="9" t="s">
        <v>658</v>
      </c>
      <c r="B318" s="10" t="s">
        <v>659</v>
      </c>
      <c r="C318" s="11" t="s">
        <v>640</v>
      </c>
      <c r="D318" s="22" t="s">
        <v>648</v>
      </c>
      <c r="E318" s="13" t="str">
        <f t="array" ref="E318">INDEX(Turmas!C2:C103,MATCH(D318,Turmas!A2:A103,0))</f>
        <v>Manhã</v>
      </c>
      <c r="F318" s="14">
        <v>50.0</v>
      </c>
      <c r="G318" s="15">
        <v>4.0</v>
      </c>
      <c r="H318" s="15">
        <v>0.0</v>
      </c>
      <c r="I318" s="16" t="str">
        <f t="shared" si="1"/>
        <v>7-16</v>
      </c>
      <c r="J318" s="16" t="str">
        <f t="shared" si="2"/>
        <v>7-16</v>
      </c>
      <c r="K318" s="16" t="str">
        <f t="shared" si="3"/>
        <v>7-16</v>
      </c>
      <c r="L318" s="16" t="str">
        <f t="shared" si="4"/>
        <v>7-16</v>
      </c>
      <c r="M318" s="16" t="str">
        <f t="shared" si="5"/>
        <v>7-16</v>
      </c>
      <c r="N318" s="16" t="str">
        <f t="shared" si="6"/>
        <v>1-16</v>
      </c>
      <c r="O318" s="17"/>
      <c r="P318" s="17"/>
      <c r="Q318" s="17"/>
      <c r="R318" s="17"/>
      <c r="S318" s="17"/>
      <c r="T318" s="17"/>
      <c r="U318" s="17"/>
      <c r="V318" s="17"/>
      <c r="W318" s="17"/>
    </row>
    <row r="319" ht="15.75" customHeight="1">
      <c r="A319" s="9" t="s">
        <v>467</v>
      </c>
      <c r="B319" s="10" t="s">
        <v>468</v>
      </c>
      <c r="C319" s="11" t="s">
        <v>469</v>
      </c>
      <c r="D319" s="22" t="s">
        <v>648</v>
      </c>
      <c r="E319" s="13" t="str">
        <f t="array" ref="E319">INDEX(Turmas!C2:C103,MATCH(D319,Turmas!A2:A103,0))</f>
        <v>Manhã</v>
      </c>
      <c r="F319" s="14">
        <v>50.0</v>
      </c>
      <c r="G319" s="15">
        <v>4.0</v>
      </c>
      <c r="H319" s="15">
        <v>0.0</v>
      </c>
      <c r="I319" s="16" t="str">
        <f t="shared" si="1"/>
        <v>7-16</v>
      </c>
      <c r="J319" s="16" t="str">
        <f t="shared" si="2"/>
        <v>7-16</v>
      </c>
      <c r="K319" s="16" t="str">
        <f t="shared" si="3"/>
        <v>7-16</v>
      </c>
      <c r="L319" s="16" t="str">
        <f t="shared" si="4"/>
        <v>7-16</v>
      </c>
      <c r="M319" s="16" t="str">
        <f t="shared" si="5"/>
        <v>7-16</v>
      </c>
      <c r="N319" s="16" t="str">
        <f t="shared" si="6"/>
        <v>1-16</v>
      </c>
      <c r="O319" s="17"/>
      <c r="P319" s="17"/>
      <c r="Q319" s="17"/>
      <c r="R319" s="17"/>
      <c r="S319" s="17"/>
      <c r="T319" s="17"/>
      <c r="U319" s="17"/>
      <c r="V319" s="17"/>
      <c r="W319" s="17"/>
    </row>
    <row r="320" ht="15.75" customHeight="1">
      <c r="A320" s="9" t="s">
        <v>660</v>
      </c>
      <c r="B320" s="10" t="s">
        <v>661</v>
      </c>
      <c r="C320" s="11" t="s">
        <v>662</v>
      </c>
      <c r="D320" s="22" t="s">
        <v>663</v>
      </c>
      <c r="E320" s="13" t="str">
        <f t="array" ref="E320">INDEX(Turmas!C2:C103,MATCH(D320,Turmas!A2:A103,0))</f>
        <v>Tarde</v>
      </c>
      <c r="F320" s="14">
        <v>50.0</v>
      </c>
      <c r="G320" s="15">
        <v>4.0</v>
      </c>
      <c r="H320" s="15">
        <v>0.0</v>
      </c>
      <c r="I320" s="16" t="str">
        <f t="shared" si="1"/>
        <v>1-6,13-16</v>
      </c>
      <c r="J320" s="16" t="str">
        <f t="shared" si="2"/>
        <v>1-6,13-16</v>
      </c>
      <c r="K320" s="16" t="str">
        <f t="shared" si="3"/>
        <v>1-6,13-16</v>
      </c>
      <c r="L320" s="16" t="str">
        <f t="shared" si="4"/>
        <v>1-6,13-16</v>
      </c>
      <c r="M320" s="16" t="str">
        <f t="shared" si="5"/>
        <v>1-6,13-16</v>
      </c>
      <c r="N320" s="16" t="str">
        <f t="shared" si="6"/>
        <v>1-16</v>
      </c>
      <c r="O320" s="17"/>
      <c r="P320" s="17"/>
      <c r="Q320" s="17"/>
      <c r="R320" s="17"/>
      <c r="S320" s="17"/>
      <c r="T320" s="17"/>
      <c r="U320" s="17"/>
      <c r="V320" s="17"/>
      <c r="W320" s="17"/>
    </row>
    <row r="321" ht="15.75" customHeight="1">
      <c r="A321" s="9" t="s">
        <v>664</v>
      </c>
      <c r="B321" s="10" t="s">
        <v>665</v>
      </c>
      <c r="C321" s="11" t="s">
        <v>653</v>
      </c>
      <c r="D321" s="22" t="s">
        <v>663</v>
      </c>
      <c r="E321" s="13" t="str">
        <f t="array" ref="E321">INDEX(Turmas!C2:C103,MATCH(D321,Turmas!A2:A103,0))</f>
        <v>Tarde</v>
      </c>
      <c r="F321" s="14">
        <v>50.0</v>
      </c>
      <c r="G321" s="15">
        <v>4.0</v>
      </c>
      <c r="H321" s="15">
        <v>0.0</v>
      </c>
      <c r="I321" s="16" t="str">
        <f t="shared" si="1"/>
        <v>1-6,13-16</v>
      </c>
      <c r="J321" s="16" t="str">
        <f t="shared" si="2"/>
        <v>1-6,13-16</v>
      </c>
      <c r="K321" s="16" t="str">
        <f t="shared" si="3"/>
        <v>1-6,13-16</v>
      </c>
      <c r="L321" s="16" t="str">
        <f t="shared" si="4"/>
        <v>1-6,13-16</v>
      </c>
      <c r="M321" s="16" t="str">
        <f t="shared" si="5"/>
        <v>1-6,13-16</v>
      </c>
      <c r="N321" s="16" t="str">
        <f t="shared" si="6"/>
        <v>1-16</v>
      </c>
      <c r="O321" s="17"/>
      <c r="P321" s="17"/>
      <c r="Q321" s="17"/>
      <c r="R321" s="17"/>
      <c r="S321" s="17"/>
      <c r="T321" s="17"/>
      <c r="U321" s="17"/>
      <c r="V321" s="17"/>
      <c r="W321" s="17"/>
    </row>
    <row r="322" ht="15.75" customHeight="1">
      <c r="A322" s="9" t="s">
        <v>666</v>
      </c>
      <c r="B322" s="10" t="s">
        <v>667</v>
      </c>
      <c r="C322" s="11" t="s">
        <v>622</v>
      </c>
      <c r="D322" s="22" t="s">
        <v>663</v>
      </c>
      <c r="E322" s="13" t="str">
        <f t="array" ref="E322">INDEX(Turmas!C2:C103,MATCH(D322,Turmas!A2:A103,0))</f>
        <v>Tarde</v>
      </c>
      <c r="F322" s="14">
        <v>50.0</v>
      </c>
      <c r="G322" s="15">
        <v>3.0</v>
      </c>
      <c r="H322" s="15">
        <v>0.0</v>
      </c>
      <c r="I322" s="16" t="str">
        <f t="shared" si="1"/>
        <v>1-6,13-16</v>
      </c>
      <c r="J322" s="16" t="str">
        <f t="shared" si="2"/>
        <v>1-6,13-16</v>
      </c>
      <c r="K322" s="16" t="str">
        <f t="shared" si="3"/>
        <v>1-6,13-16</v>
      </c>
      <c r="L322" s="16" t="str">
        <f t="shared" si="4"/>
        <v>1-6,13-16</v>
      </c>
      <c r="M322" s="16" t="str">
        <f t="shared" si="5"/>
        <v>1-6,13-16</v>
      </c>
      <c r="N322" s="16" t="str">
        <f t="shared" si="6"/>
        <v>1-16</v>
      </c>
      <c r="O322" s="17"/>
      <c r="P322" s="17"/>
      <c r="Q322" s="17"/>
      <c r="R322" s="17"/>
      <c r="S322" s="17"/>
      <c r="T322" s="17"/>
      <c r="U322" s="17"/>
      <c r="V322" s="17"/>
      <c r="W322" s="17"/>
    </row>
    <row r="323" ht="15.75" customHeight="1">
      <c r="A323" s="9" t="s">
        <v>668</v>
      </c>
      <c r="B323" s="10" t="s">
        <v>669</v>
      </c>
      <c r="C323" s="11" t="s">
        <v>670</v>
      </c>
      <c r="D323" s="22" t="s">
        <v>663</v>
      </c>
      <c r="E323" s="13" t="str">
        <f t="array" ref="E323">INDEX(Turmas!C2:C103,MATCH(D323,Turmas!A2:A103,0))</f>
        <v>Tarde</v>
      </c>
      <c r="F323" s="14">
        <v>50.0</v>
      </c>
      <c r="G323" s="15">
        <v>5.0</v>
      </c>
      <c r="H323" s="15">
        <v>0.0</v>
      </c>
      <c r="I323" s="16" t="str">
        <f t="shared" si="1"/>
        <v>1-6,13-16</v>
      </c>
      <c r="J323" s="16" t="str">
        <f t="shared" si="2"/>
        <v>1-6,13-16</v>
      </c>
      <c r="K323" s="16" t="str">
        <f t="shared" si="3"/>
        <v>1-6,13-16</v>
      </c>
      <c r="L323" s="16" t="str">
        <f t="shared" si="4"/>
        <v>1-6,13-16</v>
      </c>
      <c r="M323" s="16" t="str">
        <f t="shared" si="5"/>
        <v>1-6,13-16</v>
      </c>
      <c r="N323" s="16" t="str">
        <f t="shared" si="6"/>
        <v>1-16</v>
      </c>
      <c r="O323" s="17"/>
      <c r="P323" s="17"/>
      <c r="Q323" s="17"/>
      <c r="R323" s="17"/>
      <c r="S323" s="17"/>
      <c r="T323" s="17"/>
      <c r="U323" s="17"/>
      <c r="V323" s="17"/>
      <c r="W323" s="17"/>
    </row>
    <row r="324" ht="15.75" customHeight="1">
      <c r="A324" s="9" t="s">
        <v>671</v>
      </c>
      <c r="B324" s="10" t="s">
        <v>672</v>
      </c>
      <c r="C324" s="11" t="s">
        <v>619</v>
      </c>
      <c r="D324" s="22" t="s">
        <v>673</v>
      </c>
      <c r="E324" s="13" t="str">
        <f t="array" ref="E324">INDEX(Turmas!C2:C103,MATCH(D324,Turmas!A2:A103,0))</f>
        <v>Integral</v>
      </c>
      <c r="F324" s="14">
        <v>50.0</v>
      </c>
      <c r="G324" s="15">
        <v>5.0</v>
      </c>
      <c r="H324" s="15">
        <v>0.0</v>
      </c>
      <c r="I324" s="16" t="str">
        <f t="shared" si="1"/>
        <v>13-16</v>
      </c>
      <c r="J324" s="16" t="str">
        <f t="shared" si="2"/>
        <v>13-16</v>
      </c>
      <c r="K324" s="16" t="str">
        <f t="shared" si="3"/>
        <v>13-16</v>
      </c>
      <c r="L324" s="16" t="str">
        <f t="shared" si="4"/>
        <v>13-16</v>
      </c>
      <c r="M324" s="16" t="str">
        <f t="shared" si="5"/>
        <v>13-16</v>
      </c>
      <c r="N324" s="16" t="str">
        <f t="shared" si="6"/>
        <v>1-16</v>
      </c>
      <c r="O324" s="17"/>
      <c r="P324" s="17"/>
      <c r="Q324" s="17"/>
      <c r="R324" s="17"/>
      <c r="S324" s="17"/>
      <c r="T324" s="17"/>
      <c r="U324" s="17"/>
      <c r="V324" s="17"/>
      <c r="W324" s="17"/>
    </row>
    <row r="325" ht="15.75" customHeight="1">
      <c r="A325" s="9" t="s">
        <v>416</v>
      </c>
      <c r="B325" s="10" t="s">
        <v>417</v>
      </c>
      <c r="C325" s="11" t="s">
        <v>418</v>
      </c>
      <c r="D325" s="22" t="s">
        <v>674</v>
      </c>
      <c r="E325" s="13" t="str">
        <f t="array" ref="E325">INDEX(Turmas!C2:C103,MATCH(D325,Turmas!A2:A103,0))</f>
        <v>Manhã</v>
      </c>
      <c r="F325" s="14">
        <v>60.0</v>
      </c>
      <c r="G325" s="15">
        <v>4.0</v>
      </c>
      <c r="H325" s="15">
        <v>0.0</v>
      </c>
      <c r="I325" s="16" t="str">
        <f t="shared" si="1"/>
        <v>7-16</v>
      </c>
      <c r="J325" s="16" t="str">
        <f t="shared" si="2"/>
        <v>7-16</v>
      </c>
      <c r="K325" s="16" t="str">
        <f t="shared" si="3"/>
        <v>7-16</v>
      </c>
      <c r="L325" s="16" t="str">
        <f t="shared" si="4"/>
        <v>7-16</v>
      </c>
      <c r="M325" s="16" t="str">
        <f t="shared" si="5"/>
        <v>7-16</v>
      </c>
      <c r="N325" s="16" t="str">
        <f t="shared" si="6"/>
        <v>1-16</v>
      </c>
      <c r="O325" s="17"/>
      <c r="P325" s="17"/>
      <c r="Q325" s="17"/>
      <c r="R325" s="17"/>
      <c r="S325" s="17"/>
      <c r="T325" s="17"/>
      <c r="U325" s="17"/>
      <c r="V325" s="17"/>
      <c r="W325" s="17"/>
    </row>
    <row r="326" ht="15.75" customHeight="1">
      <c r="A326" s="9" t="s">
        <v>434</v>
      </c>
      <c r="B326" s="10" t="s">
        <v>435</v>
      </c>
      <c r="C326" s="11" t="s">
        <v>200</v>
      </c>
      <c r="D326" s="22" t="s">
        <v>674</v>
      </c>
      <c r="E326" s="13" t="str">
        <f t="array" ref="E326">INDEX(Turmas!C2:C103,MATCH(D326,Turmas!A2:A103,0))</f>
        <v>Manhã</v>
      </c>
      <c r="F326" s="14">
        <v>55.0</v>
      </c>
      <c r="G326" s="15">
        <v>4.0</v>
      </c>
      <c r="H326" s="15">
        <v>0.0</v>
      </c>
      <c r="I326" s="16" t="str">
        <f t="shared" si="1"/>
        <v>7-16</v>
      </c>
      <c r="J326" s="16" t="str">
        <f t="shared" si="2"/>
        <v>7-16</v>
      </c>
      <c r="K326" s="16" t="str">
        <f t="shared" si="3"/>
        <v>7-16</v>
      </c>
      <c r="L326" s="16" t="str">
        <f t="shared" si="4"/>
        <v>7-16</v>
      </c>
      <c r="M326" s="16" t="str">
        <f t="shared" si="5"/>
        <v>7-16</v>
      </c>
      <c r="N326" s="16" t="str">
        <f t="shared" si="6"/>
        <v>1-16</v>
      </c>
      <c r="O326" s="17"/>
      <c r="P326" s="17"/>
      <c r="Q326" s="17"/>
      <c r="R326" s="17"/>
      <c r="S326" s="17"/>
      <c r="T326" s="17"/>
      <c r="U326" s="17"/>
      <c r="V326" s="17"/>
      <c r="W326" s="17"/>
    </row>
    <row r="327" ht="15.75" customHeight="1">
      <c r="A327" s="9" t="s">
        <v>176</v>
      </c>
      <c r="B327" s="10" t="s">
        <v>46</v>
      </c>
      <c r="C327" s="11" t="s">
        <v>62</v>
      </c>
      <c r="D327" s="22" t="s">
        <v>674</v>
      </c>
      <c r="E327" s="13" t="str">
        <f t="array" ref="E327">INDEX(Turmas!C2:C103,MATCH(D327,Turmas!A2:A103,0))</f>
        <v>Manhã</v>
      </c>
      <c r="F327" s="14">
        <v>50.0</v>
      </c>
      <c r="G327" s="15">
        <v>4.0</v>
      </c>
      <c r="H327" s="15">
        <v>0.0</v>
      </c>
      <c r="I327" s="16" t="str">
        <f t="shared" si="1"/>
        <v>7-16</v>
      </c>
      <c r="J327" s="16" t="str">
        <f t="shared" si="2"/>
        <v>7-16</v>
      </c>
      <c r="K327" s="16" t="str">
        <f t="shared" si="3"/>
        <v>7-16</v>
      </c>
      <c r="L327" s="16" t="str">
        <f t="shared" si="4"/>
        <v>7-16</v>
      </c>
      <c r="M327" s="16" t="str">
        <f t="shared" si="5"/>
        <v>7-16</v>
      </c>
      <c r="N327" s="16" t="str">
        <f t="shared" si="6"/>
        <v>1-16</v>
      </c>
      <c r="O327" s="17"/>
      <c r="P327" s="17"/>
      <c r="Q327" s="17"/>
      <c r="R327" s="17"/>
      <c r="S327" s="17"/>
      <c r="T327" s="17"/>
      <c r="U327" s="17"/>
      <c r="V327" s="17"/>
      <c r="W327" s="17"/>
    </row>
    <row r="328" ht="15.75" customHeight="1">
      <c r="A328" s="9" t="s">
        <v>675</v>
      </c>
      <c r="B328" s="10" t="s">
        <v>676</v>
      </c>
      <c r="C328" s="11" t="s">
        <v>90</v>
      </c>
      <c r="D328" s="22" t="s">
        <v>674</v>
      </c>
      <c r="E328" s="13" t="str">
        <f t="array" ref="E328">INDEX(Turmas!C2:C103,MATCH(D328,Turmas!A2:A103,0))</f>
        <v>Manhã</v>
      </c>
      <c r="F328" s="14">
        <v>55.0</v>
      </c>
      <c r="G328" s="15">
        <v>2.0</v>
      </c>
      <c r="H328" s="15">
        <v>0.0</v>
      </c>
      <c r="I328" s="16" t="str">
        <f t="shared" si="1"/>
        <v>7-16</v>
      </c>
      <c r="J328" s="16" t="str">
        <f t="shared" si="2"/>
        <v>7-16</v>
      </c>
      <c r="K328" s="16" t="str">
        <f t="shared" si="3"/>
        <v>7-16</v>
      </c>
      <c r="L328" s="16" t="str">
        <f t="shared" si="4"/>
        <v>7-16</v>
      </c>
      <c r="M328" s="16" t="str">
        <f t="shared" si="5"/>
        <v>7-16</v>
      </c>
      <c r="N328" s="16" t="str">
        <f t="shared" si="6"/>
        <v>1-16</v>
      </c>
      <c r="O328" s="17"/>
      <c r="P328" s="17"/>
      <c r="Q328" s="17"/>
      <c r="R328" s="17"/>
      <c r="S328" s="17"/>
      <c r="T328" s="17"/>
      <c r="U328" s="17"/>
      <c r="V328" s="17"/>
      <c r="W328" s="17"/>
    </row>
    <row r="329" ht="15.75" customHeight="1">
      <c r="A329" s="9" t="s">
        <v>677</v>
      </c>
      <c r="B329" s="19" t="s">
        <v>125</v>
      </c>
      <c r="C329" s="11" t="s">
        <v>424</v>
      </c>
      <c r="D329" s="22" t="s">
        <v>674</v>
      </c>
      <c r="E329" s="13" t="str">
        <f t="array" ref="E329">INDEX(Turmas!C2:C103,MATCH(D329,Turmas!A2:A103,0))</f>
        <v>Manhã</v>
      </c>
      <c r="F329" s="14">
        <v>50.0</v>
      </c>
      <c r="G329" s="15">
        <v>4.0</v>
      </c>
      <c r="H329" s="15">
        <v>0.0</v>
      </c>
      <c r="I329" s="16" t="str">
        <f t="shared" si="1"/>
        <v>7-16</v>
      </c>
      <c r="J329" s="16" t="str">
        <f t="shared" si="2"/>
        <v>7-16</v>
      </c>
      <c r="K329" s="16" t="str">
        <f t="shared" si="3"/>
        <v>7-16</v>
      </c>
      <c r="L329" s="16" t="str">
        <f t="shared" si="4"/>
        <v>7-16</v>
      </c>
      <c r="M329" s="16" t="str">
        <f t="shared" si="5"/>
        <v>7-16</v>
      </c>
      <c r="N329" s="16" t="str">
        <f t="shared" si="6"/>
        <v>1-16</v>
      </c>
      <c r="O329" s="17"/>
      <c r="P329" s="17"/>
      <c r="Q329" s="17"/>
      <c r="R329" s="17"/>
      <c r="S329" s="17"/>
      <c r="T329" s="17"/>
      <c r="U329" s="17"/>
      <c r="V329" s="17"/>
      <c r="W329" s="17"/>
    </row>
    <row r="330" ht="15.75" customHeight="1">
      <c r="A330" s="9" t="s">
        <v>678</v>
      </c>
      <c r="B330" s="19" t="s">
        <v>679</v>
      </c>
      <c r="C330" s="11" t="s">
        <v>680</v>
      </c>
      <c r="D330" s="22" t="s">
        <v>674</v>
      </c>
      <c r="E330" s="13" t="str">
        <f t="array" ref="E330">INDEX(Turmas!C2:C103,MATCH(D330,Turmas!A2:A103,0))</f>
        <v>Manhã</v>
      </c>
      <c r="F330" s="14">
        <v>50.0</v>
      </c>
      <c r="G330" s="15">
        <v>6.0</v>
      </c>
      <c r="H330" s="15">
        <v>0.0</v>
      </c>
      <c r="I330" s="16" t="str">
        <f t="shared" si="1"/>
        <v>7-16</v>
      </c>
      <c r="J330" s="16" t="str">
        <f t="shared" si="2"/>
        <v>7-16</v>
      </c>
      <c r="K330" s="16" t="str">
        <f t="shared" si="3"/>
        <v>7-16</v>
      </c>
      <c r="L330" s="16" t="str">
        <f t="shared" si="4"/>
        <v>7-16</v>
      </c>
      <c r="M330" s="16" t="str">
        <f t="shared" si="5"/>
        <v>7-16</v>
      </c>
      <c r="N330" s="16" t="str">
        <f t="shared" si="6"/>
        <v>1-16</v>
      </c>
      <c r="O330" s="17"/>
      <c r="P330" s="17"/>
      <c r="Q330" s="17"/>
      <c r="R330" s="17"/>
      <c r="S330" s="17"/>
      <c r="T330" s="17"/>
      <c r="U330" s="17"/>
      <c r="V330" s="17"/>
      <c r="W330" s="17"/>
    </row>
    <row r="331" ht="15.75" customHeight="1">
      <c r="A331" s="9" t="s">
        <v>681</v>
      </c>
      <c r="B331" s="19" t="s">
        <v>682</v>
      </c>
      <c r="C331" s="11" t="s">
        <v>246</v>
      </c>
      <c r="D331" s="22" t="s">
        <v>674</v>
      </c>
      <c r="E331" s="13" t="str">
        <f t="array" ref="E331">INDEX(Turmas!C2:C103,MATCH(D331,Turmas!A2:A103,0))</f>
        <v>Manhã</v>
      </c>
      <c r="F331" s="14">
        <v>50.0</v>
      </c>
      <c r="G331" s="15">
        <v>4.0</v>
      </c>
      <c r="H331" s="15">
        <v>0.0</v>
      </c>
      <c r="I331" s="16" t="str">
        <f t="shared" si="1"/>
        <v>7-16</v>
      </c>
      <c r="J331" s="16" t="str">
        <f t="shared" si="2"/>
        <v>7-16</v>
      </c>
      <c r="K331" s="16" t="str">
        <f t="shared" si="3"/>
        <v>7-16</v>
      </c>
      <c r="L331" s="16" t="str">
        <f t="shared" si="4"/>
        <v>7-16</v>
      </c>
      <c r="M331" s="16" t="str">
        <f t="shared" si="5"/>
        <v>7-16</v>
      </c>
      <c r="N331" s="16" t="str">
        <f t="shared" si="6"/>
        <v>1-16</v>
      </c>
      <c r="O331" s="17"/>
      <c r="P331" s="17"/>
      <c r="Q331" s="17"/>
      <c r="R331" s="17"/>
      <c r="S331" s="17"/>
      <c r="T331" s="17"/>
      <c r="U331" s="17"/>
      <c r="V331" s="17"/>
      <c r="W331" s="17"/>
    </row>
    <row r="332" ht="15.75" customHeight="1">
      <c r="A332" s="9" t="s">
        <v>683</v>
      </c>
      <c r="B332" s="19" t="s">
        <v>684</v>
      </c>
      <c r="C332" s="11" t="s">
        <v>441</v>
      </c>
      <c r="D332" s="22" t="s">
        <v>685</v>
      </c>
      <c r="E332" s="13" t="str">
        <f t="array" ref="E332">INDEX(Turmas!C2:C103,MATCH(D332,Turmas!A2:A103,0))</f>
        <v>Tarde</v>
      </c>
      <c r="F332" s="14">
        <v>50.0</v>
      </c>
      <c r="G332" s="15">
        <v>4.0</v>
      </c>
      <c r="H332" s="15">
        <v>0.0</v>
      </c>
      <c r="I332" s="16" t="str">
        <f t="shared" si="1"/>
        <v>1-6,13-16</v>
      </c>
      <c r="J332" s="16" t="str">
        <f t="shared" si="2"/>
        <v>1-6,13-16</v>
      </c>
      <c r="K332" s="16" t="str">
        <f t="shared" si="3"/>
        <v>1-6,13-16</v>
      </c>
      <c r="L332" s="16" t="str">
        <f t="shared" si="4"/>
        <v>1-6,13-16</v>
      </c>
      <c r="M332" s="16" t="str">
        <f t="shared" si="5"/>
        <v>1-6,13-16</v>
      </c>
      <c r="N332" s="16" t="str">
        <f t="shared" si="6"/>
        <v>1-16</v>
      </c>
      <c r="O332" s="17"/>
      <c r="P332" s="17"/>
      <c r="Q332" s="17"/>
      <c r="R332" s="17"/>
      <c r="S332" s="17"/>
      <c r="T332" s="17"/>
      <c r="U332" s="17"/>
      <c r="V332" s="17"/>
      <c r="W332" s="17"/>
    </row>
    <row r="333" ht="15.75" customHeight="1">
      <c r="A333" s="9" t="s">
        <v>686</v>
      </c>
      <c r="B333" s="19" t="s">
        <v>687</v>
      </c>
      <c r="C333" s="11" t="s">
        <v>688</v>
      </c>
      <c r="D333" s="22" t="s">
        <v>685</v>
      </c>
      <c r="E333" s="13" t="str">
        <f t="array" ref="E333">INDEX(Turmas!C2:C103,MATCH(D333,Turmas!A2:A103,0))</f>
        <v>Tarde</v>
      </c>
      <c r="F333" s="20">
        <v>50.0</v>
      </c>
      <c r="G333" s="15">
        <v>5.0</v>
      </c>
      <c r="H333" s="15">
        <v>0.0</v>
      </c>
      <c r="I333" s="16" t="str">
        <f t="shared" si="1"/>
        <v>1-6,13-16</v>
      </c>
      <c r="J333" s="16" t="str">
        <f t="shared" si="2"/>
        <v>1-6,13-16</v>
      </c>
      <c r="K333" s="16" t="str">
        <f t="shared" si="3"/>
        <v>1-6,13-16</v>
      </c>
      <c r="L333" s="16" t="str">
        <f t="shared" si="4"/>
        <v>1-6,13-16</v>
      </c>
      <c r="M333" s="16" t="str">
        <f t="shared" si="5"/>
        <v>1-6,13-16</v>
      </c>
      <c r="N333" s="16" t="str">
        <f t="shared" si="6"/>
        <v>1-16</v>
      </c>
      <c r="O333" s="21"/>
      <c r="P333" s="21"/>
      <c r="Q333" s="21"/>
      <c r="R333" s="21"/>
      <c r="S333" s="21"/>
      <c r="T333" s="21"/>
      <c r="U333" s="21"/>
      <c r="V333" s="21"/>
      <c r="W333" s="21"/>
    </row>
    <row r="334" ht="15.75" customHeight="1">
      <c r="A334" s="9" t="s">
        <v>689</v>
      </c>
      <c r="B334" s="19" t="s">
        <v>690</v>
      </c>
      <c r="C334" s="11" t="s">
        <v>691</v>
      </c>
      <c r="D334" s="22" t="s">
        <v>685</v>
      </c>
      <c r="E334" s="13" t="str">
        <f t="array" ref="E334">INDEX(Turmas!C2:C103,MATCH(D334,Turmas!A2:A103,0))</f>
        <v>Tarde</v>
      </c>
      <c r="F334" s="14">
        <v>50.0</v>
      </c>
      <c r="G334" s="15">
        <v>4.0</v>
      </c>
      <c r="H334" s="15">
        <v>0.0</v>
      </c>
      <c r="I334" s="16" t="str">
        <f t="shared" si="1"/>
        <v>1-6,13-16</v>
      </c>
      <c r="J334" s="16" t="str">
        <f t="shared" si="2"/>
        <v>1-6,13-16</v>
      </c>
      <c r="K334" s="16" t="str">
        <f t="shared" si="3"/>
        <v>1-6,13-16</v>
      </c>
      <c r="L334" s="16" t="str">
        <f t="shared" si="4"/>
        <v>1-6,13-16</v>
      </c>
      <c r="M334" s="16" t="str">
        <f t="shared" si="5"/>
        <v>1-6,13-16</v>
      </c>
      <c r="N334" s="16" t="str">
        <f t="shared" si="6"/>
        <v>1-16</v>
      </c>
      <c r="O334" s="17"/>
      <c r="P334" s="17"/>
      <c r="Q334" s="17"/>
      <c r="R334" s="17"/>
      <c r="S334" s="17"/>
      <c r="T334" s="17"/>
      <c r="U334" s="17"/>
      <c r="V334" s="17"/>
      <c r="W334" s="17"/>
    </row>
    <row r="335" ht="15.75" customHeight="1">
      <c r="A335" s="9" t="s">
        <v>692</v>
      </c>
      <c r="B335" s="19" t="s">
        <v>179</v>
      </c>
      <c r="C335" s="11" t="s">
        <v>180</v>
      </c>
      <c r="D335" s="22" t="s">
        <v>685</v>
      </c>
      <c r="E335" s="13" t="str">
        <f t="array" ref="E335">INDEX(Turmas!C2:C103,MATCH(D335,Turmas!A2:A103,0))</f>
        <v>Tarde</v>
      </c>
      <c r="F335" s="14">
        <v>50.0</v>
      </c>
      <c r="G335" s="15">
        <v>4.0</v>
      </c>
      <c r="H335" s="15">
        <v>0.0</v>
      </c>
      <c r="I335" s="16" t="str">
        <f t="shared" si="1"/>
        <v>1-6,13-16</v>
      </c>
      <c r="J335" s="16" t="str">
        <f t="shared" si="2"/>
        <v>1-6,13-16</v>
      </c>
      <c r="K335" s="16" t="str">
        <f t="shared" si="3"/>
        <v>1-6,13-16</v>
      </c>
      <c r="L335" s="16" t="str">
        <f t="shared" si="4"/>
        <v>1-6,13-16</v>
      </c>
      <c r="M335" s="16" t="str">
        <f t="shared" si="5"/>
        <v>1-6,13-16</v>
      </c>
      <c r="N335" s="16" t="str">
        <f t="shared" si="6"/>
        <v>1-16</v>
      </c>
      <c r="O335" s="17"/>
      <c r="P335" s="17"/>
      <c r="Q335" s="17"/>
      <c r="R335" s="17"/>
      <c r="S335" s="17"/>
      <c r="T335" s="17"/>
      <c r="U335" s="17"/>
      <c r="V335" s="17"/>
      <c r="W335" s="17"/>
    </row>
    <row r="336" ht="15.75" customHeight="1">
      <c r="A336" s="9" t="s">
        <v>693</v>
      </c>
      <c r="B336" s="19" t="s">
        <v>694</v>
      </c>
      <c r="C336" s="11" t="s">
        <v>695</v>
      </c>
      <c r="D336" s="12" t="s">
        <v>685</v>
      </c>
      <c r="E336" s="13" t="str">
        <f t="array" ref="E336">INDEX(Turmas!C2:C103,MATCH(D336,Turmas!A2:A103,0))</f>
        <v>Tarde</v>
      </c>
      <c r="F336" s="14">
        <v>50.0</v>
      </c>
      <c r="G336" s="15">
        <v>4.0</v>
      </c>
      <c r="H336" s="15">
        <v>0.0</v>
      </c>
      <c r="I336" s="16" t="str">
        <f t="shared" si="1"/>
        <v>1-6,13-16</v>
      </c>
      <c r="J336" s="16" t="str">
        <f t="shared" si="2"/>
        <v>1-6,13-16</v>
      </c>
      <c r="K336" s="16" t="str">
        <f t="shared" si="3"/>
        <v>1-6,13-16</v>
      </c>
      <c r="L336" s="16" t="str">
        <f t="shared" si="4"/>
        <v>1-6,13-16</v>
      </c>
      <c r="M336" s="16" t="str">
        <f t="shared" si="5"/>
        <v>1-6,13-16</v>
      </c>
      <c r="N336" s="16" t="str">
        <f t="shared" si="6"/>
        <v>1-16</v>
      </c>
      <c r="O336" s="17"/>
      <c r="P336" s="17"/>
      <c r="Q336" s="17"/>
      <c r="R336" s="17"/>
      <c r="S336" s="17"/>
      <c r="T336" s="17"/>
      <c r="U336" s="17"/>
      <c r="V336" s="17"/>
      <c r="W336" s="17"/>
    </row>
    <row r="337" ht="15.75" customHeight="1">
      <c r="A337" s="9" t="s">
        <v>696</v>
      </c>
      <c r="B337" s="19" t="s">
        <v>697</v>
      </c>
      <c r="C337" s="11" t="s">
        <v>629</v>
      </c>
      <c r="D337" s="12" t="s">
        <v>685</v>
      </c>
      <c r="E337" s="13" t="str">
        <f t="array" ref="E337">INDEX(Turmas!C2:C103,MATCH(D337,Turmas!A2:A103,0))</f>
        <v>Tarde</v>
      </c>
      <c r="F337" s="14">
        <v>50.0</v>
      </c>
      <c r="G337" s="15">
        <v>4.0</v>
      </c>
      <c r="H337" s="15">
        <v>0.0</v>
      </c>
      <c r="I337" s="16" t="str">
        <f t="shared" si="1"/>
        <v>1-6,13-16</v>
      </c>
      <c r="J337" s="16" t="str">
        <f t="shared" si="2"/>
        <v>1-6,13-16</v>
      </c>
      <c r="K337" s="16" t="str">
        <f t="shared" si="3"/>
        <v>1-6,13-16</v>
      </c>
      <c r="L337" s="16" t="str">
        <f t="shared" si="4"/>
        <v>1-6,13-16</v>
      </c>
      <c r="M337" s="16" t="str">
        <f t="shared" si="5"/>
        <v>1-6,13-16</v>
      </c>
      <c r="N337" s="16" t="str">
        <f t="shared" si="6"/>
        <v>1-16</v>
      </c>
      <c r="O337" s="17"/>
      <c r="P337" s="17"/>
      <c r="Q337" s="17"/>
      <c r="R337" s="17"/>
      <c r="S337" s="17"/>
      <c r="T337" s="17"/>
      <c r="U337" s="17"/>
      <c r="V337" s="17"/>
      <c r="W337" s="17"/>
    </row>
    <row r="338" ht="15.75" customHeight="1">
      <c r="A338" s="9" t="s">
        <v>698</v>
      </c>
      <c r="B338" s="19" t="s">
        <v>699</v>
      </c>
      <c r="C338" s="11" t="s">
        <v>559</v>
      </c>
      <c r="D338" s="12" t="s">
        <v>700</v>
      </c>
      <c r="E338" s="13" t="str">
        <f t="array" ref="E338">INDEX(Turmas!C2:C103,MATCH(D338,Turmas!A2:A103,0))</f>
        <v>Manhã</v>
      </c>
      <c r="F338" s="14">
        <v>50.0</v>
      </c>
      <c r="G338" s="15">
        <v>2.0</v>
      </c>
      <c r="H338" s="15">
        <v>0.0</v>
      </c>
      <c r="I338" s="16" t="str">
        <f t="shared" si="1"/>
        <v>7-16</v>
      </c>
      <c r="J338" s="16" t="str">
        <f t="shared" si="2"/>
        <v>7-16</v>
      </c>
      <c r="K338" s="16" t="str">
        <f t="shared" si="3"/>
        <v>7-16</v>
      </c>
      <c r="L338" s="16" t="str">
        <f t="shared" si="4"/>
        <v>7-16</v>
      </c>
      <c r="M338" s="16" t="str">
        <f t="shared" si="5"/>
        <v>7-16</v>
      </c>
      <c r="N338" s="16" t="str">
        <f t="shared" si="6"/>
        <v>1-16</v>
      </c>
      <c r="O338" s="17"/>
      <c r="P338" s="17"/>
      <c r="Q338" s="17"/>
      <c r="R338" s="17"/>
      <c r="S338" s="17"/>
      <c r="T338" s="17"/>
      <c r="U338" s="17"/>
      <c r="V338" s="17"/>
      <c r="W338" s="17"/>
    </row>
    <row r="339" ht="15.75" customHeight="1">
      <c r="A339" s="9" t="s">
        <v>701</v>
      </c>
      <c r="B339" s="19" t="s">
        <v>702</v>
      </c>
      <c r="C339" s="11" t="s">
        <v>703</v>
      </c>
      <c r="D339" s="12" t="s">
        <v>700</v>
      </c>
      <c r="E339" s="13" t="str">
        <f t="array" ref="E339">INDEX(Turmas!C2:C103,MATCH(D339,Turmas!A2:A103,0))</f>
        <v>Manhã</v>
      </c>
      <c r="F339" s="14">
        <v>50.0</v>
      </c>
      <c r="G339" s="15">
        <v>4.0</v>
      </c>
      <c r="H339" s="15">
        <v>0.0</v>
      </c>
      <c r="I339" s="16" t="str">
        <f t="shared" si="1"/>
        <v>7-16</v>
      </c>
      <c r="J339" s="16" t="str">
        <f t="shared" si="2"/>
        <v>7-16</v>
      </c>
      <c r="K339" s="16" t="str">
        <f t="shared" si="3"/>
        <v>7-16</v>
      </c>
      <c r="L339" s="16" t="str">
        <f t="shared" si="4"/>
        <v>7-16</v>
      </c>
      <c r="M339" s="16" t="str">
        <f t="shared" si="5"/>
        <v>7-16</v>
      </c>
      <c r="N339" s="16" t="str">
        <f t="shared" si="6"/>
        <v>1-16</v>
      </c>
      <c r="O339" s="17"/>
      <c r="P339" s="17"/>
      <c r="Q339" s="17"/>
      <c r="R339" s="17"/>
      <c r="S339" s="17"/>
      <c r="T339" s="17"/>
      <c r="U339" s="17"/>
      <c r="V339" s="17"/>
      <c r="W339" s="17"/>
    </row>
    <row r="340" ht="15.75" customHeight="1">
      <c r="A340" s="9" t="s">
        <v>704</v>
      </c>
      <c r="B340" s="19" t="s">
        <v>705</v>
      </c>
      <c r="C340" s="11" t="s">
        <v>456</v>
      </c>
      <c r="D340" s="12" t="s">
        <v>700</v>
      </c>
      <c r="E340" s="13" t="str">
        <f t="array" ref="E340">INDEX(Turmas!C2:C103,MATCH(D340,Turmas!A2:A103,0))</f>
        <v>Manhã</v>
      </c>
      <c r="F340" s="14">
        <v>50.0</v>
      </c>
      <c r="G340" s="15">
        <v>4.0</v>
      </c>
      <c r="H340" s="15">
        <v>0.0</v>
      </c>
      <c r="I340" s="16" t="str">
        <f t="shared" si="1"/>
        <v>7-16</v>
      </c>
      <c r="J340" s="16" t="str">
        <f t="shared" si="2"/>
        <v>7-16</v>
      </c>
      <c r="K340" s="16" t="str">
        <f t="shared" si="3"/>
        <v>7-16</v>
      </c>
      <c r="L340" s="16" t="str">
        <f t="shared" si="4"/>
        <v>7-16</v>
      </c>
      <c r="M340" s="16" t="str">
        <f t="shared" si="5"/>
        <v>7-16</v>
      </c>
      <c r="N340" s="16" t="str">
        <f t="shared" si="6"/>
        <v>1-16</v>
      </c>
      <c r="O340" s="17"/>
      <c r="P340" s="17"/>
      <c r="Q340" s="17"/>
      <c r="R340" s="17"/>
      <c r="S340" s="17"/>
      <c r="T340" s="17"/>
      <c r="U340" s="17"/>
      <c r="V340" s="17"/>
      <c r="W340" s="17"/>
    </row>
    <row r="341" ht="15.75" customHeight="1">
      <c r="A341" s="9" t="s">
        <v>706</v>
      </c>
      <c r="B341" s="19" t="s">
        <v>707</v>
      </c>
      <c r="C341" s="11" t="s">
        <v>708</v>
      </c>
      <c r="D341" s="12" t="s">
        <v>700</v>
      </c>
      <c r="E341" s="13" t="str">
        <f t="array" ref="E341">INDEX(Turmas!C2:C103,MATCH(D341,Turmas!A2:A103,0))</f>
        <v>Manhã</v>
      </c>
      <c r="F341" s="14">
        <v>50.0</v>
      </c>
      <c r="G341" s="15">
        <v>6.0</v>
      </c>
      <c r="H341" s="15">
        <v>0.0</v>
      </c>
      <c r="I341" s="16" t="str">
        <f t="shared" si="1"/>
        <v>7-16</v>
      </c>
      <c r="J341" s="16" t="str">
        <f t="shared" si="2"/>
        <v>7-16</v>
      </c>
      <c r="K341" s="16" t="str">
        <f t="shared" si="3"/>
        <v>7-16</v>
      </c>
      <c r="L341" s="16" t="str">
        <f t="shared" si="4"/>
        <v>7-16</v>
      </c>
      <c r="M341" s="16" t="str">
        <f t="shared" si="5"/>
        <v>7-16</v>
      </c>
      <c r="N341" s="16" t="str">
        <f t="shared" si="6"/>
        <v>1-16</v>
      </c>
      <c r="O341" s="17"/>
      <c r="P341" s="17"/>
      <c r="Q341" s="17"/>
      <c r="R341" s="17"/>
      <c r="S341" s="17"/>
      <c r="T341" s="17"/>
      <c r="U341" s="17"/>
      <c r="V341" s="17"/>
      <c r="W341" s="17"/>
    </row>
    <row r="342" ht="15.75" customHeight="1">
      <c r="A342" s="9" t="s">
        <v>709</v>
      </c>
      <c r="B342" s="19" t="s">
        <v>710</v>
      </c>
      <c r="C342" s="11" t="s">
        <v>708</v>
      </c>
      <c r="D342" s="12" t="s">
        <v>700</v>
      </c>
      <c r="E342" s="13" t="str">
        <f t="array" ref="E342">INDEX(Turmas!C2:C103,MATCH(D342,Turmas!A2:A103,0))</f>
        <v>Manhã</v>
      </c>
      <c r="F342" s="14">
        <v>50.0</v>
      </c>
      <c r="G342" s="15">
        <v>3.0</v>
      </c>
      <c r="H342" s="15">
        <v>0.0</v>
      </c>
      <c r="I342" s="16" t="str">
        <f t="shared" si="1"/>
        <v>7-16</v>
      </c>
      <c r="J342" s="16" t="str">
        <f t="shared" si="2"/>
        <v>7-16</v>
      </c>
      <c r="K342" s="16" t="str">
        <f t="shared" si="3"/>
        <v>7-16</v>
      </c>
      <c r="L342" s="16" t="str">
        <f t="shared" si="4"/>
        <v>7-16</v>
      </c>
      <c r="M342" s="16" t="str">
        <f t="shared" si="5"/>
        <v>7-16</v>
      </c>
      <c r="N342" s="16" t="str">
        <f t="shared" si="6"/>
        <v>1-16</v>
      </c>
      <c r="O342" s="17"/>
      <c r="P342" s="17"/>
      <c r="Q342" s="17"/>
      <c r="R342" s="17"/>
      <c r="S342" s="17"/>
      <c r="T342" s="17"/>
      <c r="U342" s="17"/>
      <c r="V342" s="17"/>
      <c r="W342" s="17"/>
    </row>
    <row r="343" ht="15.75" customHeight="1">
      <c r="A343" s="9" t="s">
        <v>711</v>
      </c>
      <c r="B343" s="19" t="s">
        <v>690</v>
      </c>
      <c r="C343" s="11" t="s">
        <v>691</v>
      </c>
      <c r="D343" s="12" t="s">
        <v>700</v>
      </c>
      <c r="E343" s="13" t="str">
        <f t="array" ref="E343">INDEX(Turmas!C2:C103,MATCH(D343,Turmas!A2:A103,0))</f>
        <v>Manhã</v>
      </c>
      <c r="F343" s="14">
        <v>50.0</v>
      </c>
      <c r="G343" s="15">
        <v>5.0</v>
      </c>
      <c r="H343" s="15">
        <v>0.0</v>
      </c>
      <c r="I343" s="16" t="str">
        <f t="shared" si="1"/>
        <v>7-16</v>
      </c>
      <c r="J343" s="16" t="str">
        <f t="shared" si="2"/>
        <v>7-16</v>
      </c>
      <c r="K343" s="16" t="str">
        <f t="shared" si="3"/>
        <v>7-16</v>
      </c>
      <c r="L343" s="16" t="str">
        <f t="shared" si="4"/>
        <v>7-16</v>
      </c>
      <c r="M343" s="16" t="str">
        <f t="shared" si="5"/>
        <v>7-16</v>
      </c>
      <c r="N343" s="16" t="str">
        <f t="shared" si="6"/>
        <v>1-16</v>
      </c>
      <c r="O343" s="17"/>
      <c r="P343" s="17"/>
      <c r="Q343" s="17"/>
      <c r="R343" s="17"/>
      <c r="S343" s="17"/>
      <c r="T343" s="17"/>
      <c r="U343" s="17"/>
      <c r="V343" s="17"/>
      <c r="W343" s="17"/>
    </row>
    <row r="344" ht="15.75" customHeight="1">
      <c r="A344" s="9" t="s">
        <v>712</v>
      </c>
      <c r="B344" s="19" t="s">
        <v>713</v>
      </c>
      <c r="C344" s="11" t="s">
        <v>714</v>
      </c>
      <c r="D344" s="12" t="s">
        <v>715</v>
      </c>
      <c r="E344" s="13" t="str">
        <f t="array" ref="E344">INDEX(Turmas!C2:C103,MATCH(D344,Turmas!A2:A103,0))</f>
        <v>Tarde</v>
      </c>
      <c r="F344" s="14">
        <v>40.0</v>
      </c>
      <c r="G344" s="15">
        <v>3.0</v>
      </c>
      <c r="H344" s="15">
        <v>0.0</v>
      </c>
      <c r="I344" s="16" t="str">
        <f t="shared" si="1"/>
        <v>1-6,13-16</v>
      </c>
      <c r="J344" s="16" t="str">
        <f t="shared" si="2"/>
        <v>1-6,13-16</v>
      </c>
      <c r="K344" s="16" t="str">
        <f t="shared" si="3"/>
        <v>1-6,13-16</v>
      </c>
      <c r="L344" s="16" t="str">
        <f t="shared" si="4"/>
        <v>1-6,13-16</v>
      </c>
      <c r="M344" s="16" t="str">
        <f t="shared" si="5"/>
        <v>1-6,13-16</v>
      </c>
      <c r="N344" s="16" t="str">
        <f t="shared" si="6"/>
        <v>1-16</v>
      </c>
      <c r="O344" s="17"/>
      <c r="P344" s="17"/>
      <c r="Q344" s="17"/>
      <c r="R344" s="17"/>
      <c r="S344" s="17"/>
      <c r="T344" s="17"/>
      <c r="U344" s="17"/>
      <c r="V344" s="17"/>
      <c r="W344" s="17"/>
    </row>
    <row r="345" ht="15.75" customHeight="1">
      <c r="A345" s="9" t="s">
        <v>716</v>
      </c>
      <c r="B345" s="19" t="s">
        <v>717</v>
      </c>
      <c r="C345" s="11" t="s">
        <v>718</v>
      </c>
      <c r="D345" s="12" t="s">
        <v>715</v>
      </c>
      <c r="E345" s="13" t="str">
        <f t="array" ref="E345">INDEX(Turmas!C2:C103,MATCH(D345,Turmas!A2:A103,0))</f>
        <v>Tarde</v>
      </c>
      <c r="F345" s="14">
        <v>50.0</v>
      </c>
      <c r="G345" s="15">
        <v>4.0</v>
      </c>
      <c r="H345" s="15">
        <v>0.0</v>
      </c>
      <c r="I345" s="16" t="str">
        <f t="shared" si="1"/>
        <v>1-6,13-16</v>
      </c>
      <c r="J345" s="16" t="str">
        <f t="shared" si="2"/>
        <v>1-6,13-16</v>
      </c>
      <c r="K345" s="16" t="str">
        <f t="shared" si="3"/>
        <v>1-6,13-16</v>
      </c>
      <c r="L345" s="16" t="str">
        <f t="shared" si="4"/>
        <v>1-6,13-16</v>
      </c>
      <c r="M345" s="16" t="str">
        <f t="shared" si="5"/>
        <v>1-6,13-16</v>
      </c>
      <c r="N345" s="16" t="str">
        <f t="shared" si="6"/>
        <v>1-16</v>
      </c>
      <c r="O345" s="17"/>
      <c r="P345" s="17"/>
      <c r="Q345" s="17"/>
      <c r="R345" s="17"/>
      <c r="S345" s="17"/>
      <c r="T345" s="17"/>
      <c r="U345" s="17"/>
      <c r="V345" s="17"/>
      <c r="W345" s="17"/>
    </row>
    <row r="346" ht="15.75" customHeight="1">
      <c r="A346" s="9" t="s">
        <v>719</v>
      </c>
      <c r="B346" s="19" t="s">
        <v>720</v>
      </c>
      <c r="C346" s="11" t="s">
        <v>688</v>
      </c>
      <c r="D346" s="12" t="s">
        <v>715</v>
      </c>
      <c r="E346" s="13" t="str">
        <f t="array" ref="E346">INDEX(Turmas!C2:C103,MATCH(D346,Turmas!A2:A103,0))</f>
        <v>Tarde</v>
      </c>
      <c r="F346" s="14">
        <v>50.0</v>
      </c>
      <c r="G346" s="15">
        <v>4.0</v>
      </c>
      <c r="H346" s="15">
        <v>0.0</v>
      </c>
      <c r="I346" s="16" t="str">
        <f t="shared" si="1"/>
        <v>1-6,13-16</v>
      </c>
      <c r="J346" s="16" t="str">
        <f t="shared" si="2"/>
        <v>1-6,13-16</v>
      </c>
      <c r="K346" s="16" t="str">
        <f t="shared" si="3"/>
        <v>1-6,13-16</v>
      </c>
      <c r="L346" s="16" t="str">
        <f t="shared" si="4"/>
        <v>1-6,13-16</v>
      </c>
      <c r="M346" s="16" t="str">
        <f t="shared" si="5"/>
        <v>1-6,13-16</v>
      </c>
      <c r="N346" s="16" t="str">
        <f t="shared" si="6"/>
        <v>1-16</v>
      </c>
      <c r="O346" s="17"/>
      <c r="P346" s="17"/>
      <c r="Q346" s="17"/>
      <c r="R346" s="17"/>
      <c r="S346" s="17"/>
      <c r="T346" s="17"/>
      <c r="U346" s="17"/>
      <c r="V346" s="17"/>
      <c r="W346" s="17"/>
    </row>
    <row r="347" ht="15.75" customHeight="1">
      <c r="A347" s="9" t="s">
        <v>721</v>
      </c>
      <c r="B347" s="19" t="s">
        <v>722</v>
      </c>
      <c r="C347" s="11" t="s">
        <v>723</v>
      </c>
      <c r="D347" s="12" t="s">
        <v>715</v>
      </c>
      <c r="E347" s="13" t="str">
        <f t="array" ref="E347">INDEX(Turmas!C2:C103,MATCH(D347,Turmas!A2:A103,0))</f>
        <v>Tarde</v>
      </c>
      <c r="F347" s="14">
        <v>50.0</v>
      </c>
      <c r="G347" s="15">
        <v>3.0</v>
      </c>
      <c r="H347" s="15">
        <v>0.0</v>
      </c>
      <c r="I347" s="16" t="str">
        <f t="shared" si="1"/>
        <v>1-6,13-16</v>
      </c>
      <c r="J347" s="16" t="str">
        <f t="shared" si="2"/>
        <v>1-6,13-16</v>
      </c>
      <c r="K347" s="16" t="str">
        <f t="shared" si="3"/>
        <v>1-6,13-16</v>
      </c>
      <c r="L347" s="16" t="str">
        <f t="shared" si="4"/>
        <v>1-6,13-16</v>
      </c>
      <c r="M347" s="16" t="str">
        <f t="shared" si="5"/>
        <v>1-6,13-16</v>
      </c>
      <c r="N347" s="16" t="str">
        <f t="shared" si="6"/>
        <v>1-16</v>
      </c>
      <c r="O347" s="17"/>
      <c r="P347" s="17"/>
      <c r="Q347" s="17"/>
      <c r="R347" s="17"/>
      <c r="S347" s="17"/>
      <c r="T347" s="17"/>
      <c r="U347" s="17"/>
      <c r="V347" s="17"/>
      <c r="W347" s="17"/>
    </row>
    <row r="348" ht="15.75" customHeight="1">
      <c r="A348" s="9" t="s">
        <v>724</v>
      </c>
      <c r="B348" s="19" t="s">
        <v>725</v>
      </c>
      <c r="C348" s="11" t="s">
        <v>325</v>
      </c>
      <c r="D348" s="12" t="s">
        <v>715</v>
      </c>
      <c r="E348" s="13" t="str">
        <f t="array" ref="E348">INDEX(Turmas!C2:C103,MATCH(D348,Turmas!A2:A103,0))</f>
        <v>Tarde</v>
      </c>
      <c r="F348" s="14">
        <v>50.0</v>
      </c>
      <c r="G348" s="15">
        <v>3.0</v>
      </c>
      <c r="H348" s="15">
        <v>0.0</v>
      </c>
      <c r="I348" s="16" t="str">
        <f t="shared" si="1"/>
        <v>1-6,13-16</v>
      </c>
      <c r="J348" s="16" t="str">
        <f t="shared" si="2"/>
        <v>1-6,13-16</v>
      </c>
      <c r="K348" s="16" t="str">
        <f t="shared" si="3"/>
        <v>1-6,13-16</v>
      </c>
      <c r="L348" s="16" t="str">
        <f t="shared" si="4"/>
        <v>1-6,13-16</v>
      </c>
      <c r="M348" s="16" t="str">
        <f t="shared" si="5"/>
        <v>1-6,13-16</v>
      </c>
      <c r="N348" s="16" t="str">
        <f t="shared" si="6"/>
        <v>1-16</v>
      </c>
      <c r="O348" s="17"/>
      <c r="P348" s="17"/>
      <c r="Q348" s="17"/>
      <c r="R348" s="17"/>
      <c r="S348" s="17"/>
      <c r="T348" s="17"/>
      <c r="U348" s="17"/>
      <c r="V348" s="17"/>
      <c r="W348" s="17"/>
    </row>
    <row r="349" ht="15.75" customHeight="1">
      <c r="A349" s="9" t="s">
        <v>726</v>
      </c>
      <c r="B349" s="19" t="s">
        <v>727</v>
      </c>
      <c r="C349" s="11" t="s">
        <v>708</v>
      </c>
      <c r="D349" s="12" t="s">
        <v>715</v>
      </c>
      <c r="E349" s="13" t="str">
        <f t="array" ref="E349">INDEX(Turmas!C2:C103,MATCH(D349,Turmas!A2:A103,0))</f>
        <v>Tarde</v>
      </c>
      <c r="F349" s="14">
        <v>50.0</v>
      </c>
      <c r="G349" s="15">
        <v>4.0</v>
      </c>
      <c r="H349" s="15">
        <v>0.0</v>
      </c>
      <c r="I349" s="16" t="str">
        <f t="shared" si="1"/>
        <v>1-6,13-16</v>
      </c>
      <c r="J349" s="16" t="str">
        <f t="shared" si="2"/>
        <v>1-6,13-16</v>
      </c>
      <c r="K349" s="16" t="str">
        <f t="shared" si="3"/>
        <v>1-6,13-16</v>
      </c>
      <c r="L349" s="16" t="str">
        <f t="shared" si="4"/>
        <v>1-6,13-16</v>
      </c>
      <c r="M349" s="16" t="str">
        <f t="shared" si="5"/>
        <v>1-6,13-16</v>
      </c>
      <c r="N349" s="16" t="str">
        <f t="shared" si="6"/>
        <v>1-16</v>
      </c>
      <c r="O349" s="17"/>
      <c r="P349" s="17"/>
      <c r="Q349" s="17"/>
      <c r="R349" s="17"/>
      <c r="S349" s="17"/>
      <c r="T349" s="17"/>
      <c r="U349" s="17"/>
      <c r="V349" s="17"/>
      <c r="W349" s="17"/>
    </row>
    <row r="350" ht="15.75" customHeight="1">
      <c r="A350" s="9" t="s">
        <v>728</v>
      </c>
      <c r="B350" s="19" t="s">
        <v>729</v>
      </c>
      <c r="C350" s="11" t="s">
        <v>542</v>
      </c>
      <c r="D350" s="12" t="s">
        <v>715</v>
      </c>
      <c r="E350" s="13" t="str">
        <f t="array" ref="E350">INDEX(Turmas!C2:C103,MATCH(D350,Turmas!A2:A103,0))</f>
        <v>Tarde</v>
      </c>
      <c r="F350" s="14">
        <v>50.0</v>
      </c>
      <c r="G350" s="15">
        <v>4.0</v>
      </c>
      <c r="H350" s="15">
        <v>0.0</v>
      </c>
      <c r="I350" s="16" t="str">
        <f t="shared" si="1"/>
        <v>1-6,13-16</v>
      </c>
      <c r="J350" s="16" t="str">
        <f t="shared" si="2"/>
        <v>1-6,13-16</v>
      </c>
      <c r="K350" s="16" t="str">
        <f t="shared" si="3"/>
        <v>1-6,13-16</v>
      </c>
      <c r="L350" s="16" t="str">
        <f t="shared" si="4"/>
        <v>1-6,13-16</v>
      </c>
      <c r="M350" s="16" t="str">
        <f t="shared" si="5"/>
        <v>1-6,13-16</v>
      </c>
      <c r="N350" s="16" t="str">
        <f t="shared" si="6"/>
        <v>1-16</v>
      </c>
      <c r="O350" s="17"/>
      <c r="P350" s="17"/>
      <c r="Q350" s="17"/>
      <c r="R350" s="17"/>
      <c r="S350" s="17"/>
      <c r="T350" s="17"/>
      <c r="U350" s="17"/>
      <c r="V350" s="17"/>
      <c r="W350" s="17"/>
    </row>
    <row r="351" ht="15.75" customHeight="1">
      <c r="A351" s="9" t="s">
        <v>730</v>
      </c>
      <c r="B351" s="19" t="s">
        <v>731</v>
      </c>
      <c r="C351" s="11" t="s">
        <v>90</v>
      </c>
      <c r="D351" s="12" t="s">
        <v>732</v>
      </c>
      <c r="E351" s="13" t="str">
        <f t="array" ref="E351">INDEX(Turmas!C2:C103,MATCH(D351,Turmas!A2:A103,0))</f>
        <v>Integral</v>
      </c>
      <c r="F351" s="14">
        <v>50.0</v>
      </c>
      <c r="G351" s="15">
        <v>4.0</v>
      </c>
      <c r="H351" s="15">
        <v>0.0</v>
      </c>
      <c r="I351" s="16" t="str">
        <f t="shared" si="1"/>
        <v>13-16</v>
      </c>
      <c r="J351" s="16" t="str">
        <f t="shared" si="2"/>
        <v>13-16</v>
      </c>
      <c r="K351" s="16" t="str">
        <f t="shared" si="3"/>
        <v>13-16</v>
      </c>
      <c r="L351" s="16" t="str">
        <f t="shared" si="4"/>
        <v>13-16</v>
      </c>
      <c r="M351" s="16" t="str">
        <f t="shared" si="5"/>
        <v>13-16</v>
      </c>
      <c r="N351" s="16" t="str">
        <f t="shared" si="6"/>
        <v>1-16</v>
      </c>
      <c r="O351" s="17"/>
      <c r="P351" s="17"/>
      <c r="Q351" s="17"/>
      <c r="R351" s="17"/>
      <c r="S351" s="17"/>
      <c r="T351" s="17"/>
      <c r="U351" s="17"/>
      <c r="V351" s="17"/>
      <c r="W351" s="17"/>
    </row>
    <row r="352" ht="15.75" customHeight="1">
      <c r="A352" s="9" t="s">
        <v>733</v>
      </c>
      <c r="B352" s="19" t="s">
        <v>734</v>
      </c>
      <c r="C352" s="11" t="s">
        <v>723</v>
      </c>
      <c r="D352" s="12" t="s">
        <v>732</v>
      </c>
      <c r="E352" s="13" t="str">
        <f t="array" ref="E352">INDEX(Turmas!C2:C103,MATCH(D352,Turmas!A2:A103,0))</f>
        <v>Integral</v>
      </c>
      <c r="F352" s="14">
        <v>50.0</v>
      </c>
      <c r="G352" s="15">
        <v>4.0</v>
      </c>
      <c r="H352" s="15">
        <v>0.0</v>
      </c>
      <c r="I352" s="16" t="str">
        <f t="shared" si="1"/>
        <v>13-16</v>
      </c>
      <c r="J352" s="16" t="str">
        <f t="shared" si="2"/>
        <v>13-16</v>
      </c>
      <c r="K352" s="16" t="str">
        <f t="shared" si="3"/>
        <v>13-16</v>
      </c>
      <c r="L352" s="16" t="str">
        <f t="shared" si="4"/>
        <v>13-16</v>
      </c>
      <c r="M352" s="16" t="str">
        <f t="shared" si="5"/>
        <v>13-16</v>
      </c>
      <c r="N352" s="16" t="str">
        <f t="shared" si="6"/>
        <v>1-16</v>
      </c>
      <c r="O352" s="17"/>
      <c r="P352" s="17"/>
      <c r="Q352" s="17"/>
      <c r="R352" s="17"/>
      <c r="S352" s="17"/>
      <c r="T352" s="17"/>
      <c r="U352" s="17"/>
      <c r="V352" s="17"/>
      <c r="W352" s="17"/>
    </row>
    <row r="353" ht="15.75" customHeight="1">
      <c r="A353" s="9" t="s">
        <v>735</v>
      </c>
      <c r="B353" s="19" t="s">
        <v>736</v>
      </c>
      <c r="C353" s="11" t="s">
        <v>456</v>
      </c>
      <c r="D353" s="12" t="s">
        <v>732</v>
      </c>
      <c r="E353" s="13" t="str">
        <f t="array" ref="E353">INDEX(Turmas!C2:C103,MATCH(D353,Turmas!A2:A103,0))</f>
        <v>Integral</v>
      </c>
      <c r="F353" s="20">
        <v>50.0</v>
      </c>
      <c r="G353" s="15">
        <v>3.0</v>
      </c>
      <c r="H353" s="15">
        <v>0.0</v>
      </c>
      <c r="I353" s="16" t="str">
        <f t="shared" si="1"/>
        <v>13-16</v>
      </c>
      <c r="J353" s="16" t="str">
        <f t="shared" si="2"/>
        <v>13-16</v>
      </c>
      <c r="K353" s="16" t="str">
        <f t="shared" si="3"/>
        <v>13-16</v>
      </c>
      <c r="L353" s="16" t="str">
        <f t="shared" si="4"/>
        <v>13-16</v>
      </c>
      <c r="M353" s="16" t="str">
        <f t="shared" si="5"/>
        <v>13-16</v>
      </c>
      <c r="N353" s="16" t="str">
        <f t="shared" si="6"/>
        <v>1-16</v>
      </c>
      <c r="O353" s="21"/>
      <c r="P353" s="21"/>
      <c r="Q353" s="21"/>
      <c r="R353" s="21"/>
      <c r="S353" s="21"/>
      <c r="T353" s="21"/>
      <c r="U353" s="21"/>
      <c r="V353" s="21"/>
      <c r="W353" s="21"/>
    </row>
    <row r="354" ht="15.75" customHeight="1">
      <c r="A354" s="9" t="s">
        <v>737</v>
      </c>
      <c r="B354" s="19" t="s">
        <v>738</v>
      </c>
      <c r="C354" s="11" t="s">
        <v>739</v>
      </c>
      <c r="D354" s="12" t="s">
        <v>732</v>
      </c>
      <c r="E354" s="13" t="str">
        <f t="array" ref="E354">INDEX(Turmas!C2:C103,MATCH(D354,Turmas!A2:A103,0))</f>
        <v>Integral</v>
      </c>
      <c r="F354" s="14">
        <v>50.0</v>
      </c>
      <c r="G354" s="15">
        <v>4.0</v>
      </c>
      <c r="H354" s="15">
        <v>0.0</v>
      </c>
      <c r="I354" s="16" t="str">
        <f t="shared" si="1"/>
        <v>13-16</v>
      </c>
      <c r="J354" s="16" t="str">
        <f t="shared" si="2"/>
        <v>13-16</v>
      </c>
      <c r="K354" s="16" t="str">
        <f t="shared" si="3"/>
        <v>13-16</v>
      </c>
      <c r="L354" s="16" t="str">
        <f t="shared" si="4"/>
        <v>13-16</v>
      </c>
      <c r="M354" s="16" t="str">
        <f t="shared" si="5"/>
        <v>13-16</v>
      </c>
      <c r="N354" s="16" t="str">
        <f t="shared" si="6"/>
        <v>1-16</v>
      </c>
      <c r="O354" s="17"/>
      <c r="P354" s="17"/>
      <c r="Q354" s="17"/>
      <c r="R354" s="17"/>
      <c r="S354" s="17"/>
      <c r="T354" s="17"/>
      <c r="U354" s="17"/>
      <c r="V354" s="17"/>
      <c r="W354" s="17"/>
    </row>
    <row r="355" ht="15.75" customHeight="1">
      <c r="A355" s="9" t="s">
        <v>740</v>
      </c>
      <c r="B355" s="19" t="s">
        <v>15</v>
      </c>
      <c r="C355" s="11" t="s">
        <v>47</v>
      </c>
      <c r="D355" s="12" t="s">
        <v>741</v>
      </c>
      <c r="E355" s="13" t="str">
        <f t="array" ref="E355">INDEX(Turmas!C2:C103,MATCH(D355,Turmas!A2:A103,0))</f>
        <v>Noite</v>
      </c>
      <c r="F355" s="14">
        <v>60.0</v>
      </c>
      <c r="G355" s="15">
        <v>3.0</v>
      </c>
      <c r="H355" s="15">
        <v>0.0</v>
      </c>
      <c r="I355" s="16" t="str">
        <f t="shared" si="1"/>
        <v>1-12</v>
      </c>
      <c r="J355" s="16" t="str">
        <f t="shared" si="2"/>
        <v>1-12</v>
      </c>
      <c r="K355" s="16" t="str">
        <f t="shared" si="3"/>
        <v>1-12</v>
      </c>
      <c r="L355" s="16" t="str">
        <f t="shared" si="4"/>
        <v>1-12</v>
      </c>
      <c r="M355" s="16" t="str">
        <f t="shared" si="5"/>
        <v>1-12</v>
      </c>
      <c r="N355" s="16" t="str">
        <f t="shared" si="6"/>
        <v>0</v>
      </c>
      <c r="O355" s="17"/>
      <c r="P355" s="17"/>
      <c r="Q355" s="17"/>
      <c r="R355" s="17"/>
      <c r="S355" s="17"/>
      <c r="T355" s="17"/>
      <c r="U355" s="17"/>
      <c r="V355" s="17"/>
      <c r="W355" s="17"/>
    </row>
    <row r="356" ht="15.75" customHeight="1">
      <c r="A356" s="9" t="s">
        <v>742</v>
      </c>
      <c r="B356" s="19" t="s">
        <v>743</v>
      </c>
      <c r="C356" s="11" t="s">
        <v>744</v>
      </c>
      <c r="D356" s="12" t="s">
        <v>741</v>
      </c>
      <c r="E356" s="13" t="str">
        <f t="array" ref="E356">INDEX(Turmas!C2:C103,MATCH(D356,Turmas!A2:A103,0))</f>
        <v>Noite</v>
      </c>
      <c r="F356" s="14">
        <v>60.0</v>
      </c>
      <c r="G356" s="15">
        <v>5.0</v>
      </c>
      <c r="H356" s="15">
        <v>0.0</v>
      </c>
      <c r="I356" s="16" t="str">
        <f t="shared" si="1"/>
        <v>1-12</v>
      </c>
      <c r="J356" s="16" t="str">
        <f t="shared" si="2"/>
        <v>1-12</v>
      </c>
      <c r="K356" s="16" t="str">
        <f t="shared" si="3"/>
        <v>1-12</v>
      </c>
      <c r="L356" s="16" t="str">
        <f t="shared" si="4"/>
        <v>1-12</v>
      </c>
      <c r="M356" s="16" t="str">
        <f t="shared" si="5"/>
        <v>1-12</v>
      </c>
      <c r="N356" s="16" t="str">
        <f t="shared" si="6"/>
        <v>0</v>
      </c>
      <c r="O356" s="17"/>
      <c r="P356" s="17"/>
      <c r="Q356" s="17"/>
      <c r="R356" s="17"/>
      <c r="S356" s="17"/>
      <c r="T356" s="17"/>
      <c r="U356" s="17"/>
      <c r="V356" s="17"/>
      <c r="W356" s="17"/>
    </row>
    <row r="357" ht="15.75" customHeight="1">
      <c r="A357" s="9" t="s">
        <v>745</v>
      </c>
      <c r="B357" s="19" t="s">
        <v>746</v>
      </c>
      <c r="C357" s="11" t="s">
        <v>747</v>
      </c>
      <c r="D357" s="12" t="s">
        <v>741</v>
      </c>
      <c r="E357" s="13" t="str">
        <f t="array" ref="E357">INDEX(Turmas!C2:C103,MATCH(D357,Turmas!A2:A103,0))</f>
        <v>Noite</v>
      </c>
      <c r="F357" s="14">
        <v>60.0</v>
      </c>
      <c r="G357" s="15">
        <v>2.0</v>
      </c>
      <c r="H357" s="15">
        <v>0.0</v>
      </c>
      <c r="I357" s="16" t="str">
        <f t="shared" si="1"/>
        <v>1-12</v>
      </c>
      <c r="J357" s="16" t="str">
        <f t="shared" si="2"/>
        <v>1-12</v>
      </c>
      <c r="K357" s="16" t="str">
        <f t="shared" si="3"/>
        <v>1-12</v>
      </c>
      <c r="L357" s="16" t="str">
        <f t="shared" si="4"/>
        <v>1-12</v>
      </c>
      <c r="M357" s="16" t="str">
        <f t="shared" si="5"/>
        <v>1-12</v>
      </c>
      <c r="N357" s="16" t="str">
        <f t="shared" si="6"/>
        <v>0</v>
      </c>
      <c r="O357" s="17"/>
      <c r="P357" s="17"/>
      <c r="Q357" s="17"/>
      <c r="R357" s="17"/>
      <c r="S357" s="17"/>
      <c r="T357" s="17"/>
      <c r="U357" s="17"/>
      <c r="V357" s="17"/>
      <c r="W357" s="17"/>
    </row>
    <row r="358" ht="15.75" customHeight="1">
      <c r="A358" s="9" t="s">
        <v>748</v>
      </c>
      <c r="B358" s="19" t="s">
        <v>749</v>
      </c>
      <c r="C358" s="11" t="s">
        <v>750</v>
      </c>
      <c r="D358" s="12" t="s">
        <v>741</v>
      </c>
      <c r="E358" s="13" t="str">
        <f t="array" ref="E358">INDEX(Turmas!C2:C103,MATCH(D358,Turmas!A2:A103,0))</f>
        <v>Noite</v>
      </c>
      <c r="F358" s="14">
        <v>60.0</v>
      </c>
      <c r="G358" s="15">
        <v>3.0</v>
      </c>
      <c r="H358" s="15">
        <v>0.0</v>
      </c>
      <c r="I358" s="16" t="str">
        <f t="shared" si="1"/>
        <v>1-12</v>
      </c>
      <c r="J358" s="16" t="str">
        <f t="shared" si="2"/>
        <v>1-12</v>
      </c>
      <c r="K358" s="16" t="str">
        <f t="shared" si="3"/>
        <v>1-12</v>
      </c>
      <c r="L358" s="16" t="str">
        <f t="shared" si="4"/>
        <v>1-12</v>
      </c>
      <c r="M358" s="16" t="str">
        <f t="shared" si="5"/>
        <v>1-12</v>
      </c>
      <c r="N358" s="16" t="str">
        <f t="shared" si="6"/>
        <v>0</v>
      </c>
      <c r="O358" s="17"/>
      <c r="P358" s="17"/>
      <c r="Q358" s="17"/>
      <c r="R358" s="17"/>
      <c r="S358" s="17"/>
      <c r="T358" s="17"/>
      <c r="U358" s="17"/>
      <c r="V358" s="17"/>
      <c r="W358" s="17"/>
    </row>
    <row r="359" ht="15.75" customHeight="1">
      <c r="A359" s="9" t="s">
        <v>28</v>
      </c>
      <c r="B359" s="10" t="s">
        <v>29</v>
      </c>
      <c r="C359" s="11" t="s">
        <v>53</v>
      </c>
      <c r="D359" s="12" t="s">
        <v>741</v>
      </c>
      <c r="E359" s="13" t="str">
        <f t="array" ref="E359">INDEX(Turmas!C2:C103,MATCH(D359,Turmas!A2:A103,0))</f>
        <v>Noite</v>
      </c>
      <c r="F359" s="14">
        <v>60.0</v>
      </c>
      <c r="G359" s="15">
        <v>4.0</v>
      </c>
      <c r="H359" s="15">
        <v>0.0</v>
      </c>
      <c r="I359" s="16" t="str">
        <f t="shared" si="1"/>
        <v>1-12</v>
      </c>
      <c r="J359" s="16" t="str">
        <f t="shared" si="2"/>
        <v>1-12</v>
      </c>
      <c r="K359" s="16" t="str">
        <f t="shared" si="3"/>
        <v>1-12</v>
      </c>
      <c r="L359" s="16" t="str">
        <f t="shared" si="4"/>
        <v>1-12</v>
      </c>
      <c r="M359" s="16" t="str">
        <f t="shared" si="5"/>
        <v>1-12</v>
      </c>
      <c r="N359" s="16" t="str">
        <f t="shared" si="6"/>
        <v>0</v>
      </c>
      <c r="O359" s="17"/>
      <c r="P359" s="17"/>
      <c r="Q359" s="17"/>
      <c r="R359" s="17"/>
      <c r="S359" s="17"/>
      <c r="T359" s="17"/>
      <c r="U359" s="17"/>
      <c r="V359" s="17"/>
      <c r="W359" s="17"/>
    </row>
    <row r="360" ht="15.75" customHeight="1">
      <c r="A360" s="9" t="s">
        <v>30</v>
      </c>
      <c r="B360" s="10" t="s">
        <v>31</v>
      </c>
      <c r="C360" s="11" t="s">
        <v>54</v>
      </c>
      <c r="D360" s="12" t="s">
        <v>741</v>
      </c>
      <c r="E360" s="13" t="str">
        <f t="array" ref="E360">INDEX(Turmas!C2:C103,MATCH(D360,Turmas!A2:A103,0))</f>
        <v>Noite</v>
      </c>
      <c r="F360" s="14">
        <v>60.0</v>
      </c>
      <c r="G360" s="15">
        <v>3.0</v>
      </c>
      <c r="H360" s="15">
        <v>0.0</v>
      </c>
      <c r="I360" s="16" t="str">
        <f t="shared" si="1"/>
        <v>1-12</v>
      </c>
      <c r="J360" s="16" t="str">
        <f t="shared" si="2"/>
        <v>1-12</v>
      </c>
      <c r="K360" s="16" t="str">
        <f t="shared" si="3"/>
        <v>1-12</v>
      </c>
      <c r="L360" s="16" t="str">
        <f t="shared" si="4"/>
        <v>1-12</v>
      </c>
      <c r="M360" s="16" t="str">
        <f t="shared" si="5"/>
        <v>1-12</v>
      </c>
      <c r="N360" s="16" t="str">
        <f t="shared" si="6"/>
        <v>0</v>
      </c>
      <c r="O360" s="17"/>
      <c r="P360" s="17"/>
      <c r="Q360" s="17"/>
      <c r="R360" s="17"/>
      <c r="S360" s="17"/>
      <c r="T360" s="17"/>
      <c r="U360" s="17"/>
      <c r="V360" s="17"/>
      <c r="W360" s="17"/>
    </row>
    <row r="361" ht="15.75" customHeight="1">
      <c r="A361" s="9" t="s">
        <v>751</v>
      </c>
      <c r="B361" s="10" t="s">
        <v>75</v>
      </c>
      <c r="C361" s="11" t="s">
        <v>752</v>
      </c>
      <c r="D361" s="12" t="s">
        <v>753</v>
      </c>
      <c r="E361" s="13" t="str">
        <f t="array" ref="E361">INDEX(Turmas!C2:C103,MATCH(D361,Turmas!A2:A103,0))</f>
        <v>Noite</v>
      </c>
      <c r="F361" s="14">
        <v>60.0</v>
      </c>
      <c r="G361" s="15">
        <v>3.0</v>
      </c>
      <c r="H361" s="15">
        <v>0.0</v>
      </c>
      <c r="I361" s="16" t="str">
        <f t="shared" si="1"/>
        <v>1-12</v>
      </c>
      <c r="J361" s="16" t="str">
        <f t="shared" si="2"/>
        <v>1-12</v>
      </c>
      <c r="K361" s="16" t="str">
        <f t="shared" si="3"/>
        <v>1-12</v>
      </c>
      <c r="L361" s="16" t="str">
        <f t="shared" si="4"/>
        <v>1-12</v>
      </c>
      <c r="M361" s="16" t="str">
        <f t="shared" si="5"/>
        <v>1-12</v>
      </c>
      <c r="N361" s="16" t="str">
        <f t="shared" si="6"/>
        <v>0</v>
      </c>
      <c r="O361" s="17"/>
      <c r="P361" s="17"/>
      <c r="Q361" s="17"/>
      <c r="R361" s="17"/>
      <c r="S361" s="17"/>
      <c r="T361" s="17"/>
      <c r="U361" s="17"/>
      <c r="V361" s="17"/>
      <c r="W361" s="17"/>
    </row>
    <row r="362" ht="15.75" customHeight="1">
      <c r="A362" s="9" t="s">
        <v>754</v>
      </c>
      <c r="B362" s="19" t="s">
        <v>755</v>
      </c>
      <c r="C362" s="11" t="s">
        <v>744</v>
      </c>
      <c r="D362" s="22" t="s">
        <v>753</v>
      </c>
      <c r="E362" s="13" t="str">
        <f t="array" ref="E362">INDEX(Turmas!C2:C103,MATCH(D362,Turmas!A2:A103,0))</f>
        <v>Noite</v>
      </c>
      <c r="F362" s="14">
        <v>60.0</v>
      </c>
      <c r="G362" s="15">
        <v>4.0</v>
      </c>
      <c r="H362" s="15">
        <v>0.0</v>
      </c>
      <c r="I362" s="16" t="str">
        <f t="shared" si="1"/>
        <v>1-12</v>
      </c>
      <c r="J362" s="16" t="str">
        <f t="shared" si="2"/>
        <v>1-12</v>
      </c>
      <c r="K362" s="16" t="str">
        <f t="shared" si="3"/>
        <v>1-12</v>
      </c>
      <c r="L362" s="16" t="str">
        <f t="shared" si="4"/>
        <v>1-12</v>
      </c>
      <c r="M362" s="16" t="str">
        <f t="shared" si="5"/>
        <v>1-12</v>
      </c>
      <c r="N362" s="16" t="str">
        <f t="shared" si="6"/>
        <v>0</v>
      </c>
      <c r="O362" s="17"/>
      <c r="P362" s="17"/>
      <c r="Q362" s="17"/>
      <c r="R362" s="17"/>
      <c r="S362" s="17"/>
      <c r="T362" s="17"/>
      <c r="U362" s="17"/>
      <c r="V362" s="17"/>
      <c r="W362" s="17"/>
    </row>
    <row r="363" ht="15.75" customHeight="1">
      <c r="A363" s="9" t="s">
        <v>756</v>
      </c>
      <c r="B363" s="19" t="s">
        <v>757</v>
      </c>
      <c r="C363" s="11" t="s">
        <v>750</v>
      </c>
      <c r="D363" s="22" t="s">
        <v>753</v>
      </c>
      <c r="E363" s="13" t="str">
        <f t="array" ref="E363">INDEX(Turmas!C2:C103,MATCH(D363,Turmas!A2:A103,0))</f>
        <v>Noite</v>
      </c>
      <c r="F363" s="14">
        <v>60.0</v>
      </c>
      <c r="G363" s="15">
        <v>5.0</v>
      </c>
      <c r="H363" s="15">
        <v>0.0</v>
      </c>
      <c r="I363" s="16" t="str">
        <f t="shared" si="1"/>
        <v>1-12</v>
      </c>
      <c r="J363" s="16" t="str">
        <f t="shared" si="2"/>
        <v>1-12</v>
      </c>
      <c r="K363" s="16" t="str">
        <f t="shared" si="3"/>
        <v>1-12</v>
      </c>
      <c r="L363" s="16" t="str">
        <f t="shared" si="4"/>
        <v>1-12</v>
      </c>
      <c r="M363" s="16" t="str">
        <f t="shared" si="5"/>
        <v>1-12</v>
      </c>
      <c r="N363" s="16" t="str">
        <f t="shared" si="6"/>
        <v>0</v>
      </c>
      <c r="O363" s="17"/>
      <c r="P363" s="17"/>
      <c r="Q363" s="17"/>
      <c r="R363" s="17"/>
      <c r="S363" s="17"/>
      <c r="T363" s="17"/>
      <c r="U363" s="17"/>
      <c r="V363" s="17"/>
      <c r="W363" s="17"/>
    </row>
    <row r="364" ht="15.75" customHeight="1">
      <c r="A364" s="9" t="s">
        <v>758</v>
      </c>
      <c r="B364" s="10" t="s">
        <v>759</v>
      </c>
      <c r="C364" s="11" t="s">
        <v>750</v>
      </c>
      <c r="D364" s="22" t="s">
        <v>753</v>
      </c>
      <c r="E364" s="13" t="str">
        <f t="array" ref="E364">INDEX(Turmas!C2:C103,MATCH(D364,Turmas!A2:A103,0))</f>
        <v>Noite</v>
      </c>
      <c r="F364" s="14">
        <v>60.0</v>
      </c>
      <c r="G364" s="15">
        <v>4.0</v>
      </c>
      <c r="H364" s="15">
        <v>0.0</v>
      </c>
      <c r="I364" s="16" t="str">
        <f t="shared" si="1"/>
        <v>1-12</v>
      </c>
      <c r="J364" s="16" t="str">
        <f t="shared" si="2"/>
        <v>1-12</v>
      </c>
      <c r="K364" s="16" t="str">
        <f t="shared" si="3"/>
        <v>1-12</v>
      </c>
      <c r="L364" s="16" t="str">
        <f t="shared" si="4"/>
        <v>1-12</v>
      </c>
      <c r="M364" s="16" t="str">
        <f t="shared" si="5"/>
        <v>1-12</v>
      </c>
      <c r="N364" s="16" t="str">
        <f t="shared" si="6"/>
        <v>0</v>
      </c>
      <c r="O364" s="17"/>
      <c r="P364" s="17"/>
      <c r="Q364" s="17"/>
      <c r="R364" s="17"/>
      <c r="S364" s="17"/>
      <c r="T364" s="17"/>
      <c r="U364" s="17"/>
      <c r="V364" s="17"/>
      <c r="W364" s="17"/>
    </row>
    <row r="365" ht="15.75" customHeight="1">
      <c r="A365" s="9" t="s">
        <v>760</v>
      </c>
      <c r="B365" s="10" t="s">
        <v>761</v>
      </c>
      <c r="C365" s="11" t="s">
        <v>762</v>
      </c>
      <c r="D365" s="22" t="s">
        <v>753</v>
      </c>
      <c r="E365" s="13" t="str">
        <f t="array" ref="E365">INDEX(Turmas!C2:C103,MATCH(D365,Turmas!A2:A103,0))</f>
        <v>Noite</v>
      </c>
      <c r="F365" s="14">
        <v>60.0</v>
      </c>
      <c r="G365" s="15">
        <v>4.0</v>
      </c>
      <c r="H365" s="15">
        <v>0.0</v>
      </c>
      <c r="I365" s="16" t="str">
        <f t="shared" si="1"/>
        <v>1-12</v>
      </c>
      <c r="J365" s="16" t="str">
        <f t="shared" si="2"/>
        <v>1-12</v>
      </c>
      <c r="K365" s="16" t="str">
        <f t="shared" si="3"/>
        <v>1-12</v>
      </c>
      <c r="L365" s="16" t="str">
        <f t="shared" si="4"/>
        <v>1-12</v>
      </c>
      <c r="M365" s="16" t="str">
        <f t="shared" si="5"/>
        <v>1-12</v>
      </c>
      <c r="N365" s="16" t="str">
        <f t="shared" si="6"/>
        <v>0</v>
      </c>
      <c r="O365" s="17"/>
      <c r="P365" s="17"/>
      <c r="Q365" s="17"/>
      <c r="R365" s="17"/>
      <c r="S365" s="17"/>
      <c r="T365" s="17"/>
      <c r="U365" s="17"/>
      <c r="V365" s="17"/>
      <c r="W365" s="17"/>
    </row>
    <row r="366" ht="15.75" customHeight="1">
      <c r="A366" s="9" t="s">
        <v>763</v>
      </c>
      <c r="B366" s="10" t="s">
        <v>764</v>
      </c>
      <c r="C366" s="11" t="s">
        <v>61</v>
      </c>
      <c r="D366" s="22" t="s">
        <v>765</v>
      </c>
      <c r="E366" s="13" t="str">
        <f t="array" ref="E366">INDEX(Turmas!C2:C103,MATCH(D366,Turmas!A2:A103,0))</f>
        <v>Noite</v>
      </c>
      <c r="F366" s="14">
        <v>60.0</v>
      </c>
      <c r="G366" s="15">
        <v>2.0</v>
      </c>
      <c r="H366" s="15">
        <v>0.0</v>
      </c>
      <c r="I366" s="16" t="str">
        <f t="shared" si="1"/>
        <v>1-12</v>
      </c>
      <c r="J366" s="16" t="str">
        <f t="shared" si="2"/>
        <v>1-12</v>
      </c>
      <c r="K366" s="16" t="str">
        <f t="shared" si="3"/>
        <v>1-12</v>
      </c>
      <c r="L366" s="16" t="str">
        <f t="shared" si="4"/>
        <v>1-12</v>
      </c>
      <c r="M366" s="16" t="str">
        <f t="shared" si="5"/>
        <v>1-12</v>
      </c>
      <c r="N366" s="16" t="str">
        <f t="shared" si="6"/>
        <v>0</v>
      </c>
      <c r="O366" s="17"/>
      <c r="P366" s="17"/>
      <c r="Q366" s="17"/>
      <c r="R366" s="17"/>
      <c r="S366" s="17"/>
      <c r="T366" s="17"/>
      <c r="U366" s="17"/>
      <c r="V366" s="17"/>
      <c r="W366" s="17"/>
    </row>
    <row r="367" ht="15.75" customHeight="1">
      <c r="A367" s="9" t="s">
        <v>766</v>
      </c>
      <c r="B367" s="10" t="s">
        <v>767</v>
      </c>
      <c r="C367" s="11" t="s">
        <v>744</v>
      </c>
      <c r="D367" s="22" t="s">
        <v>765</v>
      </c>
      <c r="E367" s="13" t="str">
        <f t="array" ref="E367">INDEX(Turmas!C2:C103,MATCH(D367,Turmas!A2:A103,0))</f>
        <v>Noite</v>
      </c>
      <c r="F367" s="14">
        <v>60.0</v>
      </c>
      <c r="G367" s="15">
        <v>5.0</v>
      </c>
      <c r="H367" s="15">
        <v>0.0</v>
      </c>
      <c r="I367" s="16" t="str">
        <f t="shared" si="1"/>
        <v>1-12</v>
      </c>
      <c r="J367" s="16" t="str">
        <f t="shared" si="2"/>
        <v>1-12</v>
      </c>
      <c r="K367" s="16" t="str">
        <f t="shared" si="3"/>
        <v>1-12</v>
      </c>
      <c r="L367" s="16" t="str">
        <f t="shared" si="4"/>
        <v>1-12</v>
      </c>
      <c r="M367" s="16" t="str">
        <f t="shared" si="5"/>
        <v>1-12</v>
      </c>
      <c r="N367" s="16" t="str">
        <f t="shared" si="6"/>
        <v>0</v>
      </c>
      <c r="O367" s="17"/>
      <c r="P367" s="17"/>
      <c r="Q367" s="17"/>
      <c r="R367" s="17"/>
      <c r="S367" s="17"/>
      <c r="T367" s="17"/>
      <c r="U367" s="17"/>
      <c r="V367" s="17"/>
      <c r="W367" s="17"/>
    </row>
    <row r="368" ht="15.75" customHeight="1">
      <c r="A368" s="9" t="s">
        <v>768</v>
      </c>
      <c r="B368" s="19" t="s">
        <v>769</v>
      </c>
      <c r="C368" s="11" t="s">
        <v>762</v>
      </c>
      <c r="D368" s="12" t="s">
        <v>765</v>
      </c>
      <c r="E368" s="13" t="str">
        <f t="array" ref="E368">INDEX(Turmas!C2:C103,MATCH(D368,Turmas!A2:A103,0))</f>
        <v>Noite</v>
      </c>
      <c r="F368" s="20">
        <v>60.0</v>
      </c>
      <c r="G368" s="15">
        <v>4.0</v>
      </c>
      <c r="H368" s="15">
        <v>0.0</v>
      </c>
      <c r="I368" s="16" t="str">
        <f t="shared" si="1"/>
        <v>1-12</v>
      </c>
      <c r="J368" s="16" t="str">
        <f t="shared" si="2"/>
        <v>1-12</v>
      </c>
      <c r="K368" s="16" t="str">
        <f t="shared" si="3"/>
        <v>1-12</v>
      </c>
      <c r="L368" s="16" t="str">
        <f t="shared" si="4"/>
        <v>1-12</v>
      </c>
      <c r="M368" s="16" t="str">
        <f t="shared" si="5"/>
        <v>1-12</v>
      </c>
      <c r="N368" s="16" t="str">
        <f t="shared" si="6"/>
        <v>0</v>
      </c>
      <c r="O368" s="21"/>
      <c r="P368" s="21"/>
      <c r="Q368" s="21"/>
      <c r="R368" s="21"/>
      <c r="S368" s="21"/>
      <c r="T368" s="21"/>
      <c r="U368" s="21"/>
      <c r="V368" s="21"/>
      <c r="W368" s="21"/>
    </row>
    <row r="369" ht="15.75" customHeight="1">
      <c r="A369" s="9" t="s">
        <v>770</v>
      </c>
      <c r="B369" s="10" t="s">
        <v>771</v>
      </c>
      <c r="C369" s="11" t="s">
        <v>744</v>
      </c>
      <c r="D369" s="22" t="s">
        <v>765</v>
      </c>
      <c r="E369" s="13" t="str">
        <f t="array" ref="E369">INDEX(Turmas!C2:C103,MATCH(D369,Turmas!A2:A103,0))</f>
        <v>Noite</v>
      </c>
      <c r="F369" s="14">
        <v>60.0</v>
      </c>
      <c r="G369" s="15">
        <v>4.0</v>
      </c>
      <c r="H369" s="15">
        <v>0.0</v>
      </c>
      <c r="I369" s="16" t="str">
        <f t="shared" si="1"/>
        <v>1-12</v>
      </c>
      <c r="J369" s="16" t="str">
        <f t="shared" si="2"/>
        <v>1-12</v>
      </c>
      <c r="K369" s="16" t="str">
        <f t="shared" si="3"/>
        <v>1-12</v>
      </c>
      <c r="L369" s="16" t="str">
        <f t="shared" si="4"/>
        <v>1-12</v>
      </c>
      <c r="M369" s="16" t="str">
        <f t="shared" si="5"/>
        <v>1-12</v>
      </c>
      <c r="N369" s="16" t="str">
        <f t="shared" si="6"/>
        <v>0</v>
      </c>
      <c r="O369" s="17"/>
      <c r="P369" s="17"/>
      <c r="Q369" s="17"/>
      <c r="R369" s="17"/>
      <c r="S369" s="17"/>
      <c r="T369" s="17"/>
      <c r="U369" s="17"/>
      <c r="V369" s="17"/>
      <c r="W369" s="17"/>
    </row>
    <row r="370" ht="15.75" customHeight="1">
      <c r="A370" s="9" t="s">
        <v>772</v>
      </c>
      <c r="B370" s="10" t="s">
        <v>773</v>
      </c>
      <c r="C370" s="11" t="s">
        <v>774</v>
      </c>
      <c r="D370" s="22" t="s">
        <v>765</v>
      </c>
      <c r="E370" s="13" t="str">
        <f t="array" ref="E370">INDEX(Turmas!C2:C103,MATCH(D370,Turmas!A2:A103,0))</f>
        <v>Noite</v>
      </c>
      <c r="F370" s="14">
        <v>60.0</v>
      </c>
      <c r="G370" s="15">
        <v>4.0</v>
      </c>
      <c r="H370" s="15">
        <v>0.0</v>
      </c>
      <c r="I370" s="16" t="str">
        <f t="shared" si="1"/>
        <v>1-12</v>
      </c>
      <c r="J370" s="16" t="str">
        <f t="shared" si="2"/>
        <v>1-12</v>
      </c>
      <c r="K370" s="16" t="str">
        <f t="shared" si="3"/>
        <v>1-12</v>
      </c>
      <c r="L370" s="16" t="str">
        <f t="shared" si="4"/>
        <v>1-12</v>
      </c>
      <c r="M370" s="16" t="str">
        <f t="shared" si="5"/>
        <v>1-12</v>
      </c>
      <c r="N370" s="16" t="str">
        <f t="shared" si="6"/>
        <v>0</v>
      </c>
      <c r="O370" s="17"/>
      <c r="P370" s="17"/>
      <c r="Q370" s="17"/>
      <c r="R370" s="17"/>
      <c r="S370" s="17"/>
      <c r="T370" s="17"/>
      <c r="U370" s="17"/>
      <c r="V370" s="17"/>
      <c r="W370" s="17"/>
    </row>
    <row r="371" ht="15.75" customHeight="1">
      <c r="A371" s="9" t="s">
        <v>416</v>
      </c>
      <c r="B371" s="10" t="s">
        <v>417</v>
      </c>
      <c r="C371" s="11" t="s">
        <v>418</v>
      </c>
      <c r="D371" s="22" t="s">
        <v>775</v>
      </c>
      <c r="E371" s="13" t="str">
        <f t="array" ref="E371">INDEX(Turmas!C2:C103,MATCH(D371,Turmas!A2:A103,0))</f>
        <v>Manhã</v>
      </c>
      <c r="F371" s="14">
        <v>50.0</v>
      </c>
      <c r="G371" s="15">
        <v>5.0</v>
      </c>
      <c r="H371" s="15">
        <v>0.0</v>
      </c>
      <c r="I371" s="16" t="str">
        <f t="shared" si="1"/>
        <v>7-16</v>
      </c>
      <c r="J371" s="16" t="str">
        <f t="shared" si="2"/>
        <v>7-16</v>
      </c>
      <c r="K371" s="16" t="str">
        <f t="shared" si="3"/>
        <v>7-16</v>
      </c>
      <c r="L371" s="16" t="str">
        <f t="shared" si="4"/>
        <v>7-16</v>
      </c>
      <c r="M371" s="16" t="str">
        <f t="shared" si="5"/>
        <v>7-16</v>
      </c>
      <c r="N371" s="16" t="str">
        <f t="shared" si="6"/>
        <v>1-16</v>
      </c>
      <c r="O371" s="17"/>
      <c r="P371" s="17"/>
      <c r="Q371" s="17"/>
      <c r="R371" s="17"/>
      <c r="S371" s="17"/>
      <c r="T371" s="17"/>
      <c r="U371" s="17"/>
      <c r="V371" s="17"/>
      <c r="W371" s="17"/>
    </row>
    <row r="372" ht="15.75" customHeight="1">
      <c r="A372" s="9" t="s">
        <v>420</v>
      </c>
      <c r="B372" s="10" t="s">
        <v>421</v>
      </c>
      <c r="C372" s="11" t="s">
        <v>219</v>
      </c>
      <c r="D372" s="22" t="s">
        <v>775</v>
      </c>
      <c r="E372" s="13" t="str">
        <f t="array" ref="E372">INDEX(Turmas!C2:C103,MATCH(D372,Turmas!A2:A103,0))</f>
        <v>Manhã</v>
      </c>
      <c r="F372" s="14">
        <v>50.0</v>
      </c>
      <c r="G372" s="15">
        <v>6.0</v>
      </c>
      <c r="H372" s="15">
        <v>0.0</v>
      </c>
      <c r="I372" s="16" t="str">
        <f t="shared" si="1"/>
        <v>7-16</v>
      </c>
      <c r="J372" s="16" t="str">
        <f t="shared" si="2"/>
        <v>7-16</v>
      </c>
      <c r="K372" s="16" t="str">
        <f t="shared" si="3"/>
        <v>7-16</v>
      </c>
      <c r="L372" s="16" t="str">
        <f t="shared" si="4"/>
        <v>7-16</v>
      </c>
      <c r="M372" s="16" t="str">
        <f t="shared" si="5"/>
        <v>7-16</v>
      </c>
      <c r="N372" s="16" t="str">
        <f t="shared" si="6"/>
        <v>1-16</v>
      </c>
      <c r="O372" s="17"/>
      <c r="P372" s="17"/>
      <c r="Q372" s="17"/>
      <c r="R372" s="17"/>
      <c r="S372" s="17"/>
      <c r="T372" s="17"/>
      <c r="U372" s="17"/>
      <c r="V372" s="17"/>
      <c r="W372" s="17"/>
    </row>
    <row r="373" ht="15.75" customHeight="1">
      <c r="A373" s="9" t="s">
        <v>646</v>
      </c>
      <c r="B373" s="10" t="s">
        <v>647</v>
      </c>
      <c r="C373" s="11" t="s">
        <v>776</v>
      </c>
      <c r="D373" s="22" t="s">
        <v>775</v>
      </c>
      <c r="E373" s="13" t="str">
        <f t="array" ref="E373">INDEX(Turmas!C2:C103,MATCH(D373,Turmas!A2:A103,0))</f>
        <v>Manhã</v>
      </c>
      <c r="F373" s="14">
        <v>50.0</v>
      </c>
      <c r="G373" s="15">
        <v>5.0</v>
      </c>
      <c r="H373" s="15">
        <v>0.0</v>
      </c>
      <c r="I373" s="16" t="str">
        <f t="shared" si="1"/>
        <v>7-16</v>
      </c>
      <c r="J373" s="16" t="str">
        <f t="shared" si="2"/>
        <v>7-16</v>
      </c>
      <c r="K373" s="16" t="str">
        <f t="shared" si="3"/>
        <v>7-16</v>
      </c>
      <c r="L373" s="16" t="str">
        <f t="shared" si="4"/>
        <v>7-16</v>
      </c>
      <c r="M373" s="16" t="str">
        <f t="shared" si="5"/>
        <v>7-16</v>
      </c>
      <c r="N373" s="16" t="str">
        <f t="shared" si="6"/>
        <v>1-16</v>
      </c>
      <c r="O373" s="17"/>
      <c r="P373" s="17"/>
      <c r="Q373" s="17"/>
      <c r="R373" s="17"/>
      <c r="S373" s="17"/>
      <c r="T373" s="17"/>
      <c r="U373" s="17"/>
      <c r="V373" s="17"/>
      <c r="W373" s="17"/>
    </row>
    <row r="374" ht="15.75" customHeight="1">
      <c r="A374" s="9" t="s">
        <v>777</v>
      </c>
      <c r="B374" s="10" t="s">
        <v>699</v>
      </c>
      <c r="C374" s="11" t="s">
        <v>522</v>
      </c>
      <c r="D374" s="22" t="s">
        <v>775</v>
      </c>
      <c r="E374" s="13" t="str">
        <f t="array" ref="E374">INDEX(Turmas!C2:C103,MATCH(D374,Turmas!A2:A103,0))</f>
        <v>Manhã</v>
      </c>
      <c r="F374" s="14">
        <v>31.0</v>
      </c>
      <c r="G374" s="15">
        <v>2.0</v>
      </c>
      <c r="H374" s="15">
        <v>0.0</v>
      </c>
      <c r="I374" s="16" t="str">
        <f t="shared" si="1"/>
        <v>7-16</v>
      </c>
      <c r="J374" s="16" t="str">
        <f t="shared" si="2"/>
        <v>7-16</v>
      </c>
      <c r="K374" s="16" t="str">
        <f t="shared" si="3"/>
        <v>7-16</v>
      </c>
      <c r="L374" s="16" t="str">
        <f t="shared" si="4"/>
        <v>7-16</v>
      </c>
      <c r="M374" s="16" t="str">
        <f t="shared" si="5"/>
        <v>7-16</v>
      </c>
      <c r="N374" s="16" t="str">
        <f t="shared" si="6"/>
        <v>1-16</v>
      </c>
      <c r="O374" s="17"/>
      <c r="P374" s="17"/>
      <c r="Q374" s="17"/>
      <c r="R374" s="17"/>
      <c r="S374" s="17"/>
      <c r="T374" s="17"/>
      <c r="U374" s="17"/>
      <c r="V374" s="17"/>
      <c r="W374" s="17"/>
    </row>
    <row r="375" ht="15.75" customHeight="1">
      <c r="A375" s="9" t="s">
        <v>778</v>
      </c>
      <c r="B375" s="10" t="s">
        <v>779</v>
      </c>
      <c r="C375" s="11" t="s">
        <v>51</v>
      </c>
      <c r="D375" s="22" t="s">
        <v>775</v>
      </c>
      <c r="E375" s="13" t="str">
        <f t="array" ref="E375">INDEX(Turmas!C2:C103,MATCH(D375,Turmas!A2:A103,0))</f>
        <v>Manhã</v>
      </c>
      <c r="F375" s="14">
        <v>50.0</v>
      </c>
      <c r="G375" s="15">
        <v>4.0</v>
      </c>
      <c r="H375" s="15">
        <v>0.0</v>
      </c>
      <c r="I375" s="16" t="str">
        <f t="shared" si="1"/>
        <v>7-16</v>
      </c>
      <c r="J375" s="16" t="str">
        <f t="shared" si="2"/>
        <v>7-16</v>
      </c>
      <c r="K375" s="16" t="str">
        <f t="shared" si="3"/>
        <v>7-16</v>
      </c>
      <c r="L375" s="16" t="str">
        <f t="shared" si="4"/>
        <v>7-16</v>
      </c>
      <c r="M375" s="16" t="str">
        <f t="shared" si="5"/>
        <v>7-16</v>
      </c>
      <c r="N375" s="16" t="str">
        <f t="shared" si="6"/>
        <v>1-16</v>
      </c>
      <c r="O375" s="17"/>
      <c r="P375" s="17"/>
      <c r="Q375" s="17"/>
      <c r="R375" s="17"/>
      <c r="S375" s="17"/>
      <c r="T375" s="17"/>
      <c r="U375" s="17"/>
      <c r="V375" s="17"/>
      <c r="W375" s="17"/>
    </row>
    <row r="376" ht="15.75" customHeight="1">
      <c r="A376" s="9" t="s">
        <v>780</v>
      </c>
      <c r="B376" s="10" t="s">
        <v>781</v>
      </c>
      <c r="C376" s="11" t="s">
        <v>782</v>
      </c>
      <c r="D376" s="22" t="s">
        <v>775</v>
      </c>
      <c r="E376" s="13" t="str">
        <f t="array" ref="E376">INDEX(Turmas!C2:C103,MATCH(D376,Turmas!A2:A103,0))</f>
        <v>Manhã</v>
      </c>
      <c r="F376" s="14">
        <v>50.0</v>
      </c>
      <c r="G376" s="15">
        <v>6.0</v>
      </c>
      <c r="H376" s="15">
        <v>0.0</v>
      </c>
      <c r="I376" s="16" t="str">
        <f t="shared" si="1"/>
        <v>7-16</v>
      </c>
      <c r="J376" s="16" t="str">
        <f t="shared" si="2"/>
        <v>7-16</v>
      </c>
      <c r="K376" s="16" t="str">
        <f t="shared" si="3"/>
        <v>7-16</v>
      </c>
      <c r="L376" s="16" t="str">
        <f t="shared" si="4"/>
        <v>7-16</v>
      </c>
      <c r="M376" s="16" t="str">
        <f t="shared" si="5"/>
        <v>7-16</v>
      </c>
      <c r="N376" s="16" t="str">
        <f t="shared" si="6"/>
        <v>1-16</v>
      </c>
      <c r="O376" s="17"/>
      <c r="P376" s="17"/>
      <c r="Q376" s="17"/>
      <c r="R376" s="17"/>
      <c r="S376" s="17"/>
      <c r="T376" s="17"/>
      <c r="U376" s="17"/>
      <c r="V376" s="17"/>
      <c r="W376" s="17"/>
    </row>
    <row r="377" ht="15.75" customHeight="1">
      <c r="A377" s="9" t="s">
        <v>428</v>
      </c>
      <c r="B377" s="19" t="s">
        <v>285</v>
      </c>
      <c r="C377" s="11" t="s">
        <v>286</v>
      </c>
      <c r="D377" s="12" t="s">
        <v>775</v>
      </c>
      <c r="E377" s="13" t="str">
        <f t="array" ref="E377">INDEX(Turmas!C2:C103,MATCH(D377,Turmas!A2:A103,0))</f>
        <v>Manhã</v>
      </c>
      <c r="F377" s="20">
        <v>50.0</v>
      </c>
      <c r="G377" s="15">
        <v>5.0</v>
      </c>
      <c r="H377" s="15">
        <v>0.0</v>
      </c>
      <c r="I377" s="16" t="str">
        <f t="shared" si="1"/>
        <v>7-16</v>
      </c>
      <c r="J377" s="16" t="str">
        <f t="shared" si="2"/>
        <v>7-16</v>
      </c>
      <c r="K377" s="16" t="str">
        <f t="shared" si="3"/>
        <v>7-16</v>
      </c>
      <c r="L377" s="16" t="str">
        <f t="shared" si="4"/>
        <v>7-16</v>
      </c>
      <c r="M377" s="16" t="str">
        <f t="shared" si="5"/>
        <v>7-16</v>
      </c>
      <c r="N377" s="16" t="str">
        <f t="shared" si="6"/>
        <v>1-16</v>
      </c>
      <c r="O377" s="21"/>
      <c r="P377" s="21"/>
      <c r="Q377" s="21"/>
      <c r="R377" s="21"/>
      <c r="S377" s="21"/>
      <c r="T377" s="21"/>
      <c r="U377" s="21"/>
      <c r="V377" s="21"/>
      <c r="W377" s="21"/>
    </row>
    <row r="378" ht="15.75" customHeight="1">
      <c r="A378" s="9" t="s">
        <v>783</v>
      </c>
      <c r="B378" s="10" t="s">
        <v>541</v>
      </c>
      <c r="C378" s="11" t="s">
        <v>542</v>
      </c>
      <c r="D378" s="22" t="s">
        <v>784</v>
      </c>
      <c r="E378" s="13" t="str">
        <f t="array" ref="E378">INDEX(Turmas!C2:C103,MATCH(D378,Turmas!A2:A103,0))</f>
        <v>Tarde</v>
      </c>
      <c r="F378" s="14">
        <v>50.0</v>
      </c>
      <c r="G378" s="15">
        <v>4.0</v>
      </c>
      <c r="H378" s="15">
        <v>0.0</v>
      </c>
      <c r="I378" s="16" t="str">
        <f t="shared" si="1"/>
        <v>1-6,13-16</v>
      </c>
      <c r="J378" s="16" t="str">
        <f t="shared" si="2"/>
        <v>1-6,13-16</v>
      </c>
      <c r="K378" s="16" t="str">
        <f t="shared" si="3"/>
        <v>1-6,13-16</v>
      </c>
      <c r="L378" s="16" t="str">
        <f t="shared" si="4"/>
        <v>1-6,13-16</v>
      </c>
      <c r="M378" s="16" t="str">
        <f t="shared" si="5"/>
        <v>1-6,13-16</v>
      </c>
      <c r="N378" s="16" t="str">
        <f t="shared" si="6"/>
        <v>1-16</v>
      </c>
      <c r="O378" s="17"/>
      <c r="P378" s="17"/>
      <c r="Q378" s="17"/>
      <c r="R378" s="17"/>
      <c r="S378" s="17"/>
      <c r="T378" s="17"/>
      <c r="U378" s="17"/>
      <c r="V378" s="17"/>
      <c r="W378" s="17"/>
    </row>
    <row r="379" ht="15.75" customHeight="1">
      <c r="A379" s="9" t="s">
        <v>785</v>
      </c>
      <c r="B379" s="10" t="s">
        <v>548</v>
      </c>
      <c r="C379" s="11" t="s">
        <v>106</v>
      </c>
      <c r="D379" s="22" t="s">
        <v>784</v>
      </c>
      <c r="E379" s="13" t="str">
        <f t="array" ref="E379">INDEX(Turmas!C2:C103,MATCH(D379,Turmas!A2:A103,0))</f>
        <v>Tarde</v>
      </c>
      <c r="F379" s="14">
        <v>53.0</v>
      </c>
      <c r="G379" s="15">
        <v>5.0</v>
      </c>
      <c r="H379" s="15">
        <v>0.0</v>
      </c>
      <c r="I379" s="16" t="str">
        <f t="shared" si="1"/>
        <v>1-6,13-16</v>
      </c>
      <c r="J379" s="16" t="str">
        <f t="shared" si="2"/>
        <v>1-6,13-16</v>
      </c>
      <c r="K379" s="16" t="str">
        <f t="shared" si="3"/>
        <v>1-6,13-16</v>
      </c>
      <c r="L379" s="16" t="str">
        <f t="shared" si="4"/>
        <v>1-6,13-16</v>
      </c>
      <c r="M379" s="16" t="str">
        <f t="shared" si="5"/>
        <v>1-6,13-16</v>
      </c>
      <c r="N379" s="16" t="str">
        <f t="shared" si="6"/>
        <v>1-16</v>
      </c>
      <c r="O379" s="17"/>
      <c r="P379" s="17"/>
      <c r="Q379" s="17"/>
      <c r="R379" s="17"/>
      <c r="S379" s="17"/>
      <c r="T379" s="17"/>
      <c r="U379" s="17"/>
      <c r="V379" s="17"/>
      <c r="W379" s="17"/>
    </row>
    <row r="380" ht="15.75" customHeight="1">
      <c r="A380" s="9" t="s">
        <v>786</v>
      </c>
      <c r="B380" s="10" t="s">
        <v>787</v>
      </c>
      <c r="C380" s="11" t="s">
        <v>788</v>
      </c>
      <c r="D380" s="22" t="s">
        <v>784</v>
      </c>
      <c r="E380" s="13" t="str">
        <f t="array" ref="E380">INDEX(Turmas!C2:C103,MATCH(D380,Turmas!A2:A103,0))</f>
        <v>Tarde</v>
      </c>
      <c r="F380" s="14">
        <v>50.0</v>
      </c>
      <c r="G380" s="15">
        <v>5.0</v>
      </c>
      <c r="H380" s="15">
        <v>0.0</v>
      </c>
      <c r="I380" s="16" t="str">
        <f t="shared" si="1"/>
        <v>1-6,13-16</v>
      </c>
      <c r="J380" s="16" t="str">
        <f t="shared" si="2"/>
        <v>1-6,13-16</v>
      </c>
      <c r="K380" s="16" t="str">
        <f t="shared" si="3"/>
        <v>1-6,13-16</v>
      </c>
      <c r="L380" s="16" t="str">
        <f t="shared" si="4"/>
        <v>1-6,13-16</v>
      </c>
      <c r="M380" s="16" t="str">
        <f t="shared" si="5"/>
        <v>1-6,13-16</v>
      </c>
      <c r="N380" s="16" t="str">
        <f t="shared" si="6"/>
        <v>1-16</v>
      </c>
      <c r="O380" s="17"/>
      <c r="P380" s="17"/>
      <c r="Q380" s="17"/>
      <c r="R380" s="17"/>
      <c r="S380" s="17"/>
      <c r="T380" s="17"/>
      <c r="U380" s="17"/>
      <c r="V380" s="17"/>
      <c r="W380" s="17"/>
    </row>
    <row r="381" ht="15.75" customHeight="1">
      <c r="A381" s="9" t="s">
        <v>789</v>
      </c>
      <c r="B381" s="10" t="s">
        <v>790</v>
      </c>
      <c r="C381" s="11" t="s">
        <v>791</v>
      </c>
      <c r="D381" s="22" t="s">
        <v>784</v>
      </c>
      <c r="E381" s="13" t="str">
        <f t="array" ref="E381">INDEX(Turmas!C2:C103,MATCH(D381,Turmas!A2:A103,0))</f>
        <v>Tarde</v>
      </c>
      <c r="F381" s="14">
        <v>50.0</v>
      </c>
      <c r="G381" s="15">
        <v>5.0</v>
      </c>
      <c r="H381" s="15">
        <v>0.0</v>
      </c>
      <c r="I381" s="16" t="str">
        <f t="shared" si="1"/>
        <v>1-6,13-16</v>
      </c>
      <c r="J381" s="16" t="str">
        <f t="shared" si="2"/>
        <v>1-6,13-16</v>
      </c>
      <c r="K381" s="16" t="str">
        <f t="shared" si="3"/>
        <v>1-6,13-16</v>
      </c>
      <c r="L381" s="16" t="str">
        <f t="shared" si="4"/>
        <v>1-6,13-16</v>
      </c>
      <c r="M381" s="16" t="str">
        <f t="shared" si="5"/>
        <v>1-6,13-16</v>
      </c>
      <c r="N381" s="16" t="str">
        <f t="shared" si="6"/>
        <v>1-16</v>
      </c>
      <c r="O381" s="17"/>
      <c r="P381" s="17"/>
      <c r="Q381" s="17"/>
      <c r="R381" s="17"/>
      <c r="S381" s="17"/>
      <c r="T381" s="17"/>
      <c r="U381" s="17"/>
      <c r="V381" s="17"/>
      <c r="W381" s="17"/>
    </row>
    <row r="382" ht="15.75" customHeight="1">
      <c r="A382" s="9" t="s">
        <v>792</v>
      </c>
      <c r="B382" s="10" t="s">
        <v>793</v>
      </c>
      <c r="C382" s="11" t="s">
        <v>616</v>
      </c>
      <c r="D382" s="22" t="s">
        <v>784</v>
      </c>
      <c r="E382" s="13" t="str">
        <f t="array" ref="E382">INDEX(Turmas!C2:C103,MATCH(D382,Turmas!A2:A103,0))</f>
        <v>Tarde</v>
      </c>
      <c r="F382" s="14">
        <v>50.0</v>
      </c>
      <c r="G382" s="15">
        <v>5.0</v>
      </c>
      <c r="H382" s="15">
        <v>0.0</v>
      </c>
      <c r="I382" s="16" t="str">
        <f t="shared" si="1"/>
        <v>1-6,13-16</v>
      </c>
      <c r="J382" s="16" t="str">
        <f t="shared" si="2"/>
        <v>1-6,13-16</v>
      </c>
      <c r="K382" s="16" t="str">
        <f t="shared" si="3"/>
        <v>1-6,13-16</v>
      </c>
      <c r="L382" s="16" t="str">
        <f t="shared" si="4"/>
        <v>1-6,13-16</v>
      </c>
      <c r="M382" s="16" t="str">
        <f t="shared" si="5"/>
        <v>1-6,13-16</v>
      </c>
      <c r="N382" s="16" t="str">
        <f t="shared" si="6"/>
        <v>1-16</v>
      </c>
      <c r="O382" s="17"/>
      <c r="P382" s="17"/>
      <c r="Q382" s="17"/>
      <c r="R382" s="17"/>
      <c r="S382" s="17"/>
      <c r="T382" s="17"/>
      <c r="U382" s="17"/>
      <c r="V382" s="17"/>
      <c r="W382" s="17"/>
    </row>
    <row r="383" ht="15.75" customHeight="1">
      <c r="A383" s="9" t="s">
        <v>681</v>
      </c>
      <c r="B383" s="10" t="s">
        <v>682</v>
      </c>
      <c r="C383" s="11" t="s">
        <v>246</v>
      </c>
      <c r="D383" s="22" t="s">
        <v>784</v>
      </c>
      <c r="E383" s="13" t="str">
        <f t="array" ref="E383">INDEX(Turmas!C2:C103,MATCH(D383,Turmas!A2:A103,0))</f>
        <v>Tarde</v>
      </c>
      <c r="F383" s="14">
        <v>50.0</v>
      </c>
      <c r="G383" s="15">
        <v>4.0</v>
      </c>
      <c r="H383" s="15">
        <v>0.0</v>
      </c>
      <c r="I383" s="16" t="str">
        <f t="shared" si="1"/>
        <v>1-6,13-16</v>
      </c>
      <c r="J383" s="16" t="str">
        <f t="shared" si="2"/>
        <v>1-6,13-16</v>
      </c>
      <c r="K383" s="16" t="str">
        <f t="shared" si="3"/>
        <v>1-6,13-16</v>
      </c>
      <c r="L383" s="16" t="str">
        <f t="shared" si="4"/>
        <v>1-6,13-16</v>
      </c>
      <c r="M383" s="16" t="str">
        <f t="shared" si="5"/>
        <v>1-6,13-16</v>
      </c>
      <c r="N383" s="16" t="str">
        <f t="shared" si="6"/>
        <v>1-16</v>
      </c>
      <c r="O383" s="17"/>
      <c r="P383" s="17"/>
      <c r="Q383" s="17"/>
      <c r="R383" s="17"/>
      <c r="S383" s="17"/>
      <c r="T383" s="17"/>
      <c r="U383" s="17"/>
      <c r="V383" s="17"/>
      <c r="W383" s="17"/>
    </row>
    <row r="384" ht="15.75" customHeight="1">
      <c r="A384" s="9" t="s">
        <v>794</v>
      </c>
      <c r="B384" s="10" t="s">
        <v>795</v>
      </c>
      <c r="C384" s="11" t="s">
        <v>447</v>
      </c>
      <c r="D384" s="22" t="s">
        <v>796</v>
      </c>
      <c r="E384" s="13" t="str">
        <f t="array" ref="E384">INDEX(Turmas!C2:C103,MATCH(D384,Turmas!A2:A103,0))</f>
        <v>Manhã</v>
      </c>
      <c r="F384" s="14">
        <v>50.0</v>
      </c>
      <c r="G384" s="15">
        <v>4.0</v>
      </c>
      <c r="H384" s="15">
        <v>0.0</v>
      </c>
      <c r="I384" s="16" t="str">
        <f t="shared" si="1"/>
        <v>7-16</v>
      </c>
      <c r="J384" s="16" t="str">
        <f t="shared" si="2"/>
        <v>7-16</v>
      </c>
      <c r="K384" s="16" t="str">
        <f t="shared" si="3"/>
        <v>7-16</v>
      </c>
      <c r="L384" s="16" t="str">
        <f t="shared" si="4"/>
        <v>7-16</v>
      </c>
      <c r="M384" s="16" t="str">
        <f t="shared" si="5"/>
        <v>7-16</v>
      </c>
      <c r="N384" s="16" t="str">
        <f t="shared" si="6"/>
        <v>1-16</v>
      </c>
      <c r="O384" s="17"/>
      <c r="P384" s="17"/>
      <c r="Q384" s="17"/>
      <c r="R384" s="17"/>
      <c r="S384" s="17"/>
      <c r="T384" s="17"/>
      <c r="U384" s="17"/>
      <c r="V384" s="17"/>
      <c r="W384" s="17"/>
    </row>
    <row r="385" ht="15.75" customHeight="1">
      <c r="A385" s="9" t="s">
        <v>797</v>
      </c>
      <c r="B385" s="10" t="s">
        <v>798</v>
      </c>
      <c r="C385" s="11" t="s">
        <v>559</v>
      </c>
      <c r="D385" s="22" t="s">
        <v>796</v>
      </c>
      <c r="E385" s="13" t="str">
        <f t="array" ref="E385">INDEX(Turmas!C2:C103,MATCH(D385,Turmas!A2:A103,0))</f>
        <v>Manhã</v>
      </c>
      <c r="F385" s="14">
        <v>57.0</v>
      </c>
      <c r="G385" s="15">
        <v>3.0</v>
      </c>
      <c r="H385" s="15">
        <v>0.0</v>
      </c>
      <c r="I385" s="16" t="str">
        <f t="shared" si="1"/>
        <v>7-16</v>
      </c>
      <c r="J385" s="16" t="str">
        <f t="shared" si="2"/>
        <v>7-16</v>
      </c>
      <c r="K385" s="16" t="str">
        <f t="shared" si="3"/>
        <v>7-16</v>
      </c>
      <c r="L385" s="16" t="str">
        <f t="shared" si="4"/>
        <v>7-16</v>
      </c>
      <c r="M385" s="16" t="str">
        <f t="shared" si="5"/>
        <v>7-16</v>
      </c>
      <c r="N385" s="16" t="str">
        <f t="shared" si="6"/>
        <v>1-16</v>
      </c>
      <c r="O385" s="17"/>
      <c r="P385" s="17"/>
      <c r="Q385" s="17"/>
      <c r="R385" s="17"/>
      <c r="S385" s="17"/>
      <c r="T385" s="17"/>
      <c r="U385" s="17"/>
      <c r="V385" s="17"/>
      <c r="W385" s="17"/>
    </row>
    <row r="386" ht="15.75" customHeight="1">
      <c r="A386" s="9" t="s">
        <v>698</v>
      </c>
      <c r="B386" s="10" t="s">
        <v>699</v>
      </c>
      <c r="C386" s="11" t="s">
        <v>522</v>
      </c>
      <c r="D386" s="22" t="s">
        <v>796</v>
      </c>
      <c r="E386" s="13" t="str">
        <f t="array" ref="E386">INDEX(Turmas!C2:C103,MATCH(D386,Turmas!A2:A103,0))</f>
        <v>Manhã</v>
      </c>
      <c r="F386" s="14">
        <v>30.0</v>
      </c>
      <c r="G386" s="15">
        <v>2.0</v>
      </c>
      <c r="H386" s="15">
        <v>0.0</v>
      </c>
      <c r="I386" s="16" t="str">
        <f t="shared" si="1"/>
        <v>7-16</v>
      </c>
      <c r="J386" s="16" t="str">
        <f t="shared" si="2"/>
        <v>7-16</v>
      </c>
      <c r="K386" s="16" t="str">
        <f t="shared" si="3"/>
        <v>7-16</v>
      </c>
      <c r="L386" s="16" t="str">
        <f t="shared" si="4"/>
        <v>7-16</v>
      </c>
      <c r="M386" s="16" t="str">
        <f t="shared" si="5"/>
        <v>7-16</v>
      </c>
      <c r="N386" s="16" t="str">
        <f t="shared" si="6"/>
        <v>1-16</v>
      </c>
      <c r="O386" s="17"/>
      <c r="P386" s="17"/>
      <c r="Q386" s="17"/>
      <c r="R386" s="17"/>
      <c r="S386" s="17"/>
      <c r="T386" s="17"/>
      <c r="U386" s="17"/>
      <c r="V386" s="17"/>
      <c r="W386" s="17"/>
    </row>
    <row r="387" ht="15.75" customHeight="1">
      <c r="A387" s="9" t="s">
        <v>701</v>
      </c>
      <c r="B387" s="10" t="s">
        <v>702</v>
      </c>
      <c r="C387" s="11" t="s">
        <v>703</v>
      </c>
      <c r="D387" s="22" t="s">
        <v>796</v>
      </c>
      <c r="E387" s="13" t="str">
        <f t="array" ref="E387">INDEX(Turmas!C2:C103,MATCH(D387,Turmas!A2:A103,0))</f>
        <v>Manhã</v>
      </c>
      <c r="F387" s="14">
        <v>50.0</v>
      </c>
      <c r="G387" s="15">
        <v>5.0</v>
      </c>
      <c r="H387" s="15">
        <v>0.0</v>
      </c>
      <c r="I387" s="16" t="str">
        <f t="shared" si="1"/>
        <v>7-16</v>
      </c>
      <c r="J387" s="16" t="str">
        <f t="shared" si="2"/>
        <v>7-16</v>
      </c>
      <c r="K387" s="16" t="str">
        <f t="shared" si="3"/>
        <v>7-16</v>
      </c>
      <c r="L387" s="16" t="str">
        <f t="shared" si="4"/>
        <v>7-16</v>
      </c>
      <c r="M387" s="16" t="str">
        <f t="shared" si="5"/>
        <v>7-16</v>
      </c>
      <c r="N387" s="16" t="str">
        <f t="shared" si="6"/>
        <v>1-16</v>
      </c>
      <c r="O387" s="17"/>
      <c r="P387" s="17"/>
      <c r="Q387" s="17"/>
      <c r="R387" s="17"/>
      <c r="S387" s="17"/>
      <c r="T387" s="17"/>
      <c r="U387" s="17"/>
      <c r="V387" s="17"/>
      <c r="W387" s="17"/>
    </row>
    <row r="388" ht="15.75" customHeight="1">
      <c r="A388" s="9" t="s">
        <v>799</v>
      </c>
      <c r="B388" s="10" t="s">
        <v>800</v>
      </c>
      <c r="C388" s="11" t="s">
        <v>788</v>
      </c>
      <c r="D388" s="22" t="s">
        <v>796</v>
      </c>
      <c r="E388" s="13" t="str">
        <f t="array" ref="E388">INDEX(Turmas!C2:C103,MATCH(D388,Turmas!A2:A103,0))</f>
        <v>Manhã</v>
      </c>
      <c r="F388" s="14">
        <v>50.0</v>
      </c>
      <c r="G388" s="15">
        <v>4.0</v>
      </c>
      <c r="H388" s="15">
        <v>0.0</v>
      </c>
      <c r="I388" s="16" t="str">
        <f t="shared" si="1"/>
        <v>7-16</v>
      </c>
      <c r="J388" s="16" t="str">
        <f t="shared" si="2"/>
        <v>7-16</v>
      </c>
      <c r="K388" s="16" t="str">
        <f t="shared" si="3"/>
        <v>7-16</v>
      </c>
      <c r="L388" s="16" t="str">
        <f t="shared" si="4"/>
        <v>7-16</v>
      </c>
      <c r="M388" s="16" t="str">
        <f t="shared" si="5"/>
        <v>7-16</v>
      </c>
      <c r="N388" s="16" t="str">
        <f t="shared" si="6"/>
        <v>1-16</v>
      </c>
      <c r="O388" s="17"/>
      <c r="P388" s="17"/>
      <c r="Q388" s="17"/>
      <c r="R388" s="17"/>
      <c r="S388" s="17"/>
      <c r="T388" s="17"/>
      <c r="U388" s="17"/>
      <c r="V388" s="17"/>
      <c r="W388" s="17"/>
    </row>
    <row r="389" ht="15.75" customHeight="1">
      <c r="A389" s="9" t="s">
        <v>457</v>
      </c>
      <c r="B389" s="10" t="s">
        <v>458</v>
      </c>
      <c r="C389" s="11" t="s">
        <v>237</v>
      </c>
      <c r="D389" s="22" t="s">
        <v>796</v>
      </c>
      <c r="E389" s="13" t="str">
        <f t="array" ref="E389">INDEX(Turmas!C2:C103,MATCH(D389,Turmas!A2:A103,0))</f>
        <v>Manhã</v>
      </c>
      <c r="F389" s="14">
        <v>50.0</v>
      </c>
      <c r="G389" s="15">
        <v>7.0</v>
      </c>
      <c r="H389" s="15">
        <v>0.0</v>
      </c>
      <c r="I389" s="16" t="str">
        <f t="shared" si="1"/>
        <v>7-16</v>
      </c>
      <c r="J389" s="16" t="str">
        <f t="shared" si="2"/>
        <v>7-16</v>
      </c>
      <c r="K389" s="16" t="str">
        <f t="shared" si="3"/>
        <v>7-16</v>
      </c>
      <c r="L389" s="16" t="str">
        <f t="shared" si="4"/>
        <v>7-16</v>
      </c>
      <c r="M389" s="16" t="str">
        <f t="shared" si="5"/>
        <v>7-16</v>
      </c>
      <c r="N389" s="16" t="str">
        <f t="shared" si="6"/>
        <v>1-16</v>
      </c>
      <c r="O389" s="17"/>
      <c r="P389" s="17"/>
      <c r="Q389" s="17"/>
      <c r="R389" s="17"/>
      <c r="S389" s="17"/>
      <c r="T389" s="17"/>
      <c r="U389" s="17"/>
      <c r="V389" s="17"/>
      <c r="W389" s="17"/>
    </row>
    <row r="390" ht="15.75" customHeight="1">
      <c r="A390" s="9" t="s">
        <v>716</v>
      </c>
      <c r="B390" s="10" t="s">
        <v>717</v>
      </c>
      <c r="C390" s="11" t="s">
        <v>718</v>
      </c>
      <c r="D390" s="22" t="s">
        <v>801</v>
      </c>
      <c r="E390" s="13" t="str">
        <f t="array" ref="E390">INDEX(Turmas!C2:C103,MATCH(D390,Turmas!A2:A103,0))</f>
        <v>Tarde</v>
      </c>
      <c r="F390" s="14">
        <v>50.0</v>
      </c>
      <c r="G390" s="15">
        <v>3.0</v>
      </c>
      <c r="H390" s="15">
        <v>0.0</v>
      </c>
      <c r="I390" s="16" t="str">
        <f t="shared" si="1"/>
        <v>1-6,13-16</v>
      </c>
      <c r="J390" s="16" t="str">
        <f t="shared" si="2"/>
        <v>1-6,13-16</v>
      </c>
      <c r="K390" s="16" t="str">
        <f t="shared" si="3"/>
        <v>1-6,13-16</v>
      </c>
      <c r="L390" s="16" t="str">
        <f t="shared" si="4"/>
        <v>1-6,13-16</v>
      </c>
      <c r="M390" s="16" t="str">
        <f t="shared" si="5"/>
        <v>1-6,13-16</v>
      </c>
      <c r="N390" s="16" t="str">
        <f t="shared" si="6"/>
        <v>1-16</v>
      </c>
      <c r="O390" s="17"/>
      <c r="P390" s="17"/>
      <c r="Q390" s="17"/>
      <c r="R390" s="17"/>
      <c r="S390" s="17"/>
      <c r="T390" s="17"/>
      <c r="U390" s="17"/>
      <c r="V390" s="17"/>
      <c r="W390" s="17"/>
    </row>
    <row r="391" ht="15.75" customHeight="1">
      <c r="A391" s="9" t="s">
        <v>802</v>
      </c>
      <c r="B391" s="10" t="s">
        <v>713</v>
      </c>
      <c r="C391" s="11" t="s">
        <v>714</v>
      </c>
      <c r="D391" s="22" t="s">
        <v>801</v>
      </c>
      <c r="E391" s="13" t="str">
        <f t="array" ref="E391">INDEX(Turmas!C2:C103,MATCH(D391,Turmas!A2:A103,0))</f>
        <v>Tarde</v>
      </c>
      <c r="F391" s="14">
        <v>31.0</v>
      </c>
      <c r="G391" s="15">
        <v>3.0</v>
      </c>
      <c r="H391" s="15">
        <v>0.0</v>
      </c>
      <c r="I391" s="16" t="str">
        <f t="shared" si="1"/>
        <v>1-6,13-16</v>
      </c>
      <c r="J391" s="16" t="str">
        <f t="shared" si="2"/>
        <v>1-6,13-16</v>
      </c>
      <c r="K391" s="16" t="str">
        <f t="shared" si="3"/>
        <v>1-6,13-16</v>
      </c>
      <c r="L391" s="16" t="str">
        <f t="shared" si="4"/>
        <v>1-6,13-16</v>
      </c>
      <c r="M391" s="16" t="str">
        <f t="shared" si="5"/>
        <v>1-6,13-16</v>
      </c>
      <c r="N391" s="16" t="str">
        <f t="shared" si="6"/>
        <v>1-16</v>
      </c>
      <c r="O391" s="17"/>
      <c r="P391" s="17"/>
      <c r="Q391" s="17"/>
      <c r="R391" s="17"/>
      <c r="S391" s="17"/>
      <c r="T391" s="17"/>
      <c r="U391" s="17"/>
      <c r="V391" s="17"/>
      <c r="W391" s="17"/>
    </row>
    <row r="392" ht="15.75" customHeight="1">
      <c r="A392" s="9" t="s">
        <v>803</v>
      </c>
      <c r="B392" s="10" t="s">
        <v>804</v>
      </c>
      <c r="C392" s="11" t="s">
        <v>791</v>
      </c>
      <c r="D392" s="22" t="s">
        <v>801</v>
      </c>
      <c r="E392" s="13" t="str">
        <f t="array" ref="E392">INDEX(Turmas!C2:C103,MATCH(D392,Turmas!A2:A103,0))</f>
        <v>Tarde</v>
      </c>
      <c r="F392" s="14">
        <v>50.0</v>
      </c>
      <c r="G392" s="15">
        <v>4.0</v>
      </c>
      <c r="H392" s="15">
        <v>0.0</v>
      </c>
      <c r="I392" s="16" t="str">
        <f t="shared" si="1"/>
        <v>1-6,13-16</v>
      </c>
      <c r="J392" s="16" t="str">
        <f t="shared" si="2"/>
        <v>1-6,13-16</v>
      </c>
      <c r="K392" s="16" t="str">
        <f t="shared" si="3"/>
        <v>1-6,13-16</v>
      </c>
      <c r="L392" s="16" t="str">
        <f t="shared" si="4"/>
        <v>1-6,13-16</v>
      </c>
      <c r="M392" s="16" t="str">
        <f t="shared" si="5"/>
        <v>1-6,13-16</v>
      </c>
      <c r="N392" s="16" t="str">
        <f t="shared" si="6"/>
        <v>1-16</v>
      </c>
      <c r="O392" s="17"/>
      <c r="P392" s="17"/>
      <c r="Q392" s="17"/>
      <c r="R392" s="17"/>
      <c r="S392" s="17"/>
      <c r="T392" s="17"/>
      <c r="U392" s="17"/>
      <c r="V392" s="17"/>
      <c r="W392" s="17"/>
    </row>
    <row r="393" ht="15.75" customHeight="1">
      <c r="A393" s="9" t="s">
        <v>805</v>
      </c>
      <c r="B393" s="10" t="s">
        <v>806</v>
      </c>
      <c r="C393" s="11" t="s">
        <v>691</v>
      </c>
      <c r="D393" s="22" t="s">
        <v>801</v>
      </c>
      <c r="E393" s="13" t="str">
        <f t="array" ref="E393">INDEX(Turmas!C2:C103,MATCH(D393,Turmas!A2:A103,0))</f>
        <v>Tarde</v>
      </c>
      <c r="F393" s="14">
        <v>50.0</v>
      </c>
      <c r="G393" s="15">
        <v>4.0</v>
      </c>
      <c r="H393" s="15">
        <v>0.0</v>
      </c>
      <c r="I393" s="16" t="str">
        <f t="shared" si="1"/>
        <v>1-6,13-16</v>
      </c>
      <c r="J393" s="16" t="str">
        <f t="shared" si="2"/>
        <v>1-6,13-16</v>
      </c>
      <c r="K393" s="16" t="str">
        <f t="shared" si="3"/>
        <v>1-6,13-16</v>
      </c>
      <c r="L393" s="16" t="str">
        <f t="shared" si="4"/>
        <v>1-6,13-16</v>
      </c>
      <c r="M393" s="16" t="str">
        <f t="shared" si="5"/>
        <v>1-6,13-16</v>
      </c>
      <c r="N393" s="16" t="str">
        <f t="shared" si="6"/>
        <v>1-16</v>
      </c>
      <c r="O393" s="17"/>
      <c r="P393" s="17"/>
      <c r="Q393" s="17"/>
      <c r="R393" s="17"/>
      <c r="S393" s="17"/>
      <c r="T393" s="17"/>
      <c r="U393" s="17"/>
      <c r="V393" s="17"/>
      <c r="W393" s="17"/>
    </row>
    <row r="394" ht="15.75" customHeight="1">
      <c r="A394" s="9" t="s">
        <v>807</v>
      </c>
      <c r="B394" s="10" t="s">
        <v>779</v>
      </c>
      <c r="C394" s="11" t="s">
        <v>51</v>
      </c>
      <c r="D394" s="22" t="s">
        <v>801</v>
      </c>
      <c r="E394" s="13" t="str">
        <f t="array" ref="E394">INDEX(Turmas!C2:C103,MATCH(D394,Turmas!A2:A103,0))</f>
        <v>Tarde</v>
      </c>
      <c r="F394" s="14">
        <v>50.0</v>
      </c>
      <c r="G394" s="15">
        <v>4.0</v>
      </c>
      <c r="H394" s="15">
        <v>0.0</v>
      </c>
      <c r="I394" s="16" t="str">
        <f t="shared" si="1"/>
        <v>1-6,13-16</v>
      </c>
      <c r="J394" s="16" t="str">
        <f t="shared" si="2"/>
        <v>1-6,13-16</v>
      </c>
      <c r="K394" s="16" t="str">
        <f t="shared" si="3"/>
        <v>1-6,13-16</v>
      </c>
      <c r="L394" s="16" t="str">
        <f t="shared" si="4"/>
        <v>1-6,13-16</v>
      </c>
      <c r="M394" s="16" t="str">
        <f t="shared" si="5"/>
        <v>1-6,13-16</v>
      </c>
      <c r="N394" s="16" t="str">
        <f t="shared" si="6"/>
        <v>1-16</v>
      </c>
      <c r="O394" s="17"/>
      <c r="P394" s="17"/>
      <c r="Q394" s="17"/>
      <c r="R394" s="17"/>
      <c r="S394" s="17"/>
      <c r="T394" s="17"/>
      <c r="U394" s="17"/>
      <c r="V394" s="17"/>
      <c r="W394" s="17"/>
    </row>
    <row r="395" ht="15.75" customHeight="1">
      <c r="A395" s="9" t="s">
        <v>565</v>
      </c>
      <c r="B395" s="10" t="s">
        <v>566</v>
      </c>
      <c r="C395" s="11" t="s">
        <v>522</v>
      </c>
      <c r="D395" s="22" t="s">
        <v>801</v>
      </c>
      <c r="E395" s="13" t="str">
        <f t="array" ref="E395">INDEX(Turmas!C2:C103,MATCH(D395,Turmas!A2:A103,0))</f>
        <v>Tarde</v>
      </c>
      <c r="F395" s="14">
        <v>50.0</v>
      </c>
      <c r="G395" s="15">
        <v>4.0</v>
      </c>
      <c r="H395" s="15">
        <v>0.0</v>
      </c>
      <c r="I395" s="16" t="str">
        <f t="shared" si="1"/>
        <v>1-6,13-16</v>
      </c>
      <c r="J395" s="16" t="str">
        <f t="shared" si="2"/>
        <v>1-6,13-16</v>
      </c>
      <c r="K395" s="16" t="str">
        <f t="shared" si="3"/>
        <v>1-6,13-16</v>
      </c>
      <c r="L395" s="16" t="str">
        <f t="shared" si="4"/>
        <v>1-6,13-16</v>
      </c>
      <c r="M395" s="16" t="str">
        <f t="shared" si="5"/>
        <v>1-6,13-16</v>
      </c>
      <c r="N395" s="16" t="str">
        <f t="shared" si="6"/>
        <v>1-16</v>
      </c>
      <c r="O395" s="17"/>
      <c r="P395" s="17"/>
      <c r="Q395" s="17"/>
      <c r="R395" s="17"/>
      <c r="S395" s="17"/>
      <c r="T395" s="17"/>
      <c r="U395" s="17"/>
      <c r="V395" s="17"/>
      <c r="W395" s="17"/>
    </row>
    <row r="396" ht="15.75" customHeight="1">
      <c r="A396" s="9" t="s">
        <v>808</v>
      </c>
      <c r="B396" s="10" t="s">
        <v>809</v>
      </c>
      <c r="C396" s="11" t="s">
        <v>59</v>
      </c>
      <c r="D396" s="22" t="s">
        <v>801</v>
      </c>
      <c r="E396" s="13" t="str">
        <f t="array" ref="E396">INDEX(Turmas!C2:C103,MATCH(D396,Turmas!A2:A103,0))</f>
        <v>Tarde</v>
      </c>
      <c r="F396" s="14">
        <v>50.0</v>
      </c>
      <c r="G396" s="15">
        <v>4.0</v>
      </c>
      <c r="H396" s="15">
        <v>0.0</v>
      </c>
      <c r="I396" s="16" t="str">
        <f t="shared" si="1"/>
        <v>1-6,13-16</v>
      </c>
      <c r="J396" s="16" t="str">
        <f t="shared" si="2"/>
        <v>1-6,13-16</v>
      </c>
      <c r="K396" s="16" t="str">
        <f t="shared" si="3"/>
        <v>1-6,13-16</v>
      </c>
      <c r="L396" s="16" t="str">
        <f t="shared" si="4"/>
        <v>1-6,13-16</v>
      </c>
      <c r="M396" s="16" t="str">
        <f t="shared" si="5"/>
        <v>1-6,13-16</v>
      </c>
      <c r="N396" s="16" t="str">
        <f t="shared" si="6"/>
        <v>1-16</v>
      </c>
      <c r="O396" s="17"/>
      <c r="P396" s="17"/>
      <c r="Q396" s="17"/>
      <c r="R396" s="17"/>
      <c r="S396" s="17"/>
      <c r="T396" s="17"/>
      <c r="U396" s="17"/>
      <c r="V396" s="17"/>
      <c r="W396" s="17"/>
    </row>
    <row r="397" ht="15.75" customHeight="1">
      <c r="A397" s="9" t="s">
        <v>613</v>
      </c>
      <c r="B397" s="10" t="s">
        <v>614</v>
      </c>
      <c r="C397" s="11" t="s">
        <v>53</v>
      </c>
      <c r="D397" s="22" t="s">
        <v>810</v>
      </c>
      <c r="E397" s="13" t="str">
        <f t="array" ref="E397">INDEX(Turmas!C2:C103,MATCH(D397,Turmas!A2:A103,0))</f>
        <v>Integral</v>
      </c>
      <c r="F397" s="14">
        <v>50.0</v>
      </c>
      <c r="G397" s="15">
        <v>6.0</v>
      </c>
      <c r="H397" s="15">
        <v>0.0</v>
      </c>
      <c r="I397" s="16" t="str">
        <f t="shared" si="1"/>
        <v>13-16</v>
      </c>
      <c r="J397" s="16" t="str">
        <f t="shared" si="2"/>
        <v>13-16</v>
      </c>
      <c r="K397" s="16" t="str">
        <f t="shared" si="3"/>
        <v>13-16</v>
      </c>
      <c r="L397" s="16" t="str">
        <f t="shared" si="4"/>
        <v>13-16</v>
      </c>
      <c r="M397" s="16" t="str">
        <f t="shared" si="5"/>
        <v>13-16</v>
      </c>
      <c r="N397" s="16" t="str">
        <f t="shared" si="6"/>
        <v>1-16</v>
      </c>
      <c r="O397" s="17"/>
      <c r="P397" s="17"/>
      <c r="Q397" s="17"/>
      <c r="R397" s="17"/>
      <c r="S397" s="17"/>
      <c r="T397" s="17"/>
      <c r="U397" s="17"/>
      <c r="V397" s="17"/>
      <c r="W397" s="17"/>
    </row>
    <row r="398" ht="15.75" customHeight="1">
      <c r="A398" s="9" t="s">
        <v>811</v>
      </c>
      <c r="B398" s="10" t="s">
        <v>812</v>
      </c>
      <c r="C398" s="11" t="s">
        <v>353</v>
      </c>
      <c r="D398" s="22" t="s">
        <v>810</v>
      </c>
      <c r="E398" s="13" t="str">
        <f t="array" ref="E398">INDEX(Turmas!C2:C103,MATCH(D398,Turmas!A2:A103,0))</f>
        <v>Integral</v>
      </c>
      <c r="F398" s="14">
        <v>50.0</v>
      </c>
      <c r="G398" s="15">
        <v>4.0</v>
      </c>
      <c r="H398" s="15">
        <v>0.0</v>
      </c>
      <c r="I398" s="16" t="str">
        <f t="shared" si="1"/>
        <v>13-16</v>
      </c>
      <c r="J398" s="16" t="str">
        <f t="shared" si="2"/>
        <v>13-16</v>
      </c>
      <c r="K398" s="16" t="str">
        <f t="shared" si="3"/>
        <v>13-16</v>
      </c>
      <c r="L398" s="16" t="str">
        <f t="shared" si="4"/>
        <v>13-16</v>
      </c>
      <c r="M398" s="16" t="str">
        <f t="shared" si="5"/>
        <v>13-16</v>
      </c>
      <c r="N398" s="16" t="str">
        <f t="shared" si="6"/>
        <v>1-16</v>
      </c>
      <c r="O398" s="17"/>
      <c r="P398" s="17"/>
      <c r="Q398" s="17"/>
      <c r="R398" s="17"/>
      <c r="S398" s="17"/>
      <c r="T398" s="17"/>
      <c r="U398" s="17"/>
      <c r="V398" s="17"/>
      <c r="W398" s="17"/>
    </row>
    <row r="399" ht="15.75" customHeight="1">
      <c r="A399" s="9" t="s">
        <v>813</v>
      </c>
      <c r="B399" s="10" t="s">
        <v>421</v>
      </c>
      <c r="C399" s="11" t="s">
        <v>441</v>
      </c>
      <c r="D399" s="22" t="s">
        <v>814</v>
      </c>
      <c r="E399" s="13" t="str">
        <f t="array" ref="E399">INDEX(Turmas!C2:C103,MATCH(D399,Turmas!A2:A103,0))</f>
        <v>Noite</v>
      </c>
      <c r="F399" s="14">
        <v>60.0</v>
      </c>
      <c r="G399" s="15">
        <v>4.0</v>
      </c>
      <c r="H399" s="15">
        <v>0.0</v>
      </c>
      <c r="I399" s="16" t="str">
        <f t="shared" si="1"/>
        <v>1-12</v>
      </c>
      <c r="J399" s="16" t="str">
        <f t="shared" si="2"/>
        <v>1-12</v>
      </c>
      <c r="K399" s="16" t="str">
        <f t="shared" si="3"/>
        <v>1-12</v>
      </c>
      <c r="L399" s="16" t="str">
        <f t="shared" si="4"/>
        <v>1-12</v>
      </c>
      <c r="M399" s="16" t="str">
        <f t="shared" si="5"/>
        <v>1-12</v>
      </c>
      <c r="N399" s="16" t="str">
        <f t="shared" si="6"/>
        <v>0</v>
      </c>
      <c r="O399" s="17"/>
      <c r="P399" s="17"/>
      <c r="Q399" s="17"/>
      <c r="R399" s="17"/>
      <c r="S399" s="17"/>
      <c r="T399" s="17"/>
      <c r="U399" s="17"/>
      <c r="V399" s="17"/>
      <c r="W399" s="17"/>
    </row>
    <row r="400" ht="15.75" customHeight="1">
      <c r="A400" s="9" t="s">
        <v>815</v>
      </c>
      <c r="B400" s="10" t="s">
        <v>816</v>
      </c>
      <c r="C400" s="11" t="s">
        <v>180</v>
      </c>
      <c r="D400" s="22" t="s">
        <v>814</v>
      </c>
      <c r="E400" s="13" t="str">
        <f t="array" ref="E400">INDEX(Turmas!C2:C103,MATCH(D400,Turmas!A2:A103,0))</f>
        <v>Noite</v>
      </c>
      <c r="F400" s="14">
        <v>60.0</v>
      </c>
      <c r="G400" s="15">
        <v>2.0</v>
      </c>
      <c r="H400" s="15">
        <v>0.0</v>
      </c>
      <c r="I400" s="16" t="str">
        <f t="shared" si="1"/>
        <v>1-12</v>
      </c>
      <c r="J400" s="16" t="str">
        <f t="shared" si="2"/>
        <v>1-12</v>
      </c>
      <c r="K400" s="16" t="str">
        <f t="shared" si="3"/>
        <v>1-12</v>
      </c>
      <c r="L400" s="16" t="str">
        <f t="shared" si="4"/>
        <v>1-12</v>
      </c>
      <c r="M400" s="16" t="str">
        <f t="shared" si="5"/>
        <v>1-12</v>
      </c>
      <c r="N400" s="16" t="str">
        <f t="shared" si="6"/>
        <v>0</v>
      </c>
      <c r="O400" s="17"/>
      <c r="P400" s="17"/>
      <c r="Q400" s="17"/>
      <c r="R400" s="17"/>
      <c r="S400" s="17"/>
      <c r="T400" s="17"/>
      <c r="U400" s="17"/>
      <c r="V400" s="17"/>
      <c r="W400" s="17"/>
    </row>
    <row r="401" ht="15.75" customHeight="1">
      <c r="A401" s="9" t="s">
        <v>817</v>
      </c>
      <c r="B401" s="10" t="s">
        <v>199</v>
      </c>
      <c r="C401" s="11" t="s">
        <v>149</v>
      </c>
      <c r="D401" s="22" t="s">
        <v>814</v>
      </c>
      <c r="E401" s="13" t="str">
        <f t="array" ref="E401">INDEX(Turmas!C2:C103,MATCH(D401,Turmas!A2:A103,0))</f>
        <v>Noite</v>
      </c>
      <c r="F401" s="14">
        <v>60.0</v>
      </c>
      <c r="G401" s="15">
        <v>4.0</v>
      </c>
      <c r="H401" s="15">
        <v>0.0</v>
      </c>
      <c r="I401" s="16" t="str">
        <f t="shared" si="1"/>
        <v>1-12</v>
      </c>
      <c r="J401" s="16" t="str">
        <f t="shared" si="2"/>
        <v>1-12</v>
      </c>
      <c r="K401" s="16" t="str">
        <f t="shared" si="3"/>
        <v>1-12</v>
      </c>
      <c r="L401" s="16" t="str">
        <f t="shared" si="4"/>
        <v>1-12</v>
      </c>
      <c r="M401" s="16" t="str">
        <f t="shared" si="5"/>
        <v>1-12</v>
      </c>
      <c r="N401" s="16" t="str">
        <f t="shared" si="6"/>
        <v>0</v>
      </c>
      <c r="O401" s="17"/>
      <c r="P401" s="17"/>
      <c r="Q401" s="17"/>
      <c r="R401" s="17"/>
      <c r="S401" s="17"/>
      <c r="T401" s="17"/>
      <c r="U401" s="17"/>
      <c r="V401" s="17"/>
      <c r="W401" s="17"/>
    </row>
    <row r="402" ht="15.75" customHeight="1">
      <c r="A402" s="9" t="s">
        <v>818</v>
      </c>
      <c r="B402" s="10" t="s">
        <v>699</v>
      </c>
      <c r="C402" s="11" t="s">
        <v>522</v>
      </c>
      <c r="D402" s="22" t="s">
        <v>814</v>
      </c>
      <c r="E402" s="13" t="str">
        <f t="array" ref="E402">INDEX(Turmas!C2:C103,MATCH(D402,Turmas!A2:A103,0))</f>
        <v>Noite</v>
      </c>
      <c r="F402" s="14">
        <v>60.0</v>
      </c>
      <c r="G402" s="15">
        <v>3.0</v>
      </c>
      <c r="H402" s="15">
        <v>0.0</v>
      </c>
      <c r="I402" s="16" t="str">
        <f t="shared" si="1"/>
        <v>1-12</v>
      </c>
      <c r="J402" s="16" t="str">
        <f t="shared" si="2"/>
        <v>1-12</v>
      </c>
      <c r="K402" s="16" t="str">
        <f t="shared" si="3"/>
        <v>1-12</v>
      </c>
      <c r="L402" s="16" t="str">
        <f t="shared" si="4"/>
        <v>1-12</v>
      </c>
      <c r="M402" s="16" t="str">
        <f t="shared" si="5"/>
        <v>1-12</v>
      </c>
      <c r="N402" s="16" t="str">
        <f t="shared" si="6"/>
        <v>0</v>
      </c>
      <c r="O402" s="17"/>
      <c r="P402" s="17"/>
      <c r="Q402" s="17"/>
      <c r="R402" s="17"/>
      <c r="S402" s="17"/>
      <c r="T402" s="17"/>
      <c r="U402" s="17"/>
      <c r="V402" s="17"/>
      <c r="W402" s="17"/>
    </row>
    <row r="403" ht="15.75" customHeight="1">
      <c r="A403" s="9" t="s">
        <v>819</v>
      </c>
      <c r="B403" s="10" t="s">
        <v>820</v>
      </c>
      <c r="C403" s="11" t="s">
        <v>688</v>
      </c>
      <c r="D403" s="22" t="s">
        <v>814</v>
      </c>
      <c r="E403" s="13" t="str">
        <f t="array" ref="E403">INDEX(Turmas!C2:C103,MATCH(D403,Turmas!A2:A103,0))</f>
        <v>Noite</v>
      </c>
      <c r="F403" s="14">
        <v>60.0</v>
      </c>
      <c r="G403" s="15">
        <v>4.0</v>
      </c>
      <c r="H403" s="15">
        <v>0.0</v>
      </c>
      <c r="I403" s="16" t="str">
        <f t="shared" si="1"/>
        <v>1-12</v>
      </c>
      <c r="J403" s="16" t="str">
        <f t="shared" si="2"/>
        <v>1-12</v>
      </c>
      <c r="K403" s="16" t="str">
        <f t="shared" si="3"/>
        <v>1-12</v>
      </c>
      <c r="L403" s="16" t="str">
        <f t="shared" si="4"/>
        <v>1-12</v>
      </c>
      <c r="M403" s="16" t="str">
        <f t="shared" si="5"/>
        <v>1-12</v>
      </c>
      <c r="N403" s="16" t="str">
        <f t="shared" si="6"/>
        <v>0</v>
      </c>
      <c r="O403" s="17"/>
      <c r="P403" s="17"/>
      <c r="Q403" s="17"/>
      <c r="R403" s="17"/>
      <c r="S403" s="17"/>
      <c r="T403" s="17"/>
      <c r="U403" s="17"/>
      <c r="V403" s="17"/>
      <c r="W403" s="17"/>
    </row>
    <row r="404" ht="15.75" customHeight="1">
      <c r="A404" s="9" t="s">
        <v>821</v>
      </c>
      <c r="B404" s="10" t="s">
        <v>682</v>
      </c>
      <c r="C404" s="11" t="s">
        <v>219</v>
      </c>
      <c r="D404" s="22" t="s">
        <v>814</v>
      </c>
      <c r="E404" s="13" t="str">
        <f t="array" ref="E404">INDEX(Turmas!C2:C103,MATCH(D404,Turmas!A2:A103,0))</f>
        <v>Noite</v>
      </c>
      <c r="F404" s="14">
        <v>60.0</v>
      </c>
      <c r="G404" s="15">
        <v>3.0</v>
      </c>
      <c r="H404" s="15">
        <v>0.0</v>
      </c>
      <c r="I404" s="16" t="str">
        <f t="shared" si="1"/>
        <v>1-12</v>
      </c>
      <c r="J404" s="16" t="str">
        <f t="shared" si="2"/>
        <v>1-12</v>
      </c>
      <c r="K404" s="16" t="str">
        <f t="shared" si="3"/>
        <v>1-12</v>
      </c>
      <c r="L404" s="16" t="str">
        <f t="shared" si="4"/>
        <v>1-12</v>
      </c>
      <c r="M404" s="16" t="str">
        <f t="shared" si="5"/>
        <v>1-12</v>
      </c>
      <c r="N404" s="16" t="str">
        <f t="shared" si="6"/>
        <v>0</v>
      </c>
      <c r="O404" s="17"/>
      <c r="P404" s="17"/>
      <c r="Q404" s="17"/>
      <c r="R404" s="17"/>
      <c r="S404" s="17"/>
      <c r="T404" s="17"/>
      <c r="U404" s="17"/>
      <c r="V404" s="17"/>
      <c r="W404" s="17"/>
    </row>
    <row r="405" ht="15.75" customHeight="1">
      <c r="A405" s="9" t="s">
        <v>822</v>
      </c>
      <c r="B405" s="10" t="s">
        <v>734</v>
      </c>
      <c r="C405" s="11" t="s">
        <v>695</v>
      </c>
      <c r="D405" s="22" t="s">
        <v>823</v>
      </c>
      <c r="E405" s="13" t="str">
        <f t="array" ref="E405">INDEX(Turmas!C2:C103,MATCH(D405,Turmas!A2:A103,0))</f>
        <v>Noite</v>
      </c>
      <c r="F405" s="14">
        <v>60.0</v>
      </c>
      <c r="G405" s="15">
        <v>4.0</v>
      </c>
      <c r="H405" s="15">
        <v>0.0</v>
      </c>
      <c r="I405" s="16" t="str">
        <f t="shared" si="1"/>
        <v>1-12</v>
      </c>
      <c r="J405" s="16" t="str">
        <f t="shared" si="2"/>
        <v>1-12</v>
      </c>
      <c r="K405" s="16" t="str">
        <f t="shared" si="3"/>
        <v>1-12</v>
      </c>
      <c r="L405" s="16" t="str">
        <f t="shared" si="4"/>
        <v>1-12</v>
      </c>
      <c r="M405" s="16" t="str">
        <f t="shared" si="5"/>
        <v>1-12</v>
      </c>
      <c r="N405" s="16" t="str">
        <f t="shared" si="6"/>
        <v>0</v>
      </c>
      <c r="O405" s="17"/>
      <c r="P405" s="17"/>
      <c r="Q405" s="17"/>
      <c r="R405" s="17"/>
      <c r="S405" s="17"/>
      <c r="T405" s="17"/>
      <c r="U405" s="17"/>
      <c r="V405" s="17"/>
      <c r="W405" s="17"/>
    </row>
    <row r="406" ht="15.75" customHeight="1">
      <c r="A406" s="9" t="s">
        <v>824</v>
      </c>
      <c r="B406" s="10" t="s">
        <v>825</v>
      </c>
      <c r="C406" s="11" t="s">
        <v>723</v>
      </c>
      <c r="D406" s="22" t="s">
        <v>823</v>
      </c>
      <c r="E406" s="13" t="str">
        <f t="array" ref="E406">INDEX(Turmas!C2:C103,MATCH(D406,Turmas!A2:A103,0))</f>
        <v>Noite</v>
      </c>
      <c r="F406" s="14">
        <v>60.0</v>
      </c>
      <c r="G406" s="15">
        <v>5.0</v>
      </c>
      <c r="H406" s="15">
        <v>0.0</v>
      </c>
      <c r="I406" s="16" t="str">
        <f t="shared" si="1"/>
        <v>1-12</v>
      </c>
      <c r="J406" s="16" t="str">
        <f t="shared" si="2"/>
        <v>1-12</v>
      </c>
      <c r="K406" s="16" t="str">
        <f t="shared" si="3"/>
        <v>1-12</v>
      </c>
      <c r="L406" s="16" t="str">
        <f t="shared" si="4"/>
        <v>1-12</v>
      </c>
      <c r="M406" s="16" t="str">
        <f t="shared" si="5"/>
        <v>1-12</v>
      </c>
      <c r="N406" s="16" t="str">
        <f t="shared" si="6"/>
        <v>0</v>
      </c>
      <c r="O406" s="17"/>
      <c r="P406" s="17"/>
      <c r="Q406" s="17"/>
      <c r="R406" s="17"/>
      <c r="S406" s="17"/>
      <c r="T406" s="17"/>
      <c r="U406" s="17"/>
      <c r="V406" s="17"/>
      <c r="W406" s="17"/>
    </row>
    <row r="407" ht="15.75" customHeight="1">
      <c r="A407" s="9" t="s">
        <v>826</v>
      </c>
      <c r="B407" s="10" t="s">
        <v>827</v>
      </c>
      <c r="C407" s="11" t="s">
        <v>680</v>
      </c>
      <c r="D407" s="22" t="s">
        <v>823</v>
      </c>
      <c r="E407" s="13" t="str">
        <f t="array" ref="E407">INDEX(Turmas!C2:C103,MATCH(D407,Turmas!A2:A103,0))</f>
        <v>Noite</v>
      </c>
      <c r="F407" s="14">
        <v>60.0</v>
      </c>
      <c r="G407" s="15">
        <v>4.0</v>
      </c>
      <c r="H407" s="15">
        <v>0.0</v>
      </c>
      <c r="I407" s="16" t="str">
        <f t="shared" si="1"/>
        <v>1-12</v>
      </c>
      <c r="J407" s="16" t="str">
        <f t="shared" si="2"/>
        <v>1-12</v>
      </c>
      <c r="K407" s="16" t="str">
        <f t="shared" si="3"/>
        <v>1-12</v>
      </c>
      <c r="L407" s="16" t="str">
        <f t="shared" si="4"/>
        <v>1-12</v>
      </c>
      <c r="M407" s="16" t="str">
        <f t="shared" si="5"/>
        <v>1-12</v>
      </c>
      <c r="N407" s="16" t="str">
        <f t="shared" si="6"/>
        <v>0</v>
      </c>
      <c r="O407" s="17"/>
      <c r="P407" s="17"/>
      <c r="Q407" s="17"/>
      <c r="R407" s="17"/>
      <c r="S407" s="17"/>
      <c r="T407" s="17"/>
      <c r="U407" s="17"/>
      <c r="V407" s="17"/>
      <c r="W407" s="17"/>
    </row>
    <row r="408" ht="15.75" customHeight="1">
      <c r="A408" s="9" t="s">
        <v>828</v>
      </c>
      <c r="B408" s="10" t="s">
        <v>829</v>
      </c>
      <c r="C408" s="11" t="s">
        <v>723</v>
      </c>
      <c r="D408" s="22" t="s">
        <v>823</v>
      </c>
      <c r="E408" s="13" t="str">
        <f t="array" ref="E408">INDEX(Turmas!C2:C103,MATCH(D408,Turmas!A2:A103,0))</f>
        <v>Noite</v>
      </c>
      <c r="F408" s="14">
        <v>60.0</v>
      </c>
      <c r="G408" s="15">
        <v>4.0</v>
      </c>
      <c r="H408" s="15">
        <v>0.0</v>
      </c>
      <c r="I408" s="16" t="str">
        <f t="shared" si="1"/>
        <v>1-12</v>
      </c>
      <c r="J408" s="16" t="str">
        <f t="shared" si="2"/>
        <v>1-12</v>
      </c>
      <c r="K408" s="16" t="str">
        <f t="shared" si="3"/>
        <v>1-12</v>
      </c>
      <c r="L408" s="16" t="str">
        <f t="shared" si="4"/>
        <v>1-12</v>
      </c>
      <c r="M408" s="16" t="str">
        <f t="shared" si="5"/>
        <v>1-12</v>
      </c>
      <c r="N408" s="16" t="str">
        <f t="shared" si="6"/>
        <v>0</v>
      </c>
      <c r="O408" s="17"/>
      <c r="P408" s="17"/>
      <c r="Q408" s="17"/>
      <c r="R408" s="17"/>
      <c r="S408" s="17"/>
      <c r="T408" s="17"/>
      <c r="U408" s="17"/>
      <c r="V408" s="17"/>
      <c r="W408" s="17"/>
    </row>
    <row r="409" ht="15.75" customHeight="1">
      <c r="A409" s="9" t="s">
        <v>830</v>
      </c>
      <c r="B409" s="10" t="s">
        <v>309</v>
      </c>
      <c r="C409" s="11" t="s">
        <v>246</v>
      </c>
      <c r="D409" s="22" t="s">
        <v>823</v>
      </c>
      <c r="E409" s="13" t="str">
        <f t="array" ref="E409">INDEX(Turmas!C2:C103,MATCH(D409,Turmas!A2:A103,0))</f>
        <v>Noite</v>
      </c>
      <c r="F409" s="14">
        <v>60.0</v>
      </c>
      <c r="G409" s="15">
        <v>3.0</v>
      </c>
      <c r="H409" s="15">
        <v>0.0</v>
      </c>
      <c r="I409" s="16" t="str">
        <f t="shared" si="1"/>
        <v>1-12</v>
      </c>
      <c r="J409" s="16" t="str">
        <f t="shared" si="2"/>
        <v>1-12</v>
      </c>
      <c r="K409" s="16" t="str">
        <f t="shared" si="3"/>
        <v>1-12</v>
      </c>
      <c r="L409" s="16" t="str">
        <f t="shared" si="4"/>
        <v>1-12</v>
      </c>
      <c r="M409" s="16" t="str">
        <f t="shared" si="5"/>
        <v>1-12</v>
      </c>
      <c r="N409" s="16" t="str">
        <f t="shared" si="6"/>
        <v>0</v>
      </c>
      <c r="O409" s="17"/>
      <c r="P409" s="17"/>
      <c r="Q409" s="17"/>
      <c r="R409" s="17"/>
      <c r="S409" s="17"/>
      <c r="T409" s="17"/>
      <c r="U409" s="17"/>
      <c r="V409" s="17"/>
      <c r="W409" s="17"/>
    </row>
    <row r="410" ht="15.75" customHeight="1">
      <c r="A410" s="9" t="s">
        <v>831</v>
      </c>
      <c r="B410" s="10" t="s">
        <v>832</v>
      </c>
      <c r="C410" s="11" t="s">
        <v>708</v>
      </c>
      <c r="D410" s="22" t="s">
        <v>833</v>
      </c>
      <c r="E410" s="13" t="str">
        <f t="array" ref="E410">INDEX(Turmas!C2:C103,MATCH(D410,Turmas!A2:A103,0))</f>
        <v>Noite</v>
      </c>
      <c r="F410" s="14">
        <v>60.0</v>
      </c>
      <c r="G410" s="15">
        <v>4.0</v>
      </c>
      <c r="H410" s="15">
        <v>0.0</v>
      </c>
      <c r="I410" s="16" t="str">
        <f t="shared" si="1"/>
        <v>1-12</v>
      </c>
      <c r="J410" s="16" t="str">
        <f t="shared" si="2"/>
        <v>1-12</v>
      </c>
      <c r="K410" s="16" t="str">
        <f t="shared" si="3"/>
        <v>1-12</v>
      </c>
      <c r="L410" s="16" t="str">
        <f t="shared" si="4"/>
        <v>1-12</v>
      </c>
      <c r="M410" s="16" t="str">
        <f t="shared" si="5"/>
        <v>1-12</v>
      </c>
      <c r="N410" s="16" t="str">
        <f t="shared" si="6"/>
        <v>0</v>
      </c>
      <c r="O410" s="17"/>
      <c r="P410" s="17"/>
      <c r="Q410" s="17"/>
      <c r="R410" s="17"/>
      <c r="S410" s="17"/>
      <c r="T410" s="17"/>
      <c r="U410" s="17"/>
      <c r="V410" s="17"/>
      <c r="W410" s="17"/>
    </row>
    <row r="411" ht="15.75" customHeight="1">
      <c r="A411" s="9" t="s">
        <v>834</v>
      </c>
      <c r="B411" s="10" t="s">
        <v>835</v>
      </c>
      <c r="C411" s="11" t="s">
        <v>680</v>
      </c>
      <c r="D411" s="22" t="s">
        <v>833</v>
      </c>
      <c r="E411" s="13" t="str">
        <f t="array" ref="E411">INDEX(Turmas!C2:C103,MATCH(D411,Turmas!A2:A103,0))</f>
        <v>Noite</v>
      </c>
      <c r="F411" s="14">
        <v>60.0</v>
      </c>
      <c r="G411" s="15">
        <v>4.0</v>
      </c>
      <c r="H411" s="15">
        <v>0.0</v>
      </c>
      <c r="I411" s="16" t="str">
        <f t="shared" si="1"/>
        <v>1-12</v>
      </c>
      <c r="J411" s="16" t="str">
        <f t="shared" si="2"/>
        <v>1-12</v>
      </c>
      <c r="K411" s="16" t="str">
        <f t="shared" si="3"/>
        <v>1-12</v>
      </c>
      <c r="L411" s="16" t="str">
        <f t="shared" si="4"/>
        <v>1-12</v>
      </c>
      <c r="M411" s="16" t="str">
        <f t="shared" si="5"/>
        <v>1-12</v>
      </c>
      <c r="N411" s="16" t="str">
        <f t="shared" si="6"/>
        <v>0</v>
      </c>
      <c r="O411" s="17"/>
      <c r="P411" s="17"/>
      <c r="Q411" s="17"/>
      <c r="R411" s="17"/>
      <c r="S411" s="17"/>
      <c r="T411" s="17"/>
      <c r="U411" s="17"/>
      <c r="V411" s="17"/>
      <c r="W411" s="17"/>
    </row>
    <row r="412" ht="15.75" customHeight="1">
      <c r="A412" s="9" t="s">
        <v>836</v>
      </c>
      <c r="B412" s="10" t="s">
        <v>837</v>
      </c>
      <c r="C412" s="11" t="s">
        <v>739</v>
      </c>
      <c r="D412" s="22" t="s">
        <v>833</v>
      </c>
      <c r="E412" s="13" t="str">
        <f t="array" ref="E412">INDEX(Turmas!C2:C103,MATCH(D412,Turmas!A2:A103,0))</f>
        <v>Noite</v>
      </c>
      <c r="F412" s="14">
        <v>60.0</v>
      </c>
      <c r="G412" s="15">
        <v>4.0</v>
      </c>
      <c r="H412" s="15">
        <v>0.0</v>
      </c>
      <c r="I412" s="16" t="str">
        <f t="shared" si="1"/>
        <v>1-12</v>
      </c>
      <c r="J412" s="16" t="str">
        <f t="shared" si="2"/>
        <v>1-12</v>
      </c>
      <c r="K412" s="16" t="str">
        <f t="shared" si="3"/>
        <v>1-12</v>
      </c>
      <c r="L412" s="16" t="str">
        <f t="shared" si="4"/>
        <v>1-12</v>
      </c>
      <c r="M412" s="16" t="str">
        <f t="shared" si="5"/>
        <v>1-12</v>
      </c>
      <c r="N412" s="16" t="str">
        <f t="shared" si="6"/>
        <v>0</v>
      </c>
      <c r="O412" s="17"/>
      <c r="P412" s="17"/>
      <c r="Q412" s="17"/>
      <c r="R412" s="17"/>
      <c r="S412" s="17"/>
      <c r="T412" s="17"/>
      <c r="U412" s="17"/>
      <c r="V412" s="17"/>
      <c r="W412" s="17"/>
    </row>
    <row r="413" ht="15.75" customHeight="1">
      <c r="A413" s="9" t="s">
        <v>838</v>
      </c>
      <c r="B413" s="10" t="s">
        <v>839</v>
      </c>
      <c r="C413" s="11" t="s">
        <v>456</v>
      </c>
      <c r="D413" s="22" t="s">
        <v>833</v>
      </c>
      <c r="E413" s="13" t="str">
        <f t="array" ref="E413">INDEX(Turmas!C2:C103,MATCH(D413,Turmas!A2:A103,0))</f>
        <v>Noite</v>
      </c>
      <c r="F413" s="14">
        <v>60.0</v>
      </c>
      <c r="G413" s="15">
        <v>4.0</v>
      </c>
      <c r="H413" s="15">
        <v>0.0</v>
      </c>
      <c r="I413" s="16" t="str">
        <f t="shared" si="1"/>
        <v>1-12</v>
      </c>
      <c r="J413" s="16" t="str">
        <f t="shared" si="2"/>
        <v>1-12</v>
      </c>
      <c r="K413" s="16" t="str">
        <f t="shared" si="3"/>
        <v>1-12</v>
      </c>
      <c r="L413" s="16" t="str">
        <f t="shared" si="4"/>
        <v>1-12</v>
      </c>
      <c r="M413" s="16" t="str">
        <f t="shared" si="5"/>
        <v>1-12</v>
      </c>
      <c r="N413" s="16" t="str">
        <f t="shared" si="6"/>
        <v>0</v>
      </c>
      <c r="O413" s="17"/>
      <c r="P413" s="17"/>
      <c r="Q413" s="17"/>
      <c r="R413" s="17"/>
      <c r="S413" s="17"/>
      <c r="T413" s="17"/>
      <c r="U413" s="17"/>
      <c r="V413" s="17"/>
      <c r="W413" s="17"/>
    </row>
    <row r="414" ht="15.75" customHeight="1">
      <c r="A414" s="9" t="s">
        <v>840</v>
      </c>
      <c r="B414" s="10" t="s">
        <v>841</v>
      </c>
      <c r="C414" s="11" t="s">
        <v>739</v>
      </c>
      <c r="D414" s="22" t="s">
        <v>833</v>
      </c>
      <c r="E414" s="13" t="str">
        <f t="array" ref="E414">INDEX(Turmas!C2:C103,MATCH(D414,Turmas!A2:A103,0))</f>
        <v>Noite</v>
      </c>
      <c r="F414" s="14">
        <v>60.0</v>
      </c>
      <c r="G414" s="15">
        <v>4.0</v>
      </c>
      <c r="H414" s="15">
        <v>0.0</v>
      </c>
      <c r="I414" s="16" t="str">
        <f t="shared" si="1"/>
        <v>1-12</v>
      </c>
      <c r="J414" s="16" t="str">
        <f t="shared" si="2"/>
        <v>1-12</v>
      </c>
      <c r="K414" s="16" t="str">
        <f t="shared" si="3"/>
        <v>1-12</v>
      </c>
      <c r="L414" s="16" t="str">
        <f t="shared" si="4"/>
        <v>1-12</v>
      </c>
      <c r="M414" s="16" t="str">
        <f t="shared" si="5"/>
        <v>1-12</v>
      </c>
      <c r="N414" s="16" t="str">
        <f t="shared" si="6"/>
        <v>0</v>
      </c>
      <c r="O414" s="17"/>
      <c r="P414" s="17"/>
      <c r="Q414" s="17"/>
      <c r="R414" s="17"/>
      <c r="S414" s="17"/>
      <c r="T414" s="17"/>
      <c r="U414" s="17"/>
      <c r="V414" s="17"/>
      <c r="W414" s="17"/>
    </row>
    <row r="415" ht="15.75" customHeight="1">
      <c r="A415" s="9" t="s">
        <v>842</v>
      </c>
      <c r="B415" s="10" t="s">
        <v>78</v>
      </c>
      <c r="C415" s="11" t="s">
        <v>83</v>
      </c>
      <c r="D415" s="22" t="s">
        <v>843</v>
      </c>
      <c r="E415" s="13" t="str">
        <f t="array" ref="E415">INDEX(Turmas!C2:C103,MATCH(D415,Turmas!A2:A103,0))</f>
        <v>Noite</v>
      </c>
      <c r="F415" s="14">
        <v>60.0</v>
      </c>
      <c r="G415" s="15">
        <v>3.0</v>
      </c>
      <c r="H415" s="15">
        <v>0.0</v>
      </c>
      <c r="I415" s="16" t="str">
        <f t="shared" si="1"/>
        <v>1-12</v>
      </c>
      <c r="J415" s="16" t="str">
        <f t="shared" si="2"/>
        <v>1-12</v>
      </c>
      <c r="K415" s="16" t="str">
        <f t="shared" si="3"/>
        <v>1-12</v>
      </c>
      <c r="L415" s="16" t="str">
        <f t="shared" si="4"/>
        <v>1-12</v>
      </c>
      <c r="M415" s="16" t="str">
        <f t="shared" si="5"/>
        <v>1-12</v>
      </c>
      <c r="N415" s="16" t="str">
        <f t="shared" si="6"/>
        <v>0</v>
      </c>
      <c r="O415" s="17"/>
      <c r="P415" s="17"/>
      <c r="Q415" s="17"/>
      <c r="R415" s="17"/>
      <c r="S415" s="17"/>
      <c r="T415" s="17"/>
      <c r="U415" s="17"/>
      <c r="V415" s="17"/>
      <c r="W415" s="17"/>
    </row>
    <row r="416" ht="15.75" customHeight="1">
      <c r="A416" s="9" t="s">
        <v>844</v>
      </c>
      <c r="B416" s="10" t="s">
        <v>845</v>
      </c>
      <c r="C416" s="11" t="s">
        <v>723</v>
      </c>
      <c r="D416" s="22" t="s">
        <v>843</v>
      </c>
      <c r="E416" s="13" t="str">
        <f t="array" ref="E416">INDEX(Turmas!C2:C103,MATCH(D416,Turmas!A2:A103,0))</f>
        <v>Noite</v>
      </c>
      <c r="F416" s="14">
        <v>60.0</v>
      </c>
      <c r="G416" s="15">
        <v>3.0</v>
      </c>
      <c r="H416" s="15">
        <v>0.0</v>
      </c>
      <c r="I416" s="16" t="str">
        <f t="shared" si="1"/>
        <v>1-12</v>
      </c>
      <c r="J416" s="16" t="str">
        <f t="shared" si="2"/>
        <v>1-12</v>
      </c>
      <c r="K416" s="16" t="str">
        <f t="shared" si="3"/>
        <v>1-12</v>
      </c>
      <c r="L416" s="16" t="str">
        <f t="shared" si="4"/>
        <v>1-12</v>
      </c>
      <c r="M416" s="16" t="str">
        <f t="shared" si="5"/>
        <v>1-12</v>
      </c>
      <c r="N416" s="16" t="str">
        <f t="shared" si="6"/>
        <v>0</v>
      </c>
      <c r="O416" s="17"/>
      <c r="P416" s="17"/>
      <c r="Q416" s="17"/>
      <c r="R416" s="17"/>
      <c r="S416" s="17"/>
      <c r="T416" s="17"/>
      <c r="U416" s="17"/>
      <c r="V416" s="17"/>
      <c r="W416" s="17"/>
    </row>
    <row r="417" ht="15.75" customHeight="1">
      <c r="A417" s="9" t="s">
        <v>846</v>
      </c>
      <c r="B417" s="10" t="s">
        <v>847</v>
      </c>
      <c r="C417" s="11" t="s">
        <v>469</v>
      </c>
      <c r="D417" s="22" t="s">
        <v>843</v>
      </c>
      <c r="E417" s="13" t="str">
        <f t="array" ref="E417">INDEX(Turmas!C2:C103,MATCH(D417,Turmas!A2:A103,0))</f>
        <v>Noite</v>
      </c>
      <c r="F417" s="14">
        <v>60.0</v>
      </c>
      <c r="G417" s="15">
        <v>4.0</v>
      </c>
      <c r="H417" s="15">
        <v>0.0</v>
      </c>
      <c r="I417" s="16" t="str">
        <f t="shared" si="1"/>
        <v>1-12</v>
      </c>
      <c r="J417" s="16" t="str">
        <f t="shared" si="2"/>
        <v>1-12</v>
      </c>
      <c r="K417" s="16" t="str">
        <f t="shared" si="3"/>
        <v>1-12</v>
      </c>
      <c r="L417" s="16" t="str">
        <f t="shared" si="4"/>
        <v>1-12</v>
      </c>
      <c r="M417" s="16" t="str">
        <f t="shared" si="5"/>
        <v>1-12</v>
      </c>
      <c r="N417" s="16" t="str">
        <f t="shared" si="6"/>
        <v>0</v>
      </c>
      <c r="O417" s="17"/>
      <c r="P417" s="17"/>
      <c r="Q417" s="17"/>
      <c r="R417" s="17"/>
      <c r="S417" s="17"/>
      <c r="T417" s="17"/>
      <c r="U417" s="17"/>
      <c r="V417" s="17"/>
      <c r="W417" s="17"/>
    </row>
    <row r="418" ht="15.75" customHeight="1">
      <c r="A418" s="9" t="s">
        <v>848</v>
      </c>
      <c r="B418" s="10" t="s">
        <v>849</v>
      </c>
      <c r="C418" s="11" t="s">
        <v>559</v>
      </c>
      <c r="D418" s="22" t="s">
        <v>843</v>
      </c>
      <c r="E418" s="13" t="str">
        <f t="array" ref="E418">INDEX(Turmas!C2:C103,MATCH(D418,Turmas!A2:A103,0))</f>
        <v>Noite</v>
      </c>
      <c r="F418" s="14">
        <v>60.0</v>
      </c>
      <c r="G418" s="15">
        <v>3.0</v>
      </c>
      <c r="H418" s="15">
        <v>0.0</v>
      </c>
      <c r="I418" s="16" t="str">
        <f t="shared" si="1"/>
        <v>1-12</v>
      </c>
      <c r="J418" s="16" t="str">
        <f t="shared" si="2"/>
        <v>1-12</v>
      </c>
      <c r="K418" s="16" t="str">
        <f t="shared" si="3"/>
        <v>1-12</v>
      </c>
      <c r="L418" s="16" t="str">
        <f t="shared" si="4"/>
        <v>1-12</v>
      </c>
      <c r="M418" s="16" t="str">
        <f t="shared" si="5"/>
        <v>1-12</v>
      </c>
      <c r="N418" s="16" t="str">
        <f t="shared" si="6"/>
        <v>0</v>
      </c>
      <c r="O418" s="17"/>
      <c r="P418" s="17"/>
      <c r="Q418" s="17"/>
      <c r="R418" s="17"/>
      <c r="S418" s="17"/>
      <c r="T418" s="17"/>
      <c r="U418" s="17"/>
      <c r="V418" s="17"/>
      <c r="W418" s="17"/>
    </row>
    <row r="419" ht="15.75" customHeight="1">
      <c r="A419" s="9" t="s">
        <v>850</v>
      </c>
      <c r="B419" s="10" t="s">
        <v>851</v>
      </c>
      <c r="C419" s="11" t="s">
        <v>739</v>
      </c>
      <c r="D419" s="22" t="s">
        <v>843</v>
      </c>
      <c r="E419" s="13" t="str">
        <f t="array" ref="E419">INDEX(Turmas!C2:C103,MATCH(D419,Turmas!A2:A103,0))</f>
        <v>Noite</v>
      </c>
      <c r="F419" s="14">
        <v>60.0</v>
      </c>
      <c r="G419" s="15">
        <v>3.0</v>
      </c>
      <c r="H419" s="15">
        <v>0.0</v>
      </c>
      <c r="I419" s="16" t="str">
        <f t="shared" si="1"/>
        <v>1-12</v>
      </c>
      <c r="J419" s="16" t="str">
        <f t="shared" si="2"/>
        <v>1-12</v>
      </c>
      <c r="K419" s="16" t="str">
        <f t="shared" si="3"/>
        <v>1-12</v>
      </c>
      <c r="L419" s="16" t="str">
        <f t="shared" si="4"/>
        <v>1-12</v>
      </c>
      <c r="M419" s="16" t="str">
        <f t="shared" si="5"/>
        <v>1-12</v>
      </c>
      <c r="N419" s="16" t="str">
        <f t="shared" si="6"/>
        <v>0</v>
      </c>
      <c r="O419" s="17"/>
      <c r="P419" s="17"/>
      <c r="Q419" s="17"/>
      <c r="R419" s="17"/>
      <c r="S419" s="17"/>
      <c r="T419" s="17"/>
      <c r="U419" s="17"/>
      <c r="V419" s="17"/>
      <c r="W419" s="17"/>
    </row>
    <row r="420" ht="15.75" customHeight="1">
      <c r="A420" s="9" t="s">
        <v>852</v>
      </c>
      <c r="B420" s="10" t="s">
        <v>853</v>
      </c>
      <c r="C420" s="11" t="s">
        <v>739</v>
      </c>
      <c r="D420" s="22" t="s">
        <v>843</v>
      </c>
      <c r="E420" s="13" t="str">
        <f t="array" ref="E420">INDEX(Turmas!C2:C103,MATCH(D420,Turmas!A2:A103,0))</f>
        <v>Noite</v>
      </c>
      <c r="F420" s="14">
        <v>60.0</v>
      </c>
      <c r="G420" s="15">
        <v>4.0</v>
      </c>
      <c r="H420" s="15">
        <v>0.0</v>
      </c>
      <c r="I420" s="16" t="str">
        <f t="shared" si="1"/>
        <v>1-12</v>
      </c>
      <c r="J420" s="16" t="str">
        <f t="shared" si="2"/>
        <v>1-12</v>
      </c>
      <c r="K420" s="16" t="str">
        <f t="shared" si="3"/>
        <v>1-12</v>
      </c>
      <c r="L420" s="16" t="str">
        <f t="shared" si="4"/>
        <v>1-12</v>
      </c>
      <c r="M420" s="16" t="str">
        <f t="shared" si="5"/>
        <v>1-12</v>
      </c>
      <c r="N420" s="16" t="str">
        <f t="shared" si="6"/>
        <v>0</v>
      </c>
      <c r="O420" s="17"/>
      <c r="P420" s="17"/>
      <c r="Q420" s="17"/>
      <c r="R420" s="17"/>
      <c r="S420" s="17"/>
      <c r="T420" s="17"/>
      <c r="U420" s="17"/>
      <c r="V420" s="17"/>
      <c r="W420" s="17"/>
    </row>
    <row r="421" ht="15.75" customHeight="1">
      <c r="A421" s="9" t="s">
        <v>854</v>
      </c>
      <c r="B421" s="10" t="s">
        <v>855</v>
      </c>
      <c r="C421" s="11" t="s">
        <v>739</v>
      </c>
      <c r="D421" s="22" t="s">
        <v>856</v>
      </c>
      <c r="E421" s="13" t="str">
        <f t="array" ref="E421">INDEX(Turmas!C2:C103,MATCH(D421,Turmas!A2:A103,0))</f>
        <v>Noite</v>
      </c>
      <c r="F421" s="14">
        <v>10.0</v>
      </c>
      <c r="G421" s="15">
        <v>4.0</v>
      </c>
      <c r="H421" s="15">
        <v>0.0</v>
      </c>
      <c r="I421" s="16" t="str">
        <f t="shared" si="1"/>
        <v>1-12</v>
      </c>
      <c r="J421" s="16" t="str">
        <f t="shared" si="2"/>
        <v>1-12</v>
      </c>
      <c r="K421" s="16" t="str">
        <f t="shared" si="3"/>
        <v>1-12</v>
      </c>
      <c r="L421" s="16" t="str">
        <f t="shared" si="4"/>
        <v>1-12</v>
      </c>
      <c r="M421" s="16" t="str">
        <f t="shared" si="5"/>
        <v>1-12</v>
      </c>
      <c r="N421" s="16" t="str">
        <f t="shared" si="6"/>
        <v>0</v>
      </c>
      <c r="O421" s="17"/>
      <c r="P421" s="17"/>
      <c r="Q421" s="17"/>
      <c r="R421" s="17"/>
      <c r="S421" s="17"/>
      <c r="T421" s="17"/>
      <c r="U421" s="17"/>
      <c r="V421" s="17"/>
      <c r="W421" s="17"/>
    </row>
    <row r="422" ht="15.75" customHeight="1">
      <c r="A422" s="9" t="s">
        <v>857</v>
      </c>
      <c r="B422" s="10" t="s">
        <v>829</v>
      </c>
      <c r="C422" s="11" t="s">
        <v>723</v>
      </c>
      <c r="D422" s="22" t="s">
        <v>856</v>
      </c>
      <c r="E422" s="13" t="str">
        <f t="array" ref="E422">INDEX(Turmas!C2:C103,MATCH(D422,Turmas!A2:A103,0))</f>
        <v>Noite</v>
      </c>
      <c r="F422" s="14">
        <v>10.0</v>
      </c>
      <c r="G422" s="15">
        <v>4.0</v>
      </c>
      <c r="H422" s="15">
        <v>0.0</v>
      </c>
      <c r="I422" s="16" t="str">
        <f t="shared" si="1"/>
        <v>1-12</v>
      </c>
      <c r="J422" s="16" t="str">
        <f t="shared" si="2"/>
        <v>1-12</v>
      </c>
      <c r="K422" s="16" t="str">
        <f t="shared" si="3"/>
        <v>1-12</v>
      </c>
      <c r="L422" s="16" t="str">
        <f t="shared" si="4"/>
        <v>1-12</v>
      </c>
      <c r="M422" s="16" t="str">
        <f t="shared" si="5"/>
        <v>1-12</v>
      </c>
      <c r="N422" s="16" t="str">
        <f t="shared" si="6"/>
        <v>0</v>
      </c>
      <c r="O422" s="17"/>
      <c r="P422" s="17"/>
      <c r="Q422" s="17"/>
      <c r="R422" s="17"/>
      <c r="S422" s="17"/>
      <c r="T422" s="17"/>
      <c r="U422" s="17"/>
      <c r="V422" s="17"/>
      <c r="W422" s="17"/>
    </row>
    <row r="423" ht="15.75" customHeight="1">
      <c r="A423" s="9" t="s">
        <v>858</v>
      </c>
      <c r="B423" s="10" t="s">
        <v>841</v>
      </c>
      <c r="C423" s="11" t="s">
        <v>739</v>
      </c>
      <c r="D423" s="22" t="s">
        <v>856</v>
      </c>
      <c r="E423" s="13" t="str">
        <f t="array" ref="E423">INDEX(Turmas!C2:C103,MATCH(D423,Turmas!A2:A103,0))</f>
        <v>Noite</v>
      </c>
      <c r="F423" s="14">
        <v>10.0</v>
      </c>
      <c r="G423" s="15">
        <v>4.0</v>
      </c>
      <c r="H423" s="15">
        <v>0.0</v>
      </c>
      <c r="I423" s="16" t="str">
        <f t="shared" si="1"/>
        <v>1-12</v>
      </c>
      <c r="J423" s="16" t="str">
        <f t="shared" si="2"/>
        <v>1-12</v>
      </c>
      <c r="K423" s="16" t="str">
        <f t="shared" si="3"/>
        <v>1-12</v>
      </c>
      <c r="L423" s="16" t="str">
        <f t="shared" si="4"/>
        <v>1-12</v>
      </c>
      <c r="M423" s="16" t="str">
        <f t="shared" si="5"/>
        <v>1-12</v>
      </c>
      <c r="N423" s="16" t="str">
        <f t="shared" si="6"/>
        <v>0</v>
      </c>
      <c r="O423" s="17"/>
      <c r="P423" s="17"/>
      <c r="Q423" s="17"/>
      <c r="R423" s="17"/>
      <c r="S423" s="17"/>
      <c r="T423" s="17"/>
      <c r="U423" s="17"/>
      <c r="V423" s="17"/>
      <c r="W423" s="17"/>
    </row>
    <row r="424" ht="15.75" customHeight="1">
      <c r="A424" s="9" t="s">
        <v>859</v>
      </c>
      <c r="B424" s="10" t="s">
        <v>860</v>
      </c>
      <c r="C424" s="11" t="s">
        <v>723</v>
      </c>
      <c r="D424" s="22" t="s">
        <v>856</v>
      </c>
      <c r="E424" s="13" t="str">
        <f t="array" ref="E424">INDEX(Turmas!C2:C103,MATCH(D424,Turmas!A2:A103,0))</f>
        <v>Noite</v>
      </c>
      <c r="F424" s="14">
        <v>10.0</v>
      </c>
      <c r="G424" s="15">
        <v>5.0</v>
      </c>
      <c r="H424" s="15">
        <v>0.0</v>
      </c>
      <c r="I424" s="16" t="str">
        <f t="shared" si="1"/>
        <v>1-12</v>
      </c>
      <c r="J424" s="16" t="str">
        <f t="shared" si="2"/>
        <v>1-12</v>
      </c>
      <c r="K424" s="16" t="str">
        <f t="shared" si="3"/>
        <v>1-12</v>
      </c>
      <c r="L424" s="16" t="str">
        <f t="shared" si="4"/>
        <v>1-12</v>
      </c>
      <c r="M424" s="16" t="str">
        <f t="shared" si="5"/>
        <v>1-12</v>
      </c>
      <c r="N424" s="16" t="str">
        <f t="shared" si="6"/>
        <v>0</v>
      </c>
      <c r="O424" s="17"/>
      <c r="P424" s="17"/>
      <c r="Q424" s="17"/>
      <c r="R424" s="17"/>
      <c r="S424" s="17"/>
      <c r="T424" s="17"/>
      <c r="U424" s="17"/>
      <c r="V424" s="17"/>
      <c r="W424" s="17"/>
    </row>
    <row r="425" ht="15.75" customHeight="1">
      <c r="A425" s="9" t="s">
        <v>861</v>
      </c>
      <c r="B425" s="10" t="s">
        <v>94</v>
      </c>
      <c r="C425" s="11" t="s">
        <v>49</v>
      </c>
      <c r="D425" s="22" t="s">
        <v>856</v>
      </c>
      <c r="E425" s="13" t="str">
        <f t="array" ref="E425">INDEX(Turmas!C2:C103,MATCH(D425,Turmas!A2:A103,0))</f>
        <v>Noite</v>
      </c>
      <c r="F425" s="14">
        <v>10.0</v>
      </c>
      <c r="G425" s="15">
        <v>2.0</v>
      </c>
      <c r="H425" s="15">
        <v>0.0</v>
      </c>
      <c r="I425" s="16" t="str">
        <f t="shared" si="1"/>
        <v>1-12</v>
      </c>
      <c r="J425" s="16" t="str">
        <f t="shared" si="2"/>
        <v>1-12</v>
      </c>
      <c r="K425" s="16" t="str">
        <f t="shared" si="3"/>
        <v>1-12</v>
      </c>
      <c r="L425" s="16" t="str">
        <f t="shared" si="4"/>
        <v>1-12</v>
      </c>
      <c r="M425" s="16" t="str">
        <f t="shared" si="5"/>
        <v>1-12</v>
      </c>
      <c r="N425" s="16" t="str">
        <f t="shared" si="6"/>
        <v>0</v>
      </c>
      <c r="O425" s="17"/>
      <c r="P425" s="17"/>
      <c r="Q425" s="17"/>
      <c r="R425" s="17"/>
      <c r="S425" s="17"/>
      <c r="T425" s="17"/>
      <c r="U425" s="17"/>
      <c r="V425" s="17"/>
      <c r="W425" s="17"/>
    </row>
    <row r="426" ht="15.75" customHeight="1">
      <c r="A426" s="9" t="s">
        <v>862</v>
      </c>
      <c r="B426" s="10" t="s">
        <v>86</v>
      </c>
      <c r="C426" s="11" t="s">
        <v>87</v>
      </c>
      <c r="D426" s="22" t="s">
        <v>856</v>
      </c>
      <c r="E426" s="13" t="str">
        <f t="array" ref="E426">INDEX(Turmas!C2:C103,MATCH(D426,Turmas!A2:A103,0))</f>
        <v>Noite</v>
      </c>
      <c r="F426" s="14">
        <v>10.0</v>
      </c>
      <c r="G426" s="15">
        <v>2.0</v>
      </c>
      <c r="H426" s="15">
        <v>0.0</v>
      </c>
      <c r="I426" s="16" t="str">
        <f t="shared" si="1"/>
        <v>1-12</v>
      </c>
      <c r="J426" s="16" t="str">
        <f t="shared" si="2"/>
        <v>1-12</v>
      </c>
      <c r="K426" s="16" t="str">
        <f t="shared" si="3"/>
        <v>1-12</v>
      </c>
      <c r="L426" s="16" t="str">
        <f t="shared" si="4"/>
        <v>1-12</v>
      </c>
      <c r="M426" s="16" t="str">
        <f t="shared" si="5"/>
        <v>1-12</v>
      </c>
      <c r="N426" s="16" t="str">
        <f t="shared" si="6"/>
        <v>0</v>
      </c>
      <c r="O426" s="17"/>
      <c r="P426" s="17"/>
      <c r="Q426" s="17"/>
      <c r="R426" s="17"/>
      <c r="S426" s="17"/>
      <c r="T426" s="17"/>
      <c r="U426" s="17"/>
      <c r="V426" s="17"/>
      <c r="W426" s="17"/>
    </row>
    <row r="427" ht="15.75" customHeight="1">
      <c r="A427" s="9" t="s">
        <v>863</v>
      </c>
      <c r="B427" s="10" t="s">
        <v>864</v>
      </c>
      <c r="C427" s="11" t="s">
        <v>739</v>
      </c>
      <c r="D427" s="22" t="s">
        <v>865</v>
      </c>
      <c r="E427" s="13" t="str">
        <f t="array" ref="E427">INDEX(Turmas!C2:C103,MATCH(D427,Turmas!A2:A103,0))</f>
        <v>Noite</v>
      </c>
      <c r="F427" s="14">
        <v>10.0</v>
      </c>
      <c r="G427" s="15">
        <v>4.0</v>
      </c>
      <c r="H427" s="15">
        <v>0.0</v>
      </c>
      <c r="I427" s="16" t="str">
        <f t="shared" si="1"/>
        <v>1-12</v>
      </c>
      <c r="J427" s="16" t="str">
        <f t="shared" si="2"/>
        <v>1-12</v>
      </c>
      <c r="K427" s="16" t="str">
        <f t="shared" si="3"/>
        <v>1-12</v>
      </c>
      <c r="L427" s="16" t="str">
        <f t="shared" si="4"/>
        <v>1-12</v>
      </c>
      <c r="M427" s="16" t="str">
        <f t="shared" si="5"/>
        <v>1-12</v>
      </c>
      <c r="N427" s="16" t="str">
        <f t="shared" si="6"/>
        <v>0</v>
      </c>
      <c r="O427" s="17"/>
      <c r="P427" s="17"/>
      <c r="Q427" s="17"/>
      <c r="R427" s="17"/>
      <c r="S427" s="17"/>
      <c r="T427" s="17"/>
      <c r="U427" s="17"/>
      <c r="V427" s="17"/>
      <c r="W427" s="17"/>
    </row>
    <row r="428" ht="15.75" customHeight="1">
      <c r="A428" s="9" t="s">
        <v>866</v>
      </c>
      <c r="B428" s="10" t="s">
        <v>839</v>
      </c>
      <c r="C428" s="11" t="s">
        <v>456</v>
      </c>
      <c r="D428" s="22" t="s">
        <v>865</v>
      </c>
      <c r="E428" s="13" t="str">
        <f t="array" ref="E428">INDEX(Turmas!C2:C103,MATCH(D428,Turmas!A2:A103,0))</f>
        <v>Noite</v>
      </c>
      <c r="F428" s="14">
        <v>10.0</v>
      </c>
      <c r="G428" s="15">
        <v>4.0</v>
      </c>
      <c r="H428" s="15">
        <v>0.0</v>
      </c>
      <c r="I428" s="16" t="str">
        <f t="shared" si="1"/>
        <v>1-12</v>
      </c>
      <c r="J428" s="16" t="str">
        <f t="shared" si="2"/>
        <v>1-12</v>
      </c>
      <c r="K428" s="16" t="str">
        <f t="shared" si="3"/>
        <v>1-12</v>
      </c>
      <c r="L428" s="16" t="str">
        <f t="shared" si="4"/>
        <v>1-12</v>
      </c>
      <c r="M428" s="16" t="str">
        <f t="shared" si="5"/>
        <v>1-12</v>
      </c>
      <c r="N428" s="16" t="str">
        <f t="shared" si="6"/>
        <v>0</v>
      </c>
      <c r="O428" s="17"/>
      <c r="P428" s="17"/>
      <c r="Q428" s="17"/>
      <c r="R428" s="17"/>
      <c r="S428" s="17"/>
      <c r="T428" s="17"/>
      <c r="U428" s="17"/>
      <c r="V428" s="17"/>
      <c r="W428" s="17"/>
    </row>
    <row r="429" ht="15.75" customHeight="1">
      <c r="A429" s="9" t="s">
        <v>867</v>
      </c>
      <c r="B429" s="10" t="s">
        <v>845</v>
      </c>
      <c r="C429" s="11" t="s">
        <v>73</v>
      </c>
      <c r="D429" s="22" t="s">
        <v>865</v>
      </c>
      <c r="E429" s="13" t="str">
        <f t="array" ref="E429">INDEX(Turmas!C2:C103,MATCH(D429,Turmas!A2:A103,0))</f>
        <v>Noite</v>
      </c>
      <c r="F429" s="14">
        <v>10.0</v>
      </c>
      <c r="G429" s="15">
        <v>2.0</v>
      </c>
      <c r="H429" s="15">
        <v>0.0</v>
      </c>
      <c r="I429" s="16" t="str">
        <f t="shared" si="1"/>
        <v>1-12</v>
      </c>
      <c r="J429" s="16" t="str">
        <f t="shared" si="2"/>
        <v>1-12</v>
      </c>
      <c r="K429" s="16" t="str">
        <f t="shared" si="3"/>
        <v>1-12</v>
      </c>
      <c r="L429" s="16" t="str">
        <f t="shared" si="4"/>
        <v>1-12</v>
      </c>
      <c r="M429" s="16" t="str">
        <f t="shared" si="5"/>
        <v>1-12</v>
      </c>
      <c r="N429" s="16" t="str">
        <f t="shared" si="6"/>
        <v>0</v>
      </c>
      <c r="O429" s="17"/>
      <c r="P429" s="17"/>
      <c r="Q429" s="17"/>
      <c r="R429" s="17"/>
      <c r="S429" s="17"/>
      <c r="T429" s="17"/>
      <c r="U429" s="17"/>
      <c r="V429" s="17"/>
      <c r="W429" s="17"/>
    </row>
    <row r="430" ht="15.75" customHeight="1">
      <c r="A430" s="9" t="s">
        <v>868</v>
      </c>
      <c r="B430" s="10" t="s">
        <v>869</v>
      </c>
      <c r="C430" s="11" t="s">
        <v>57</v>
      </c>
      <c r="D430" s="22" t="s">
        <v>865</v>
      </c>
      <c r="E430" s="13" t="str">
        <f t="array" ref="E430">INDEX(Turmas!C2:C103,MATCH(D430,Turmas!A2:A103,0))</f>
        <v>Noite</v>
      </c>
      <c r="F430" s="14">
        <v>10.0</v>
      </c>
      <c r="G430" s="15">
        <v>2.0</v>
      </c>
      <c r="H430" s="15">
        <v>0.0</v>
      </c>
      <c r="I430" s="16" t="str">
        <f t="shared" si="1"/>
        <v>1-12</v>
      </c>
      <c r="J430" s="16" t="str">
        <f t="shared" si="2"/>
        <v>1-12</v>
      </c>
      <c r="K430" s="16" t="str">
        <f t="shared" si="3"/>
        <v>1-12</v>
      </c>
      <c r="L430" s="16" t="str">
        <f t="shared" si="4"/>
        <v>1-12</v>
      </c>
      <c r="M430" s="16" t="str">
        <f t="shared" si="5"/>
        <v>1-12</v>
      </c>
      <c r="N430" s="16" t="str">
        <f t="shared" si="6"/>
        <v>0</v>
      </c>
      <c r="O430" s="17"/>
      <c r="P430" s="17"/>
      <c r="Q430" s="17"/>
      <c r="R430" s="17"/>
      <c r="S430" s="17"/>
      <c r="T430" s="17"/>
      <c r="U430" s="17"/>
      <c r="V430" s="17"/>
      <c r="W430" s="17"/>
    </row>
    <row r="431" ht="15.75" customHeight="1">
      <c r="A431" s="9" t="s">
        <v>870</v>
      </c>
      <c r="B431" s="10" t="s">
        <v>853</v>
      </c>
      <c r="C431" s="11" t="s">
        <v>739</v>
      </c>
      <c r="D431" s="22" t="s">
        <v>865</v>
      </c>
      <c r="E431" s="13" t="str">
        <f t="array" ref="E431">INDEX(Turmas!C2:C103,MATCH(D431,Turmas!A2:A103,0))</f>
        <v>Noite</v>
      </c>
      <c r="F431" s="14">
        <v>10.0</v>
      </c>
      <c r="G431" s="15">
        <v>4.0</v>
      </c>
      <c r="H431" s="15">
        <v>0.0</v>
      </c>
      <c r="I431" s="16" t="str">
        <f t="shared" si="1"/>
        <v>1-12</v>
      </c>
      <c r="J431" s="16" t="str">
        <f t="shared" si="2"/>
        <v>1-12</v>
      </c>
      <c r="K431" s="16" t="str">
        <f t="shared" si="3"/>
        <v>1-12</v>
      </c>
      <c r="L431" s="16" t="str">
        <f t="shared" si="4"/>
        <v>1-12</v>
      </c>
      <c r="M431" s="16" t="str">
        <f t="shared" si="5"/>
        <v>1-12</v>
      </c>
      <c r="N431" s="16" t="str">
        <f t="shared" si="6"/>
        <v>0</v>
      </c>
      <c r="O431" s="17"/>
      <c r="P431" s="17"/>
      <c r="Q431" s="17"/>
      <c r="R431" s="17"/>
      <c r="S431" s="17"/>
      <c r="T431" s="17"/>
      <c r="U431" s="17"/>
      <c r="V431" s="17"/>
      <c r="W431" s="17"/>
    </row>
    <row r="432" ht="15.75" customHeight="1">
      <c r="A432" s="9" t="s">
        <v>871</v>
      </c>
      <c r="B432" s="10" t="s">
        <v>108</v>
      </c>
      <c r="C432" s="11" t="s">
        <v>49</v>
      </c>
      <c r="D432" s="22" t="s">
        <v>865</v>
      </c>
      <c r="E432" s="13" t="str">
        <f t="array" ref="E432">INDEX(Turmas!C2:C103,MATCH(D432,Turmas!A2:A103,0))</f>
        <v>Noite</v>
      </c>
      <c r="F432" s="14">
        <v>10.0</v>
      </c>
      <c r="G432" s="15">
        <v>2.0</v>
      </c>
      <c r="H432" s="15">
        <v>0.0</v>
      </c>
      <c r="I432" s="16" t="str">
        <f t="shared" si="1"/>
        <v>1-12</v>
      </c>
      <c r="J432" s="16" t="str">
        <f t="shared" si="2"/>
        <v>1-12</v>
      </c>
      <c r="K432" s="16" t="str">
        <f t="shared" si="3"/>
        <v>1-12</v>
      </c>
      <c r="L432" s="16" t="str">
        <f t="shared" si="4"/>
        <v>1-12</v>
      </c>
      <c r="M432" s="16" t="str">
        <f t="shared" si="5"/>
        <v>1-12</v>
      </c>
      <c r="N432" s="16" t="str">
        <f t="shared" si="6"/>
        <v>0</v>
      </c>
      <c r="O432" s="17"/>
      <c r="P432" s="17"/>
      <c r="Q432" s="17"/>
      <c r="R432" s="17"/>
      <c r="S432" s="17"/>
      <c r="T432" s="17"/>
      <c r="U432" s="17"/>
      <c r="V432" s="17"/>
      <c r="W432" s="17"/>
    </row>
    <row r="433" ht="15.75" customHeight="1">
      <c r="A433" s="9" t="s">
        <v>872</v>
      </c>
      <c r="B433" s="10" t="s">
        <v>105</v>
      </c>
      <c r="C433" s="11" t="s">
        <v>106</v>
      </c>
      <c r="D433" s="22" t="s">
        <v>865</v>
      </c>
      <c r="E433" s="13" t="str">
        <f t="array" ref="E433">INDEX(Turmas!C2:C103,MATCH(D433,Turmas!A2:A103,0))</f>
        <v>Noite</v>
      </c>
      <c r="F433" s="14">
        <v>10.0</v>
      </c>
      <c r="G433" s="15">
        <v>2.0</v>
      </c>
      <c r="H433" s="15">
        <v>0.0</v>
      </c>
      <c r="I433" s="16" t="str">
        <f t="shared" si="1"/>
        <v>1-12</v>
      </c>
      <c r="J433" s="16" t="str">
        <f t="shared" si="2"/>
        <v>1-12</v>
      </c>
      <c r="K433" s="16" t="str">
        <f t="shared" si="3"/>
        <v>1-12</v>
      </c>
      <c r="L433" s="16" t="str">
        <f t="shared" si="4"/>
        <v>1-12</v>
      </c>
      <c r="M433" s="16" t="str">
        <f t="shared" si="5"/>
        <v>1-12</v>
      </c>
      <c r="N433" s="16" t="str">
        <f t="shared" si="6"/>
        <v>0</v>
      </c>
      <c r="O433" s="17"/>
      <c r="P433" s="17"/>
      <c r="Q433" s="17"/>
      <c r="R433" s="17"/>
      <c r="S433" s="17"/>
      <c r="T433" s="17"/>
      <c r="U433" s="17"/>
      <c r="V433" s="17"/>
      <c r="W433" s="17"/>
    </row>
    <row r="434" ht="15.75" customHeight="1">
      <c r="A434" s="9" t="s">
        <v>873</v>
      </c>
      <c r="B434" s="10" t="s">
        <v>874</v>
      </c>
      <c r="C434" s="11" t="s">
        <v>645</v>
      </c>
      <c r="D434" s="22" t="s">
        <v>875</v>
      </c>
      <c r="E434" s="13" t="str">
        <f t="array" ref="E434">INDEX(Turmas!C2:C103,MATCH(D434,Turmas!A2:A103,0))</f>
        <v>Noite</v>
      </c>
      <c r="F434" s="14">
        <v>50.0</v>
      </c>
      <c r="G434" s="15">
        <v>2.0</v>
      </c>
      <c r="H434" s="15">
        <v>0.0</v>
      </c>
      <c r="I434" s="16" t="str">
        <f t="shared" si="1"/>
        <v>1-12</v>
      </c>
      <c r="J434" s="16" t="str">
        <f t="shared" si="2"/>
        <v>1-12</v>
      </c>
      <c r="K434" s="16" t="str">
        <f t="shared" si="3"/>
        <v>1-12</v>
      </c>
      <c r="L434" s="16" t="str">
        <f t="shared" si="4"/>
        <v>1-12</v>
      </c>
      <c r="M434" s="16" t="str">
        <f t="shared" si="5"/>
        <v>1-12</v>
      </c>
      <c r="N434" s="16" t="str">
        <f t="shared" si="6"/>
        <v>0</v>
      </c>
      <c r="O434" s="17"/>
      <c r="P434" s="17"/>
      <c r="Q434" s="17"/>
      <c r="R434" s="17"/>
      <c r="S434" s="17"/>
      <c r="T434" s="17"/>
      <c r="U434" s="17"/>
      <c r="V434" s="17"/>
      <c r="W434" s="17"/>
    </row>
    <row r="435" ht="15.75" customHeight="1">
      <c r="A435" s="9" t="s">
        <v>876</v>
      </c>
      <c r="B435" s="10" t="s">
        <v>877</v>
      </c>
      <c r="C435" s="11" t="s">
        <v>670</v>
      </c>
      <c r="D435" s="22" t="s">
        <v>875</v>
      </c>
      <c r="E435" s="13" t="str">
        <f t="array" ref="E435">INDEX(Turmas!C2:C103,MATCH(D435,Turmas!A2:A103,0))</f>
        <v>Noite</v>
      </c>
      <c r="F435" s="14">
        <v>50.0</v>
      </c>
      <c r="G435" s="15">
        <v>6.0</v>
      </c>
      <c r="H435" s="15">
        <v>0.0</v>
      </c>
      <c r="I435" s="16" t="str">
        <f t="shared" si="1"/>
        <v>1-12</v>
      </c>
      <c r="J435" s="16" t="str">
        <f t="shared" si="2"/>
        <v>1-12</v>
      </c>
      <c r="K435" s="16" t="str">
        <f t="shared" si="3"/>
        <v>1-12</v>
      </c>
      <c r="L435" s="16" t="str">
        <f t="shared" si="4"/>
        <v>1-12</v>
      </c>
      <c r="M435" s="16" t="str">
        <f t="shared" si="5"/>
        <v>1-12</v>
      </c>
      <c r="N435" s="16" t="str">
        <f t="shared" si="6"/>
        <v>0</v>
      </c>
      <c r="O435" s="17"/>
      <c r="P435" s="17"/>
      <c r="Q435" s="17"/>
      <c r="R435" s="17"/>
      <c r="S435" s="17"/>
      <c r="T435" s="17"/>
      <c r="U435" s="17"/>
      <c r="V435" s="17"/>
      <c r="W435" s="17"/>
    </row>
    <row r="436" ht="15.75" customHeight="1">
      <c r="A436" s="9" t="s">
        <v>878</v>
      </c>
      <c r="B436" s="10" t="s">
        <v>879</v>
      </c>
      <c r="C436" s="11" t="s">
        <v>149</v>
      </c>
      <c r="D436" s="22" t="s">
        <v>875</v>
      </c>
      <c r="E436" s="13" t="str">
        <f t="array" ref="E436">INDEX(Turmas!C2:C103,MATCH(D436,Turmas!A2:A103,0))</f>
        <v>Noite</v>
      </c>
      <c r="F436" s="14">
        <v>50.0</v>
      </c>
      <c r="G436" s="15">
        <v>2.0</v>
      </c>
      <c r="H436" s="15">
        <v>0.0</v>
      </c>
      <c r="I436" s="16" t="str">
        <f t="shared" si="1"/>
        <v>1-12</v>
      </c>
      <c r="J436" s="16" t="str">
        <f t="shared" si="2"/>
        <v>1-12</v>
      </c>
      <c r="K436" s="16" t="str">
        <f t="shared" si="3"/>
        <v>1-12</v>
      </c>
      <c r="L436" s="16" t="str">
        <f t="shared" si="4"/>
        <v>1-12</v>
      </c>
      <c r="M436" s="16" t="str">
        <f t="shared" si="5"/>
        <v>1-12</v>
      </c>
      <c r="N436" s="16" t="str">
        <f t="shared" si="6"/>
        <v>0</v>
      </c>
      <c r="O436" s="17"/>
      <c r="P436" s="17"/>
      <c r="Q436" s="17"/>
      <c r="R436" s="17"/>
      <c r="S436" s="17"/>
      <c r="T436" s="17"/>
      <c r="U436" s="17"/>
      <c r="V436" s="17"/>
      <c r="W436" s="17"/>
    </row>
    <row r="437" ht="15.75" customHeight="1">
      <c r="A437" s="9" t="s">
        <v>880</v>
      </c>
      <c r="B437" s="10" t="s">
        <v>881</v>
      </c>
      <c r="C437" s="11" t="s">
        <v>662</v>
      </c>
      <c r="D437" s="22" t="s">
        <v>875</v>
      </c>
      <c r="E437" s="13" t="str">
        <f t="array" ref="E437">INDEX(Turmas!C2:C103,MATCH(D437,Turmas!A2:A103,0))</f>
        <v>Noite</v>
      </c>
      <c r="F437" s="14">
        <v>50.0</v>
      </c>
      <c r="G437" s="15">
        <v>4.0</v>
      </c>
      <c r="H437" s="15">
        <v>0.0</v>
      </c>
      <c r="I437" s="16" t="str">
        <f t="shared" si="1"/>
        <v>1-12</v>
      </c>
      <c r="J437" s="16" t="str">
        <f t="shared" si="2"/>
        <v>1-12</v>
      </c>
      <c r="K437" s="16" t="str">
        <f t="shared" si="3"/>
        <v>1-12</v>
      </c>
      <c r="L437" s="16" t="str">
        <f t="shared" si="4"/>
        <v>1-12</v>
      </c>
      <c r="M437" s="16" t="str">
        <f t="shared" si="5"/>
        <v>1-12</v>
      </c>
      <c r="N437" s="16" t="str">
        <f t="shared" si="6"/>
        <v>0</v>
      </c>
      <c r="O437" s="17"/>
      <c r="P437" s="17"/>
      <c r="Q437" s="17"/>
      <c r="R437" s="17"/>
      <c r="S437" s="17"/>
      <c r="T437" s="17"/>
      <c r="U437" s="17"/>
      <c r="V437" s="17"/>
      <c r="W437" s="17"/>
    </row>
    <row r="438" ht="15.75" customHeight="1">
      <c r="A438" s="9" t="s">
        <v>882</v>
      </c>
      <c r="B438" s="10" t="s">
        <v>883</v>
      </c>
      <c r="C438" s="11" t="s">
        <v>622</v>
      </c>
      <c r="D438" s="22" t="s">
        <v>875</v>
      </c>
      <c r="E438" s="13" t="str">
        <f t="array" ref="E438">INDEX(Turmas!C2:C103,MATCH(D438,Turmas!A2:A103,0))</f>
        <v>Noite</v>
      </c>
      <c r="F438" s="14">
        <v>50.0</v>
      </c>
      <c r="G438" s="15">
        <v>6.0</v>
      </c>
      <c r="H438" s="15">
        <v>0.0</v>
      </c>
      <c r="I438" s="16" t="str">
        <f t="shared" si="1"/>
        <v>1-12</v>
      </c>
      <c r="J438" s="16" t="str">
        <f t="shared" si="2"/>
        <v>1-12</v>
      </c>
      <c r="K438" s="16" t="str">
        <f t="shared" si="3"/>
        <v>1-12</v>
      </c>
      <c r="L438" s="16" t="str">
        <f t="shared" si="4"/>
        <v>1-12</v>
      </c>
      <c r="M438" s="16" t="str">
        <f t="shared" si="5"/>
        <v>1-12</v>
      </c>
      <c r="N438" s="16" t="str">
        <f t="shared" si="6"/>
        <v>0</v>
      </c>
      <c r="O438" s="17"/>
      <c r="P438" s="17"/>
      <c r="Q438" s="17"/>
      <c r="R438" s="17"/>
      <c r="S438" s="17"/>
      <c r="T438" s="17"/>
      <c r="U438" s="17"/>
      <c r="V438" s="17"/>
      <c r="W438" s="17"/>
    </row>
    <row r="439" ht="15.75" customHeight="1">
      <c r="A439" s="9" t="s">
        <v>884</v>
      </c>
      <c r="B439" s="10" t="s">
        <v>885</v>
      </c>
      <c r="C439" s="11" t="s">
        <v>640</v>
      </c>
      <c r="D439" s="22" t="s">
        <v>886</v>
      </c>
      <c r="E439" s="13" t="str">
        <f t="array" ref="E439">INDEX(Turmas!C2:C103,MATCH(D439,Turmas!A2:A103,0))</f>
        <v>Noite</v>
      </c>
      <c r="F439" s="14">
        <v>60.0</v>
      </c>
      <c r="G439" s="15">
        <v>2.0</v>
      </c>
      <c r="H439" s="15">
        <v>0.0</v>
      </c>
      <c r="I439" s="16" t="str">
        <f t="shared" si="1"/>
        <v>1-12</v>
      </c>
      <c r="J439" s="16" t="str">
        <f t="shared" si="2"/>
        <v>1-12</v>
      </c>
      <c r="K439" s="16" t="str">
        <f t="shared" si="3"/>
        <v>1-12</v>
      </c>
      <c r="L439" s="16" t="str">
        <f t="shared" si="4"/>
        <v>1-12</v>
      </c>
      <c r="M439" s="16" t="str">
        <f t="shared" si="5"/>
        <v>1-12</v>
      </c>
      <c r="N439" s="16" t="str">
        <f t="shared" si="6"/>
        <v>0</v>
      </c>
      <c r="O439" s="17"/>
      <c r="P439" s="17"/>
      <c r="Q439" s="17"/>
      <c r="R439" s="17"/>
      <c r="S439" s="17"/>
      <c r="T439" s="17"/>
      <c r="U439" s="17"/>
      <c r="V439" s="17"/>
      <c r="W439" s="17"/>
    </row>
    <row r="440" ht="15.75" customHeight="1">
      <c r="A440" s="9" t="s">
        <v>887</v>
      </c>
      <c r="B440" s="10" t="s">
        <v>888</v>
      </c>
      <c r="C440" s="11" t="s">
        <v>662</v>
      </c>
      <c r="D440" s="22" t="s">
        <v>886</v>
      </c>
      <c r="E440" s="13" t="str">
        <f t="array" ref="E440">INDEX(Turmas!C2:C103,MATCH(D440,Turmas!A2:A103,0))</f>
        <v>Noite</v>
      </c>
      <c r="F440" s="14">
        <v>60.0</v>
      </c>
      <c r="G440" s="15">
        <v>4.0</v>
      </c>
      <c r="H440" s="15">
        <v>0.0</v>
      </c>
      <c r="I440" s="16" t="str">
        <f t="shared" si="1"/>
        <v>1-12</v>
      </c>
      <c r="J440" s="16" t="str">
        <f t="shared" si="2"/>
        <v>1-12</v>
      </c>
      <c r="K440" s="16" t="str">
        <f t="shared" si="3"/>
        <v>1-12</v>
      </c>
      <c r="L440" s="16" t="str">
        <f t="shared" si="4"/>
        <v>1-12</v>
      </c>
      <c r="M440" s="16" t="str">
        <f t="shared" si="5"/>
        <v>1-12</v>
      </c>
      <c r="N440" s="16" t="str">
        <f t="shared" si="6"/>
        <v>0</v>
      </c>
      <c r="O440" s="17"/>
      <c r="P440" s="17"/>
      <c r="Q440" s="17"/>
      <c r="R440" s="17"/>
      <c r="S440" s="17"/>
      <c r="T440" s="17"/>
      <c r="U440" s="17"/>
      <c r="V440" s="17"/>
      <c r="W440" s="17"/>
    </row>
    <row r="441" ht="15.75" customHeight="1">
      <c r="A441" s="9" t="s">
        <v>889</v>
      </c>
      <c r="B441" s="10" t="s">
        <v>890</v>
      </c>
      <c r="C441" s="11" t="s">
        <v>670</v>
      </c>
      <c r="D441" s="22" t="s">
        <v>886</v>
      </c>
      <c r="E441" s="13" t="str">
        <f t="array" ref="E441">INDEX(Turmas!C2:C103,MATCH(D441,Turmas!A2:A103,0))</f>
        <v>Noite</v>
      </c>
      <c r="F441" s="14">
        <v>60.0</v>
      </c>
      <c r="G441" s="15">
        <v>4.0</v>
      </c>
      <c r="H441" s="15">
        <v>0.0</v>
      </c>
      <c r="I441" s="16" t="str">
        <f t="shared" si="1"/>
        <v>1-12</v>
      </c>
      <c r="J441" s="16" t="str">
        <f t="shared" si="2"/>
        <v>1-12</v>
      </c>
      <c r="K441" s="16" t="str">
        <f t="shared" si="3"/>
        <v>1-12</v>
      </c>
      <c r="L441" s="16" t="str">
        <f t="shared" si="4"/>
        <v>1-12</v>
      </c>
      <c r="M441" s="16" t="str">
        <f t="shared" si="5"/>
        <v>1-12</v>
      </c>
      <c r="N441" s="16" t="str">
        <f t="shared" si="6"/>
        <v>0</v>
      </c>
      <c r="O441" s="17"/>
      <c r="P441" s="17"/>
      <c r="Q441" s="17"/>
      <c r="R441" s="17"/>
      <c r="S441" s="17"/>
      <c r="T441" s="17"/>
      <c r="U441" s="17"/>
      <c r="V441" s="17"/>
      <c r="W441" s="17"/>
    </row>
    <row r="442" ht="15.75" customHeight="1">
      <c r="A442" s="9" t="s">
        <v>891</v>
      </c>
      <c r="B442" s="10" t="s">
        <v>892</v>
      </c>
      <c r="C442" s="11" t="s">
        <v>622</v>
      </c>
      <c r="D442" s="22" t="s">
        <v>886</v>
      </c>
      <c r="E442" s="13" t="str">
        <f t="array" ref="E442">INDEX(Turmas!C2:C103,MATCH(D442,Turmas!A2:A103,0))</f>
        <v>Noite</v>
      </c>
      <c r="F442" s="14">
        <v>60.0</v>
      </c>
      <c r="G442" s="15">
        <v>4.0</v>
      </c>
      <c r="H442" s="15">
        <v>0.0</v>
      </c>
      <c r="I442" s="16" t="str">
        <f t="shared" si="1"/>
        <v>1-12</v>
      </c>
      <c r="J442" s="16" t="str">
        <f t="shared" si="2"/>
        <v>1-12</v>
      </c>
      <c r="K442" s="16" t="str">
        <f t="shared" si="3"/>
        <v>1-12</v>
      </c>
      <c r="L442" s="16" t="str">
        <f t="shared" si="4"/>
        <v>1-12</v>
      </c>
      <c r="M442" s="16" t="str">
        <f t="shared" si="5"/>
        <v>1-12</v>
      </c>
      <c r="N442" s="16" t="str">
        <f t="shared" si="6"/>
        <v>0</v>
      </c>
      <c r="O442" s="17"/>
      <c r="P442" s="17"/>
      <c r="Q442" s="17"/>
      <c r="R442" s="17"/>
      <c r="S442" s="17"/>
      <c r="T442" s="17"/>
      <c r="U442" s="17"/>
      <c r="V442" s="17"/>
      <c r="W442" s="17"/>
    </row>
    <row r="443" ht="15.75" customHeight="1">
      <c r="A443" s="9" t="s">
        <v>893</v>
      </c>
      <c r="B443" s="10" t="s">
        <v>894</v>
      </c>
      <c r="C443" s="11" t="s">
        <v>103</v>
      </c>
      <c r="D443" s="22" t="s">
        <v>886</v>
      </c>
      <c r="E443" s="13" t="str">
        <f t="array" ref="E443">INDEX(Turmas!C2:C103,MATCH(D443,Turmas!A2:A103,0))</f>
        <v>Noite</v>
      </c>
      <c r="F443" s="14">
        <v>60.0</v>
      </c>
      <c r="G443" s="15">
        <v>2.0</v>
      </c>
      <c r="H443" s="15">
        <v>0.0</v>
      </c>
      <c r="I443" s="16" t="str">
        <f t="shared" si="1"/>
        <v>1-12</v>
      </c>
      <c r="J443" s="16" t="str">
        <f t="shared" si="2"/>
        <v>1-12</v>
      </c>
      <c r="K443" s="16" t="str">
        <f t="shared" si="3"/>
        <v>1-12</v>
      </c>
      <c r="L443" s="16" t="str">
        <f t="shared" si="4"/>
        <v>1-12</v>
      </c>
      <c r="M443" s="16" t="str">
        <f t="shared" si="5"/>
        <v>1-12</v>
      </c>
      <c r="N443" s="16" t="str">
        <f t="shared" si="6"/>
        <v>0</v>
      </c>
      <c r="O443" s="17"/>
      <c r="P443" s="17"/>
      <c r="Q443" s="17"/>
      <c r="R443" s="17"/>
      <c r="S443" s="17"/>
      <c r="T443" s="17"/>
      <c r="U443" s="17"/>
      <c r="V443" s="17"/>
      <c r="W443" s="17"/>
    </row>
    <row r="444" ht="15.75" customHeight="1">
      <c r="A444" s="9" t="s">
        <v>895</v>
      </c>
      <c r="B444" s="10" t="s">
        <v>896</v>
      </c>
      <c r="C444" s="11" t="s">
        <v>635</v>
      </c>
      <c r="D444" s="22" t="s">
        <v>886</v>
      </c>
      <c r="E444" s="13" t="str">
        <f t="array" ref="E444">INDEX(Turmas!C2:C103,MATCH(D444,Turmas!A2:A103,0))</f>
        <v>Noite</v>
      </c>
      <c r="F444" s="14">
        <v>60.0</v>
      </c>
      <c r="G444" s="15">
        <v>4.0</v>
      </c>
      <c r="H444" s="15">
        <v>0.0</v>
      </c>
      <c r="I444" s="16" t="str">
        <f t="shared" si="1"/>
        <v>1-12</v>
      </c>
      <c r="J444" s="16" t="str">
        <f t="shared" si="2"/>
        <v>1-12</v>
      </c>
      <c r="K444" s="16" t="str">
        <f t="shared" si="3"/>
        <v>1-12</v>
      </c>
      <c r="L444" s="16" t="str">
        <f t="shared" si="4"/>
        <v>1-12</v>
      </c>
      <c r="M444" s="16" t="str">
        <f t="shared" si="5"/>
        <v>1-12</v>
      </c>
      <c r="N444" s="16" t="str">
        <f t="shared" si="6"/>
        <v>0</v>
      </c>
      <c r="O444" s="17"/>
      <c r="P444" s="17"/>
      <c r="Q444" s="17"/>
      <c r="R444" s="17"/>
      <c r="S444" s="17"/>
      <c r="T444" s="17"/>
      <c r="U444" s="17"/>
      <c r="V444" s="17"/>
      <c r="W444" s="17"/>
    </row>
    <row r="445" ht="15.75" customHeight="1">
      <c r="A445" s="9" t="s">
        <v>43</v>
      </c>
      <c r="B445" s="10" t="s">
        <v>44</v>
      </c>
      <c r="C445" s="11" t="s">
        <v>750</v>
      </c>
      <c r="D445" s="22" t="s">
        <v>897</v>
      </c>
      <c r="E445" s="13" t="str">
        <f t="array" ref="E445">INDEX(Turmas!C2:C103,MATCH(D445,Turmas!A2:A103,0))</f>
        <v>Noite</v>
      </c>
      <c r="F445" s="14">
        <v>50.0</v>
      </c>
      <c r="G445" s="15">
        <v>4.0</v>
      </c>
      <c r="H445" s="15">
        <v>0.0</v>
      </c>
      <c r="I445" s="16" t="str">
        <f t="shared" si="1"/>
        <v>1-12</v>
      </c>
      <c r="J445" s="16" t="str">
        <f t="shared" si="2"/>
        <v>1-12</v>
      </c>
      <c r="K445" s="16" t="str">
        <f t="shared" si="3"/>
        <v>1-12</v>
      </c>
      <c r="L445" s="16" t="str">
        <f t="shared" si="4"/>
        <v>1-12</v>
      </c>
      <c r="M445" s="16" t="str">
        <f t="shared" si="5"/>
        <v>1-12</v>
      </c>
      <c r="N445" s="16" t="str">
        <f t="shared" si="6"/>
        <v>0</v>
      </c>
      <c r="O445" s="17"/>
      <c r="P445" s="17"/>
      <c r="Q445" s="17"/>
      <c r="R445" s="17"/>
      <c r="S445" s="17"/>
      <c r="T445" s="17"/>
      <c r="U445" s="17"/>
      <c r="V445" s="17"/>
      <c r="W445" s="17"/>
    </row>
    <row r="446" ht="15.75" customHeight="1">
      <c r="A446" s="9" t="s">
        <v>898</v>
      </c>
      <c r="B446" s="10" t="s">
        <v>899</v>
      </c>
      <c r="C446" s="11" t="s">
        <v>670</v>
      </c>
      <c r="D446" s="22" t="s">
        <v>897</v>
      </c>
      <c r="E446" s="13" t="str">
        <f t="array" ref="E446">INDEX(Turmas!C2:C103,MATCH(D446,Turmas!A2:A103,0))</f>
        <v>Noite</v>
      </c>
      <c r="F446" s="14">
        <v>50.0</v>
      </c>
      <c r="G446" s="15">
        <v>2.0</v>
      </c>
      <c r="H446" s="15">
        <v>0.0</v>
      </c>
      <c r="I446" s="16" t="str">
        <f t="shared" si="1"/>
        <v>1-12</v>
      </c>
      <c r="J446" s="16" t="str">
        <f t="shared" si="2"/>
        <v>1-12</v>
      </c>
      <c r="K446" s="16" t="str">
        <f t="shared" si="3"/>
        <v>1-12</v>
      </c>
      <c r="L446" s="16" t="str">
        <f t="shared" si="4"/>
        <v>1-12</v>
      </c>
      <c r="M446" s="16" t="str">
        <f t="shared" si="5"/>
        <v>1-12</v>
      </c>
      <c r="N446" s="16" t="str">
        <f t="shared" si="6"/>
        <v>0</v>
      </c>
      <c r="O446" s="17"/>
      <c r="P446" s="17"/>
      <c r="Q446" s="17"/>
      <c r="R446" s="17"/>
      <c r="S446" s="17"/>
      <c r="T446" s="17"/>
      <c r="U446" s="17"/>
      <c r="V446" s="17"/>
      <c r="W446" s="17"/>
    </row>
    <row r="447" ht="15.75" customHeight="1">
      <c r="A447" s="9" t="s">
        <v>900</v>
      </c>
      <c r="B447" s="10" t="s">
        <v>901</v>
      </c>
      <c r="C447" s="11" t="s">
        <v>57</v>
      </c>
      <c r="D447" s="22" t="s">
        <v>897</v>
      </c>
      <c r="E447" s="13" t="str">
        <f t="array" ref="E447">INDEX(Turmas!C2:C103,MATCH(D447,Turmas!A2:A103,0))</f>
        <v>Noite</v>
      </c>
      <c r="F447" s="14">
        <v>50.0</v>
      </c>
      <c r="G447" s="15">
        <v>2.0</v>
      </c>
      <c r="H447" s="15">
        <v>0.0</v>
      </c>
      <c r="I447" s="16" t="str">
        <f t="shared" si="1"/>
        <v>1-12</v>
      </c>
      <c r="J447" s="16" t="str">
        <f t="shared" si="2"/>
        <v>1-12</v>
      </c>
      <c r="K447" s="16" t="str">
        <f t="shared" si="3"/>
        <v>1-12</v>
      </c>
      <c r="L447" s="16" t="str">
        <f t="shared" si="4"/>
        <v>1-12</v>
      </c>
      <c r="M447" s="16" t="str">
        <f t="shared" si="5"/>
        <v>1-12</v>
      </c>
      <c r="N447" s="16" t="str">
        <f t="shared" si="6"/>
        <v>0</v>
      </c>
      <c r="O447" s="17"/>
      <c r="P447" s="17"/>
      <c r="Q447" s="17"/>
      <c r="R447" s="17"/>
      <c r="S447" s="17"/>
      <c r="T447" s="17"/>
      <c r="U447" s="17"/>
      <c r="V447" s="17"/>
      <c r="W447" s="17"/>
    </row>
    <row r="448" ht="15.75" customHeight="1">
      <c r="A448" s="9" t="s">
        <v>902</v>
      </c>
      <c r="B448" s="10" t="s">
        <v>903</v>
      </c>
      <c r="C448" s="11" t="s">
        <v>640</v>
      </c>
      <c r="D448" s="22" t="s">
        <v>897</v>
      </c>
      <c r="E448" s="13" t="str">
        <f t="array" ref="E448">INDEX(Turmas!C2:C103,MATCH(D448,Turmas!A2:A103,0))</f>
        <v>Noite</v>
      </c>
      <c r="F448" s="14">
        <v>50.0</v>
      </c>
      <c r="G448" s="15">
        <v>4.0</v>
      </c>
      <c r="H448" s="15">
        <v>0.0</v>
      </c>
      <c r="I448" s="16" t="str">
        <f t="shared" si="1"/>
        <v>1-12</v>
      </c>
      <c r="J448" s="16" t="str">
        <f t="shared" si="2"/>
        <v>1-12</v>
      </c>
      <c r="K448" s="16" t="str">
        <f t="shared" si="3"/>
        <v>1-12</v>
      </c>
      <c r="L448" s="16" t="str">
        <f t="shared" si="4"/>
        <v>1-12</v>
      </c>
      <c r="M448" s="16" t="str">
        <f t="shared" si="5"/>
        <v>1-12</v>
      </c>
      <c r="N448" s="16" t="str">
        <f t="shared" si="6"/>
        <v>0</v>
      </c>
      <c r="O448" s="17"/>
      <c r="P448" s="17"/>
      <c r="Q448" s="17"/>
      <c r="R448" s="17"/>
      <c r="S448" s="17"/>
      <c r="T448" s="17"/>
      <c r="U448" s="17"/>
      <c r="V448" s="17"/>
      <c r="W448" s="17"/>
    </row>
    <row r="449" ht="15.75" customHeight="1">
      <c r="A449" s="9" t="s">
        <v>904</v>
      </c>
      <c r="B449" s="10" t="s">
        <v>644</v>
      </c>
      <c r="C449" s="11" t="s">
        <v>662</v>
      </c>
      <c r="D449" s="22" t="s">
        <v>897</v>
      </c>
      <c r="E449" s="13" t="str">
        <f t="array" ref="E449">INDEX(Turmas!C2:C103,MATCH(D449,Turmas!A2:A103,0))</f>
        <v>Noite</v>
      </c>
      <c r="F449" s="14">
        <v>50.0</v>
      </c>
      <c r="G449" s="15">
        <v>4.0</v>
      </c>
      <c r="H449" s="15">
        <v>0.0</v>
      </c>
      <c r="I449" s="16" t="str">
        <f t="shared" si="1"/>
        <v>1-12</v>
      </c>
      <c r="J449" s="16" t="str">
        <f t="shared" si="2"/>
        <v>1-12</v>
      </c>
      <c r="K449" s="16" t="str">
        <f t="shared" si="3"/>
        <v>1-12</v>
      </c>
      <c r="L449" s="16" t="str">
        <f t="shared" si="4"/>
        <v>1-12</v>
      </c>
      <c r="M449" s="16" t="str">
        <f t="shared" si="5"/>
        <v>1-12</v>
      </c>
      <c r="N449" s="16" t="str">
        <f t="shared" si="6"/>
        <v>0</v>
      </c>
      <c r="O449" s="17"/>
      <c r="P449" s="17"/>
      <c r="Q449" s="17"/>
      <c r="R449" s="17"/>
      <c r="S449" s="17"/>
      <c r="T449" s="17"/>
      <c r="U449" s="17"/>
      <c r="V449" s="17"/>
      <c r="W449" s="17"/>
    </row>
    <row r="450" ht="15.75" customHeight="1">
      <c r="A450" s="9" t="s">
        <v>905</v>
      </c>
      <c r="B450" s="10" t="s">
        <v>906</v>
      </c>
      <c r="C450" s="11" t="s">
        <v>635</v>
      </c>
      <c r="D450" s="22" t="s">
        <v>897</v>
      </c>
      <c r="E450" s="13" t="str">
        <f t="array" ref="E450">INDEX(Turmas!C2:C103,MATCH(D450,Turmas!A2:A103,0))</f>
        <v>Noite</v>
      </c>
      <c r="F450" s="14">
        <v>50.0</v>
      </c>
      <c r="G450" s="15">
        <v>4.0</v>
      </c>
      <c r="H450" s="15">
        <v>0.0</v>
      </c>
      <c r="I450" s="16" t="str">
        <f t="shared" si="1"/>
        <v>1-12</v>
      </c>
      <c r="J450" s="16" t="str">
        <f t="shared" si="2"/>
        <v>1-12</v>
      </c>
      <c r="K450" s="16" t="str">
        <f t="shared" si="3"/>
        <v>1-12</v>
      </c>
      <c r="L450" s="16" t="str">
        <f t="shared" si="4"/>
        <v>1-12</v>
      </c>
      <c r="M450" s="16" t="str">
        <f t="shared" si="5"/>
        <v>1-12</v>
      </c>
      <c r="N450" s="16" t="str">
        <f t="shared" si="6"/>
        <v>0</v>
      </c>
      <c r="O450" s="17"/>
      <c r="P450" s="17"/>
      <c r="Q450" s="17"/>
      <c r="R450" s="17"/>
      <c r="S450" s="17"/>
      <c r="T450" s="17"/>
      <c r="U450" s="17"/>
      <c r="V450" s="17"/>
      <c r="W450" s="17"/>
    </row>
    <row r="451" ht="15.75" customHeight="1">
      <c r="A451" s="9" t="s">
        <v>907</v>
      </c>
      <c r="B451" s="10" t="s">
        <v>908</v>
      </c>
      <c r="C451" s="11" t="s">
        <v>653</v>
      </c>
      <c r="D451" s="22" t="s">
        <v>909</v>
      </c>
      <c r="E451" s="13" t="str">
        <f t="array" ref="E451">INDEX(Turmas!C2:C103,MATCH(D451,Turmas!A2:A103,0))</f>
        <v>Noite</v>
      </c>
      <c r="F451" s="14">
        <v>50.0</v>
      </c>
      <c r="G451" s="15">
        <v>8.0</v>
      </c>
      <c r="H451" s="15">
        <v>0.0</v>
      </c>
      <c r="I451" s="16" t="str">
        <f t="shared" si="1"/>
        <v>1-12</v>
      </c>
      <c r="J451" s="16" t="str">
        <f t="shared" si="2"/>
        <v>1-12</v>
      </c>
      <c r="K451" s="16" t="str">
        <f t="shared" si="3"/>
        <v>1-12</v>
      </c>
      <c r="L451" s="16" t="str">
        <f t="shared" si="4"/>
        <v>1-12</v>
      </c>
      <c r="M451" s="16" t="str">
        <f t="shared" si="5"/>
        <v>1-12</v>
      </c>
      <c r="N451" s="16" t="str">
        <f t="shared" si="6"/>
        <v>0</v>
      </c>
      <c r="O451" s="17"/>
      <c r="P451" s="17"/>
      <c r="Q451" s="17"/>
      <c r="R451" s="17"/>
      <c r="S451" s="17"/>
      <c r="T451" s="17"/>
      <c r="U451" s="17"/>
      <c r="V451" s="17"/>
      <c r="W451" s="17"/>
    </row>
    <row r="452" ht="15.75" customHeight="1">
      <c r="A452" s="9" t="s">
        <v>910</v>
      </c>
      <c r="B452" s="10" t="s">
        <v>911</v>
      </c>
      <c r="C452" s="11" t="s">
        <v>619</v>
      </c>
      <c r="D452" s="22" t="s">
        <v>909</v>
      </c>
      <c r="E452" s="13" t="str">
        <f t="array" ref="E452">INDEX(Turmas!C2:C103,MATCH(D452,Turmas!A2:A103,0))</f>
        <v>Noite</v>
      </c>
      <c r="F452" s="14">
        <v>50.0</v>
      </c>
      <c r="G452" s="15">
        <v>4.0</v>
      </c>
      <c r="H452" s="15">
        <v>0.0</v>
      </c>
      <c r="I452" s="16" t="str">
        <f t="shared" si="1"/>
        <v>1-12</v>
      </c>
      <c r="J452" s="16" t="str">
        <f t="shared" si="2"/>
        <v>1-12</v>
      </c>
      <c r="K452" s="16" t="str">
        <f t="shared" si="3"/>
        <v>1-12</v>
      </c>
      <c r="L452" s="16" t="str">
        <f t="shared" si="4"/>
        <v>1-12</v>
      </c>
      <c r="M452" s="16" t="str">
        <f t="shared" si="5"/>
        <v>1-12</v>
      </c>
      <c r="N452" s="16" t="str">
        <f t="shared" si="6"/>
        <v>0</v>
      </c>
      <c r="O452" s="17"/>
      <c r="P452" s="17"/>
      <c r="Q452" s="17"/>
      <c r="R452" s="17"/>
      <c r="S452" s="17"/>
      <c r="T452" s="17"/>
      <c r="U452" s="17"/>
      <c r="V452" s="17"/>
      <c r="W452" s="17"/>
    </row>
    <row r="453" ht="15.75" customHeight="1">
      <c r="A453" s="9" t="s">
        <v>912</v>
      </c>
      <c r="B453" s="10" t="s">
        <v>913</v>
      </c>
      <c r="C453" s="11" t="s">
        <v>645</v>
      </c>
      <c r="D453" s="22" t="s">
        <v>909</v>
      </c>
      <c r="E453" s="13" t="str">
        <f t="array" ref="E453">INDEX(Turmas!C2:C103,MATCH(D453,Turmas!A2:A103,0))</f>
        <v>Noite</v>
      </c>
      <c r="F453" s="14">
        <v>50.0</v>
      </c>
      <c r="G453" s="15">
        <v>4.0</v>
      </c>
      <c r="H453" s="15">
        <v>0.0</v>
      </c>
      <c r="I453" s="16" t="str">
        <f t="shared" si="1"/>
        <v>1-12</v>
      </c>
      <c r="J453" s="16" t="str">
        <f t="shared" si="2"/>
        <v>1-12</v>
      </c>
      <c r="K453" s="16" t="str">
        <f t="shared" si="3"/>
        <v>1-12</v>
      </c>
      <c r="L453" s="16" t="str">
        <f t="shared" si="4"/>
        <v>1-12</v>
      </c>
      <c r="M453" s="16" t="str">
        <f t="shared" si="5"/>
        <v>1-12</v>
      </c>
      <c r="N453" s="16" t="str">
        <f t="shared" si="6"/>
        <v>0</v>
      </c>
      <c r="O453" s="17"/>
      <c r="P453" s="17"/>
      <c r="Q453" s="17"/>
      <c r="R453" s="17"/>
      <c r="S453" s="17"/>
      <c r="T453" s="17"/>
      <c r="U453" s="17"/>
      <c r="V453" s="17"/>
      <c r="W453" s="17"/>
    </row>
    <row r="454" ht="15.75" customHeight="1">
      <c r="A454" s="9" t="s">
        <v>77</v>
      </c>
      <c r="B454" s="10" t="s">
        <v>78</v>
      </c>
      <c r="C454" s="11" t="s">
        <v>50</v>
      </c>
      <c r="D454" s="22" t="s">
        <v>909</v>
      </c>
      <c r="E454" s="13" t="str">
        <f t="array" ref="E454">INDEX(Turmas!C2:C103,MATCH(D454,Turmas!A2:A103,0))</f>
        <v>Noite</v>
      </c>
      <c r="F454" s="14">
        <v>50.0</v>
      </c>
      <c r="G454" s="15">
        <v>4.0</v>
      </c>
      <c r="H454" s="15">
        <v>0.0</v>
      </c>
      <c r="I454" s="16" t="str">
        <f t="shared" si="1"/>
        <v>1-12</v>
      </c>
      <c r="J454" s="16" t="str">
        <f t="shared" si="2"/>
        <v>1-12</v>
      </c>
      <c r="K454" s="16" t="str">
        <f t="shared" si="3"/>
        <v>1-12</v>
      </c>
      <c r="L454" s="16" t="str">
        <f t="shared" si="4"/>
        <v>1-12</v>
      </c>
      <c r="M454" s="16" t="str">
        <f t="shared" si="5"/>
        <v>1-12</v>
      </c>
      <c r="N454" s="16" t="str">
        <f t="shared" si="6"/>
        <v>0</v>
      </c>
      <c r="O454" s="17"/>
      <c r="P454" s="17"/>
      <c r="Q454" s="17"/>
      <c r="R454" s="17"/>
      <c r="S454" s="17"/>
      <c r="T454" s="17"/>
      <c r="U454" s="17"/>
      <c r="V454" s="17"/>
      <c r="W454" s="17"/>
    </row>
    <row r="455" ht="15.75" customHeight="1">
      <c r="A455" s="9" t="s">
        <v>361</v>
      </c>
      <c r="B455" s="10" t="s">
        <v>199</v>
      </c>
      <c r="C455" s="11" t="s">
        <v>200</v>
      </c>
      <c r="D455" s="22" t="s">
        <v>914</v>
      </c>
      <c r="E455" s="13" t="str">
        <f t="array" ref="E455">INDEX(Turmas!C2:C103,MATCH(D455,Turmas!A2:A103,0))</f>
        <v>Noite</v>
      </c>
      <c r="F455" s="14">
        <v>60.0</v>
      </c>
      <c r="G455" s="15">
        <v>4.0</v>
      </c>
      <c r="H455" s="15">
        <v>0.0</v>
      </c>
      <c r="I455" s="16" t="str">
        <f t="shared" si="1"/>
        <v>1-12</v>
      </c>
      <c r="J455" s="16" t="str">
        <f t="shared" si="2"/>
        <v>1-12</v>
      </c>
      <c r="K455" s="16" t="str">
        <f t="shared" si="3"/>
        <v>1-12</v>
      </c>
      <c r="L455" s="16" t="str">
        <f t="shared" si="4"/>
        <v>1-12</v>
      </c>
      <c r="M455" s="16" t="str">
        <f t="shared" si="5"/>
        <v>1-12</v>
      </c>
      <c r="N455" s="16" t="str">
        <f t="shared" si="6"/>
        <v>0</v>
      </c>
      <c r="O455" s="17"/>
      <c r="P455" s="17"/>
      <c r="Q455" s="17"/>
      <c r="R455" s="17"/>
      <c r="S455" s="17"/>
      <c r="T455" s="17"/>
      <c r="U455" s="17"/>
      <c r="V455" s="17"/>
      <c r="W455" s="17"/>
    </row>
    <row r="456" ht="15.75" customHeight="1">
      <c r="A456" s="9" t="s">
        <v>915</v>
      </c>
      <c r="B456" s="10" t="s">
        <v>46</v>
      </c>
      <c r="C456" s="11" t="s">
        <v>149</v>
      </c>
      <c r="D456" s="22" t="s">
        <v>914</v>
      </c>
      <c r="E456" s="13" t="str">
        <f t="array" ref="E456">INDEX(Turmas!C2:C103,MATCH(D456,Turmas!A2:A103,0))</f>
        <v>Noite</v>
      </c>
      <c r="F456" s="14">
        <v>60.0</v>
      </c>
      <c r="G456" s="15">
        <v>4.0</v>
      </c>
      <c r="H456" s="15">
        <v>0.0</v>
      </c>
      <c r="I456" s="16" t="str">
        <f t="shared" si="1"/>
        <v>1-12</v>
      </c>
      <c r="J456" s="16" t="str">
        <f t="shared" si="2"/>
        <v>1-12</v>
      </c>
      <c r="K456" s="16" t="str">
        <f t="shared" si="3"/>
        <v>1-12</v>
      </c>
      <c r="L456" s="16" t="str">
        <f t="shared" si="4"/>
        <v>1-12</v>
      </c>
      <c r="M456" s="16" t="str">
        <f t="shared" si="5"/>
        <v>1-12</v>
      </c>
      <c r="N456" s="16" t="str">
        <f t="shared" si="6"/>
        <v>0</v>
      </c>
      <c r="O456" s="17"/>
      <c r="P456" s="17"/>
      <c r="Q456" s="17"/>
      <c r="R456" s="17"/>
      <c r="S456" s="17"/>
      <c r="T456" s="17"/>
      <c r="U456" s="17"/>
      <c r="V456" s="17"/>
      <c r="W456" s="17"/>
    </row>
    <row r="457" ht="15.75" customHeight="1">
      <c r="A457" s="9" t="s">
        <v>916</v>
      </c>
      <c r="B457" s="10" t="s">
        <v>917</v>
      </c>
      <c r="C457" s="11" t="s">
        <v>141</v>
      </c>
      <c r="D457" s="22" t="s">
        <v>914</v>
      </c>
      <c r="E457" s="13" t="str">
        <f t="array" ref="E457">INDEX(Turmas!C2:C103,MATCH(D457,Turmas!A2:A103,0))</f>
        <v>Noite</v>
      </c>
      <c r="F457" s="14">
        <v>60.0</v>
      </c>
      <c r="G457" s="15">
        <v>4.0</v>
      </c>
      <c r="H457" s="15">
        <v>0.0</v>
      </c>
      <c r="I457" s="16" t="str">
        <f t="shared" si="1"/>
        <v>1-12</v>
      </c>
      <c r="J457" s="16" t="str">
        <f t="shared" si="2"/>
        <v>1-12</v>
      </c>
      <c r="K457" s="16" t="str">
        <f t="shared" si="3"/>
        <v>1-12</v>
      </c>
      <c r="L457" s="16" t="str">
        <f t="shared" si="4"/>
        <v>1-12</v>
      </c>
      <c r="M457" s="16" t="str">
        <f t="shared" si="5"/>
        <v>1-12</v>
      </c>
      <c r="N457" s="16" t="str">
        <f t="shared" si="6"/>
        <v>0</v>
      </c>
      <c r="O457" s="17"/>
      <c r="P457" s="17"/>
      <c r="Q457" s="17"/>
      <c r="R457" s="17"/>
      <c r="S457" s="17"/>
      <c r="T457" s="17"/>
      <c r="U457" s="17"/>
      <c r="V457" s="17"/>
      <c r="W457" s="17"/>
    </row>
    <row r="458" ht="15.75" customHeight="1">
      <c r="A458" s="9" t="s">
        <v>918</v>
      </c>
      <c r="B458" s="10" t="s">
        <v>919</v>
      </c>
      <c r="C458" s="11" t="s">
        <v>378</v>
      </c>
      <c r="D458" s="22" t="s">
        <v>914</v>
      </c>
      <c r="E458" s="13" t="str">
        <f t="array" ref="E458">INDEX(Turmas!C2:C103,MATCH(D458,Turmas!A2:A103,0))</f>
        <v>Noite</v>
      </c>
      <c r="F458" s="14">
        <v>60.0</v>
      </c>
      <c r="G458" s="15">
        <v>4.0</v>
      </c>
      <c r="H458" s="15">
        <v>0.0</v>
      </c>
      <c r="I458" s="16" t="str">
        <f t="shared" si="1"/>
        <v>1-12</v>
      </c>
      <c r="J458" s="16" t="str">
        <f t="shared" si="2"/>
        <v>1-12</v>
      </c>
      <c r="K458" s="16" t="str">
        <f t="shared" si="3"/>
        <v>1-12</v>
      </c>
      <c r="L458" s="16" t="str">
        <f t="shared" si="4"/>
        <v>1-12</v>
      </c>
      <c r="M458" s="16" t="str">
        <f t="shared" si="5"/>
        <v>1-12</v>
      </c>
      <c r="N458" s="16" t="str">
        <f t="shared" si="6"/>
        <v>0</v>
      </c>
      <c r="O458" s="17"/>
      <c r="P458" s="17"/>
      <c r="Q458" s="17"/>
      <c r="R458" s="17"/>
      <c r="S458" s="17"/>
      <c r="T458" s="17"/>
      <c r="U458" s="17"/>
      <c r="V458" s="17"/>
      <c r="W458" s="17"/>
    </row>
    <row r="459" ht="15.75" customHeight="1">
      <c r="A459" s="9" t="s">
        <v>920</v>
      </c>
      <c r="B459" s="10" t="s">
        <v>921</v>
      </c>
      <c r="C459" s="11" t="s">
        <v>106</v>
      </c>
      <c r="D459" s="22" t="s">
        <v>914</v>
      </c>
      <c r="E459" s="13" t="str">
        <f t="array" ref="E459">INDEX(Turmas!C2:C103,MATCH(D459,Turmas!A2:A103,0))</f>
        <v>Noite</v>
      </c>
      <c r="F459" s="14">
        <v>60.0</v>
      </c>
      <c r="G459" s="15">
        <v>4.0</v>
      </c>
      <c r="H459" s="15">
        <v>0.0</v>
      </c>
      <c r="I459" s="16" t="str">
        <f t="shared" si="1"/>
        <v>1-12</v>
      </c>
      <c r="J459" s="16" t="str">
        <f t="shared" si="2"/>
        <v>1-12</v>
      </c>
      <c r="K459" s="16" t="str">
        <f t="shared" si="3"/>
        <v>1-12</v>
      </c>
      <c r="L459" s="16" t="str">
        <f t="shared" si="4"/>
        <v>1-12</v>
      </c>
      <c r="M459" s="16" t="str">
        <f t="shared" si="5"/>
        <v>1-12</v>
      </c>
      <c r="N459" s="16" t="str">
        <f t="shared" si="6"/>
        <v>0</v>
      </c>
      <c r="O459" s="17"/>
      <c r="P459" s="17"/>
      <c r="Q459" s="17"/>
      <c r="R459" s="17"/>
      <c r="S459" s="17"/>
      <c r="T459" s="17"/>
      <c r="U459" s="17"/>
      <c r="V459" s="17"/>
      <c r="W459" s="17"/>
    </row>
    <row r="460" ht="15.75" customHeight="1">
      <c r="A460" s="9" t="s">
        <v>922</v>
      </c>
      <c r="B460" s="10" t="s">
        <v>923</v>
      </c>
      <c r="C460" s="11" t="s">
        <v>365</v>
      </c>
      <c r="D460" s="22" t="s">
        <v>914</v>
      </c>
      <c r="E460" s="13" t="str">
        <f t="array" ref="E460">INDEX(Turmas!C2:C103,MATCH(D460,Turmas!A2:A103,0))</f>
        <v>Noite</v>
      </c>
      <c r="F460" s="14">
        <v>60.0</v>
      </c>
      <c r="G460" s="15">
        <v>3.0</v>
      </c>
      <c r="H460" s="15">
        <v>0.0</v>
      </c>
      <c r="I460" s="16" t="str">
        <f t="shared" si="1"/>
        <v>1-12</v>
      </c>
      <c r="J460" s="16" t="str">
        <f t="shared" si="2"/>
        <v>1-12</v>
      </c>
      <c r="K460" s="16" t="str">
        <f t="shared" si="3"/>
        <v>1-12</v>
      </c>
      <c r="L460" s="16" t="str">
        <f t="shared" si="4"/>
        <v>1-12</v>
      </c>
      <c r="M460" s="16" t="str">
        <f t="shared" si="5"/>
        <v>1-12</v>
      </c>
      <c r="N460" s="16" t="str">
        <f t="shared" si="6"/>
        <v>0</v>
      </c>
      <c r="O460" s="17"/>
      <c r="P460" s="17"/>
      <c r="Q460" s="17"/>
      <c r="R460" s="17"/>
      <c r="S460" s="17"/>
      <c r="T460" s="17"/>
      <c r="U460" s="17"/>
      <c r="V460" s="17"/>
      <c r="W460" s="17"/>
    </row>
    <row r="461" ht="15.75" customHeight="1">
      <c r="A461" s="9" t="s">
        <v>924</v>
      </c>
      <c r="B461" s="10" t="s">
        <v>925</v>
      </c>
      <c r="C461" s="11" t="s">
        <v>926</v>
      </c>
      <c r="D461" s="22" t="s">
        <v>914</v>
      </c>
      <c r="E461" s="13" t="str">
        <f t="array" ref="E461">INDEX(Turmas!C2:C103,MATCH(D461,Turmas!A2:A103,0))</f>
        <v>Noite</v>
      </c>
      <c r="F461" s="14">
        <v>60.0</v>
      </c>
      <c r="G461" s="15">
        <v>5.0</v>
      </c>
      <c r="H461" s="15">
        <v>0.0</v>
      </c>
      <c r="I461" s="16" t="str">
        <f t="shared" si="1"/>
        <v>1-12</v>
      </c>
      <c r="J461" s="16" t="str">
        <f t="shared" si="2"/>
        <v>1-12</v>
      </c>
      <c r="K461" s="16" t="str">
        <f t="shared" si="3"/>
        <v>1-12</v>
      </c>
      <c r="L461" s="16" t="str">
        <f t="shared" si="4"/>
        <v>1-12</v>
      </c>
      <c r="M461" s="16" t="str">
        <f t="shared" si="5"/>
        <v>1-12</v>
      </c>
      <c r="N461" s="16" t="str">
        <f t="shared" si="6"/>
        <v>0</v>
      </c>
      <c r="O461" s="17"/>
      <c r="P461" s="17"/>
      <c r="Q461" s="17"/>
      <c r="R461" s="17"/>
      <c r="S461" s="17"/>
      <c r="T461" s="17"/>
      <c r="U461" s="17"/>
      <c r="V461" s="17"/>
      <c r="W461" s="17"/>
    </row>
    <row r="462" ht="15.75" customHeight="1">
      <c r="A462" s="9" t="s">
        <v>927</v>
      </c>
      <c r="B462" s="10" t="s">
        <v>928</v>
      </c>
      <c r="C462" s="11" t="s">
        <v>57</v>
      </c>
      <c r="D462" s="22" t="s">
        <v>929</v>
      </c>
      <c r="E462" s="13" t="str">
        <f t="array" ref="E462">INDEX(Turmas!C2:C103,MATCH(D462,Turmas!A2:A103,0))</f>
        <v>Noite</v>
      </c>
      <c r="F462" s="14">
        <v>60.0</v>
      </c>
      <c r="G462" s="15">
        <v>2.0</v>
      </c>
      <c r="H462" s="15">
        <v>0.0</v>
      </c>
      <c r="I462" s="16" t="str">
        <f t="shared" si="1"/>
        <v>1-12</v>
      </c>
      <c r="J462" s="16" t="str">
        <f t="shared" si="2"/>
        <v>1-12</v>
      </c>
      <c r="K462" s="16" t="str">
        <f t="shared" si="3"/>
        <v>1-12</v>
      </c>
      <c r="L462" s="16" t="str">
        <f t="shared" si="4"/>
        <v>1-12</v>
      </c>
      <c r="M462" s="16" t="str">
        <f t="shared" si="5"/>
        <v>1-12</v>
      </c>
      <c r="N462" s="16" t="str">
        <f t="shared" si="6"/>
        <v>0</v>
      </c>
      <c r="O462" s="17"/>
      <c r="P462" s="17"/>
      <c r="Q462" s="17"/>
      <c r="R462" s="17"/>
      <c r="S462" s="17"/>
      <c r="T462" s="17"/>
      <c r="U462" s="17"/>
      <c r="V462" s="17"/>
      <c r="W462" s="17"/>
    </row>
    <row r="463" ht="15.75" customHeight="1">
      <c r="A463" s="9" t="s">
        <v>930</v>
      </c>
      <c r="B463" s="19" t="s">
        <v>931</v>
      </c>
      <c r="C463" s="11" t="s">
        <v>141</v>
      </c>
      <c r="D463" s="12" t="s">
        <v>929</v>
      </c>
      <c r="E463" s="13" t="str">
        <f t="array" ref="E463">INDEX(Turmas!C2:C103,MATCH(D463,Turmas!A2:A103,0))</f>
        <v>Noite</v>
      </c>
      <c r="F463" s="20">
        <v>60.0</v>
      </c>
      <c r="G463" s="15">
        <v>4.0</v>
      </c>
      <c r="H463" s="15">
        <v>0.0</v>
      </c>
      <c r="I463" s="16" t="str">
        <f t="shared" si="1"/>
        <v>1-12</v>
      </c>
      <c r="J463" s="16" t="str">
        <f t="shared" si="2"/>
        <v>1-12</v>
      </c>
      <c r="K463" s="16" t="str">
        <f t="shared" si="3"/>
        <v>1-12</v>
      </c>
      <c r="L463" s="16" t="str">
        <f t="shared" si="4"/>
        <v>1-12</v>
      </c>
      <c r="M463" s="16" t="str">
        <f t="shared" si="5"/>
        <v>1-12</v>
      </c>
      <c r="N463" s="16" t="str">
        <f t="shared" si="6"/>
        <v>0</v>
      </c>
      <c r="O463" s="21"/>
      <c r="P463" s="21"/>
      <c r="Q463" s="21"/>
      <c r="R463" s="21"/>
      <c r="S463" s="21"/>
      <c r="T463" s="21"/>
      <c r="U463" s="21"/>
      <c r="V463" s="21"/>
      <c r="W463" s="21"/>
    </row>
    <row r="464" ht="15.75" customHeight="1">
      <c r="A464" s="9" t="s">
        <v>932</v>
      </c>
      <c r="B464" s="10" t="s">
        <v>285</v>
      </c>
      <c r="C464" s="11" t="s">
        <v>429</v>
      </c>
      <c r="D464" s="22" t="s">
        <v>929</v>
      </c>
      <c r="E464" s="13" t="str">
        <f t="array" ref="E464">INDEX(Turmas!C2:C103,MATCH(D464,Turmas!A2:A103,0))</f>
        <v>Noite</v>
      </c>
      <c r="F464" s="14">
        <v>60.0</v>
      </c>
      <c r="G464" s="15">
        <v>4.0</v>
      </c>
      <c r="H464" s="15">
        <v>0.0</v>
      </c>
      <c r="I464" s="16" t="str">
        <f t="shared" si="1"/>
        <v>1-12</v>
      </c>
      <c r="J464" s="16" t="str">
        <f t="shared" si="2"/>
        <v>1-12</v>
      </c>
      <c r="K464" s="16" t="str">
        <f t="shared" si="3"/>
        <v>1-12</v>
      </c>
      <c r="L464" s="16" t="str">
        <f t="shared" si="4"/>
        <v>1-12</v>
      </c>
      <c r="M464" s="16" t="str">
        <f t="shared" si="5"/>
        <v>1-12</v>
      </c>
      <c r="N464" s="16" t="str">
        <f t="shared" si="6"/>
        <v>0</v>
      </c>
      <c r="O464" s="17"/>
      <c r="P464" s="17"/>
      <c r="Q464" s="17"/>
      <c r="R464" s="17"/>
      <c r="S464" s="17"/>
      <c r="T464" s="17"/>
      <c r="U464" s="17"/>
      <c r="V464" s="17"/>
      <c r="W464" s="17"/>
    </row>
    <row r="465" ht="15.75" customHeight="1">
      <c r="A465" s="9" t="s">
        <v>933</v>
      </c>
      <c r="B465" s="10" t="s">
        <v>934</v>
      </c>
      <c r="C465" s="11" t="s">
        <v>141</v>
      </c>
      <c r="D465" s="22" t="s">
        <v>929</v>
      </c>
      <c r="E465" s="13" t="str">
        <f t="array" ref="E465">INDEX(Turmas!C2:C103,MATCH(D465,Turmas!A2:A103,0))</f>
        <v>Noite</v>
      </c>
      <c r="F465" s="14">
        <v>60.0</v>
      </c>
      <c r="G465" s="15">
        <v>4.0</v>
      </c>
      <c r="H465" s="15">
        <v>0.0</v>
      </c>
      <c r="I465" s="16" t="str">
        <f t="shared" si="1"/>
        <v>1-12</v>
      </c>
      <c r="J465" s="16" t="str">
        <f t="shared" si="2"/>
        <v>1-12</v>
      </c>
      <c r="K465" s="16" t="str">
        <f t="shared" si="3"/>
        <v>1-12</v>
      </c>
      <c r="L465" s="16" t="str">
        <f t="shared" si="4"/>
        <v>1-12</v>
      </c>
      <c r="M465" s="16" t="str">
        <f t="shared" si="5"/>
        <v>1-12</v>
      </c>
      <c r="N465" s="16" t="str">
        <f t="shared" si="6"/>
        <v>0</v>
      </c>
      <c r="O465" s="17"/>
      <c r="P465" s="17"/>
      <c r="Q465" s="17"/>
      <c r="R465" s="17"/>
      <c r="S465" s="17"/>
      <c r="T465" s="17"/>
      <c r="U465" s="17"/>
      <c r="V465" s="17"/>
      <c r="W465" s="17"/>
    </row>
    <row r="466" ht="15.75" customHeight="1">
      <c r="A466" s="9" t="s">
        <v>935</v>
      </c>
      <c r="B466" s="10" t="s">
        <v>936</v>
      </c>
      <c r="C466" s="11" t="s">
        <v>926</v>
      </c>
      <c r="D466" s="22" t="s">
        <v>929</v>
      </c>
      <c r="E466" s="13" t="str">
        <f t="array" ref="E466">INDEX(Turmas!C2:C103,MATCH(D466,Turmas!A2:A103,0))</f>
        <v>Noite</v>
      </c>
      <c r="F466" s="14">
        <v>60.0</v>
      </c>
      <c r="G466" s="15">
        <v>2.0</v>
      </c>
      <c r="H466" s="15">
        <v>0.0</v>
      </c>
      <c r="I466" s="16" t="str">
        <f t="shared" si="1"/>
        <v>1-12</v>
      </c>
      <c r="J466" s="16" t="str">
        <f t="shared" si="2"/>
        <v>1-12</v>
      </c>
      <c r="K466" s="16" t="str">
        <f t="shared" si="3"/>
        <v>1-12</v>
      </c>
      <c r="L466" s="16" t="str">
        <f t="shared" si="4"/>
        <v>1-12</v>
      </c>
      <c r="M466" s="16" t="str">
        <f t="shared" si="5"/>
        <v>1-12</v>
      </c>
      <c r="N466" s="16" t="str">
        <f t="shared" si="6"/>
        <v>0</v>
      </c>
      <c r="O466" s="17"/>
      <c r="P466" s="17"/>
      <c r="Q466" s="17"/>
      <c r="R466" s="17"/>
      <c r="S466" s="17"/>
      <c r="T466" s="17"/>
      <c r="U466" s="17"/>
      <c r="V466" s="17"/>
      <c r="W466" s="17"/>
    </row>
    <row r="467" ht="15.75" customHeight="1">
      <c r="A467" s="9" t="s">
        <v>414</v>
      </c>
      <c r="B467" s="10" t="s">
        <v>415</v>
      </c>
      <c r="C467" s="11" t="s">
        <v>378</v>
      </c>
      <c r="D467" s="22" t="s">
        <v>929</v>
      </c>
      <c r="E467" s="13" t="str">
        <f t="array" ref="E467">INDEX(Turmas!C2:C103,MATCH(D467,Turmas!A2:A103,0))</f>
        <v>Noite</v>
      </c>
      <c r="F467" s="14">
        <v>60.0</v>
      </c>
      <c r="G467" s="15">
        <v>5.0</v>
      </c>
      <c r="H467" s="15">
        <v>0.0</v>
      </c>
      <c r="I467" s="16" t="str">
        <f t="shared" si="1"/>
        <v>1-12</v>
      </c>
      <c r="J467" s="16" t="str">
        <f t="shared" si="2"/>
        <v>1-12</v>
      </c>
      <c r="K467" s="16" t="str">
        <f t="shared" si="3"/>
        <v>1-12</v>
      </c>
      <c r="L467" s="16" t="str">
        <f t="shared" si="4"/>
        <v>1-12</v>
      </c>
      <c r="M467" s="16" t="str">
        <f t="shared" si="5"/>
        <v>1-12</v>
      </c>
      <c r="N467" s="16" t="str">
        <f t="shared" si="6"/>
        <v>0</v>
      </c>
      <c r="O467" s="17"/>
      <c r="P467" s="17"/>
      <c r="Q467" s="17"/>
      <c r="R467" s="17"/>
      <c r="S467" s="17"/>
      <c r="T467" s="17"/>
      <c r="U467" s="17"/>
      <c r="V467" s="17"/>
      <c r="W467" s="17"/>
    </row>
    <row r="468" ht="15.75" customHeight="1">
      <c r="A468" s="9" t="s">
        <v>396</v>
      </c>
      <c r="B468" s="10" t="s">
        <v>397</v>
      </c>
      <c r="C468" s="11" t="s">
        <v>398</v>
      </c>
      <c r="D468" s="22" t="s">
        <v>929</v>
      </c>
      <c r="E468" s="13" t="str">
        <f t="array" ref="E468">INDEX(Turmas!C2:C103,MATCH(D468,Turmas!A2:A103,0))</f>
        <v>Noite</v>
      </c>
      <c r="F468" s="14">
        <v>60.0</v>
      </c>
      <c r="G468" s="15">
        <v>4.0</v>
      </c>
      <c r="H468" s="15">
        <v>0.0</v>
      </c>
      <c r="I468" s="16" t="str">
        <f t="shared" si="1"/>
        <v>1-12</v>
      </c>
      <c r="J468" s="16" t="str">
        <f t="shared" si="2"/>
        <v>1-12</v>
      </c>
      <c r="K468" s="16" t="str">
        <f t="shared" si="3"/>
        <v>1-12</v>
      </c>
      <c r="L468" s="16" t="str">
        <f t="shared" si="4"/>
        <v>1-12</v>
      </c>
      <c r="M468" s="16" t="str">
        <f t="shared" si="5"/>
        <v>1-12</v>
      </c>
      <c r="N468" s="16" t="str">
        <f t="shared" si="6"/>
        <v>0</v>
      </c>
      <c r="O468" s="17"/>
      <c r="P468" s="17"/>
      <c r="Q468" s="17"/>
      <c r="R468" s="17"/>
      <c r="S468" s="17"/>
      <c r="T468" s="17"/>
      <c r="U468" s="17"/>
      <c r="V468" s="17"/>
      <c r="W468" s="17"/>
    </row>
    <row r="469" ht="15.75" customHeight="1">
      <c r="A469" s="9" t="s">
        <v>937</v>
      </c>
      <c r="B469" s="10" t="s">
        <v>151</v>
      </c>
      <c r="C469" s="11" t="s">
        <v>49</v>
      </c>
      <c r="D469" s="22" t="s">
        <v>938</v>
      </c>
      <c r="E469" s="13" t="str">
        <f t="array" ref="E469">INDEX(Turmas!C2:C103,MATCH(D469,Turmas!A2:A103,0))</f>
        <v>Noite</v>
      </c>
      <c r="F469" s="14">
        <v>60.0</v>
      </c>
      <c r="G469" s="15">
        <v>3.0</v>
      </c>
      <c r="H469" s="15">
        <v>0.0</v>
      </c>
      <c r="I469" s="16" t="str">
        <f t="shared" si="1"/>
        <v>1-12</v>
      </c>
      <c r="J469" s="16" t="str">
        <f t="shared" si="2"/>
        <v>1-12</v>
      </c>
      <c r="K469" s="16" t="str">
        <f t="shared" si="3"/>
        <v>1-12</v>
      </c>
      <c r="L469" s="16" t="str">
        <f t="shared" si="4"/>
        <v>1-12</v>
      </c>
      <c r="M469" s="16" t="str">
        <f t="shared" si="5"/>
        <v>1-12</v>
      </c>
      <c r="N469" s="16" t="str">
        <f t="shared" si="6"/>
        <v>0</v>
      </c>
      <c r="O469" s="17"/>
      <c r="P469" s="17"/>
      <c r="Q469" s="17"/>
      <c r="R469" s="17"/>
      <c r="S469" s="17"/>
      <c r="T469" s="17"/>
      <c r="U469" s="17"/>
      <c r="V469" s="17"/>
      <c r="W469" s="17"/>
    </row>
    <row r="470" ht="15.75" customHeight="1">
      <c r="A470" s="9" t="s">
        <v>939</v>
      </c>
      <c r="B470" s="10" t="s">
        <v>940</v>
      </c>
      <c r="C470" s="11" t="s">
        <v>941</v>
      </c>
      <c r="D470" s="22" t="s">
        <v>938</v>
      </c>
      <c r="E470" s="13" t="str">
        <f t="array" ref="E470">INDEX(Turmas!C2:C103,MATCH(D470,Turmas!A2:A103,0))</f>
        <v>Noite</v>
      </c>
      <c r="F470" s="14">
        <v>60.0</v>
      </c>
      <c r="G470" s="15">
        <v>5.0</v>
      </c>
      <c r="H470" s="15">
        <v>0.0</v>
      </c>
      <c r="I470" s="16" t="str">
        <f t="shared" si="1"/>
        <v>1-12</v>
      </c>
      <c r="J470" s="16" t="str">
        <f t="shared" si="2"/>
        <v>1-12</v>
      </c>
      <c r="K470" s="16" t="str">
        <f t="shared" si="3"/>
        <v>1-12</v>
      </c>
      <c r="L470" s="16" t="str">
        <f t="shared" si="4"/>
        <v>1-12</v>
      </c>
      <c r="M470" s="16" t="str">
        <f t="shared" si="5"/>
        <v>1-12</v>
      </c>
      <c r="N470" s="16" t="str">
        <f t="shared" si="6"/>
        <v>0</v>
      </c>
      <c r="O470" s="17"/>
      <c r="P470" s="17"/>
      <c r="Q470" s="17"/>
      <c r="R470" s="17"/>
      <c r="S470" s="17"/>
      <c r="T470" s="17"/>
      <c r="U470" s="17"/>
      <c r="V470" s="17"/>
      <c r="W470" s="17"/>
    </row>
    <row r="471" ht="15.75" customHeight="1">
      <c r="A471" s="9" t="s">
        <v>942</v>
      </c>
      <c r="B471" s="10" t="s">
        <v>943</v>
      </c>
      <c r="C471" s="11" t="s">
        <v>944</v>
      </c>
      <c r="D471" s="22" t="s">
        <v>938</v>
      </c>
      <c r="E471" s="13" t="str">
        <f t="array" ref="E471">INDEX(Turmas!C2:C103,MATCH(D471,Turmas!A2:A103,0))</f>
        <v>Noite</v>
      </c>
      <c r="F471" s="14">
        <v>60.0</v>
      </c>
      <c r="G471" s="15">
        <v>4.0</v>
      </c>
      <c r="H471" s="15">
        <v>0.0</v>
      </c>
      <c r="I471" s="16" t="str">
        <f t="shared" si="1"/>
        <v>1-12</v>
      </c>
      <c r="J471" s="16" t="str">
        <f t="shared" si="2"/>
        <v>1-12</v>
      </c>
      <c r="K471" s="16" t="str">
        <f t="shared" si="3"/>
        <v>1-12</v>
      </c>
      <c r="L471" s="16" t="str">
        <f t="shared" si="4"/>
        <v>1-12</v>
      </c>
      <c r="M471" s="16" t="str">
        <f t="shared" si="5"/>
        <v>1-12</v>
      </c>
      <c r="N471" s="16" t="str">
        <f t="shared" si="6"/>
        <v>0</v>
      </c>
      <c r="O471" s="17"/>
      <c r="P471" s="17"/>
      <c r="Q471" s="17"/>
      <c r="R471" s="17"/>
      <c r="S471" s="17"/>
      <c r="T471" s="17"/>
      <c r="U471" s="17"/>
      <c r="V471" s="17"/>
      <c r="W471" s="17"/>
    </row>
    <row r="472" ht="15.75" customHeight="1">
      <c r="A472" s="9" t="s">
        <v>945</v>
      </c>
      <c r="B472" s="10" t="s">
        <v>946</v>
      </c>
      <c r="C472" s="11" t="s">
        <v>947</v>
      </c>
      <c r="D472" s="22" t="s">
        <v>938</v>
      </c>
      <c r="E472" s="13" t="str">
        <f t="array" ref="E472">INDEX(Turmas!C2:C103,MATCH(D472,Turmas!A2:A103,0))</f>
        <v>Noite</v>
      </c>
      <c r="F472" s="14">
        <v>60.0</v>
      </c>
      <c r="G472" s="15">
        <v>4.0</v>
      </c>
      <c r="H472" s="15">
        <v>0.0</v>
      </c>
      <c r="I472" s="16" t="str">
        <f t="shared" si="1"/>
        <v>1-12</v>
      </c>
      <c r="J472" s="16" t="str">
        <f t="shared" si="2"/>
        <v>1-12</v>
      </c>
      <c r="K472" s="16" t="str">
        <f t="shared" si="3"/>
        <v>1-12</v>
      </c>
      <c r="L472" s="16" t="str">
        <f t="shared" si="4"/>
        <v>1-12</v>
      </c>
      <c r="M472" s="16" t="str">
        <f t="shared" si="5"/>
        <v>1-12</v>
      </c>
      <c r="N472" s="16" t="str">
        <f t="shared" si="6"/>
        <v>0</v>
      </c>
      <c r="O472" s="17"/>
      <c r="P472" s="17"/>
      <c r="Q472" s="17"/>
      <c r="R472" s="17"/>
      <c r="S472" s="17"/>
      <c r="T472" s="17"/>
      <c r="U472" s="17"/>
      <c r="V472" s="17"/>
      <c r="W472" s="17"/>
    </row>
    <row r="473" ht="15.75" customHeight="1">
      <c r="A473" s="9" t="s">
        <v>948</v>
      </c>
      <c r="B473" s="10" t="s">
        <v>949</v>
      </c>
      <c r="C473" s="11" t="s">
        <v>950</v>
      </c>
      <c r="D473" s="22" t="s">
        <v>938</v>
      </c>
      <c r="E473" s="13" t="str">
        <f t="array" ref="E473">INDEX(Turmas!C2:C103,MATCH(D473,Turmas!A2:A103,0))</f>
        <v>Noite</v>
      </c>
      <c r="F473" s="14">
        <v>60.0</v>
      </c>
      <c r="G473" s="15">
        <v>4.0</v>
      </c>
      <c r="H473" s="15">
        <v>0.0</v>
      </c>
      <c r="I473" s="16" t="str">
        <f t="shared" si="1"/>
        <v>1-12</v>
      </c>
      <c r="J473" s="16" t="str">
        <f t="shared" si="2"/>
        <v>1-12</v>
      </c>
      <c r="K473" s="16" t="str">
        <f t="shared" si="3"/>
        <v>1-12</v>
      </c>
      <c r="L473" s="16" t="str">
        <f t="shared" si="4"/>
        <v>1-12</v>
      </c>
      <c r="M473" s="16" t="str">
        <f t="shared" si="5"/>
        <v>1-12</v>
      </c>
      <c r="N473" s="16" t="str">
        <f t="shared" si="6"/>
        <v>0</v>
      </c>
      <c r="O473" s="17"/>
      <c r="P473" s="17"/>
      <c r="Q473" s="17"/>
      <c r="R473" s="17"/>
      <c r="S473" s="17"/>
      <c r="T473" s="17"/>
      <c r="U473" s="17"/>
      <c r="V473" s="17"/>
      <c r="W473" s="17"/>
    </row>
    <row r="474" ht="15.75" customHeight="1">
      <c r="A474" s="9" t="s">
        <v>951</v>
      </c>
      <c r="B474" s="10" t="s">
        <v>952</v>
      </c>
      <c r="C474" s="11" t="s">
        <v>559</v>
      </c>
      <c r="D474" s="22" t="s">
        <v>938</v>
      </c>
      <c r="E474" s="13" t="str">
        <f t="array" ref="E474">INDEX(Turmas!C2:C103,MATCH(D474,Turmas!A2:A103,0))</f>
        <v>Noite</v>
      </c>
      <c r="F474" s="14">
        <v>60.0</v>
      </c>
      <c r="G474" s="15">
        <v>5.0</v>
      </c>
      <c r="H474" s="15">
        <v>0.0</v>
      </c>
      <c r="I474" s="16" t="str">
        <f t="shared" si="1"/>
        <v>1-12</v>
      </c>
      <c r="J474" s="16" t="str">
        <f t="shared" si="2"/>
        <v>1-12</v>
      </c>
      <c r="K474" s="16" t="str">
        <f t="shared" si="3"/>
        <v>1-12</v>
      </c>
      <c r="L474" s="16" t="str">
        <f t="shared" si="4"/>
        <v>1-12</v>
      </c>
      <c r="M474" s="16" t="str">
        <f t="shared" si="5"/>
        <v>1-12</v>
      </c>
      <c r="N474" s="16" t="str">
        <f t="shared" si="6"/>
        <v>0</v>
      </c>
      <c r="O474" s="17"/>
      <c r="P474" s="17"/>
      <c r="Q474" s="17"/>
      <c r="R474" s="17"/>
      <c r="S474" s="17"/>
      <c r="T474" s="17"/>
      <c r="U474" s="17"/>
      <c r="V474" s="17"/>
      <c r="W474" s="17"/>
    </row>
    <row r="475" ht="15.75" customHeight="1">
      <c r="A475" s="9" t="s">
        <v>953</v>
      </c>
      <c r="B475" s="10" t="s">
        <v>78</v>
      </c>
      <c r="C475" s="11" t="s">
        <v>83</v>
      </c>
      <c r="D475" s="22" t="s">
        <v>938</v>
      </c>
      <c r="E475" s="13" t="str">
        <f t="array" ref="E475">INDEX(Turmas!C2:C103,MATCH(D475,Turmas!A2:A103,0))</f>
        <v>Noite</v>
      </c>
      <c r="F475" s="14">
        <v>60.0</v>
      </c>
      <c r="G475" s="15">
        <v>3.0</v>
      </c>
      <c r="H475" s="15">
        <v>0.0</v>
      </c>
      <c r="I475" s="16" t="str">
        <f t="shared" si="1"/>
        <v>1-12</v>
      </c>
      <c r="J475" s="16" t="str">
        <f t="shared" si="2"/>
        <v>1-12</v>
      </c>
      <c r="K475" s="16" t="str">
        <f t="shared" si="3"/>
        <v>1-12</v>
      </c>
      <c r="L475" s="16" t="str">
        <f t="shared" si="4"/>
        <v>1-12</v>
      </c>
      <c r="M475" s="16" t="str">
        <f t="shared" si="5"/>
        <v>1-12</v>
      </c>
      <c r="N475" s="16" t="str">
        <f t="shared" si="6"/>
        <v>0</v>
      </c>
      <c r="O475" s="17"/>
      <c r="P475" s="17"/>
      <c r="Q475" s="17"/>
      <c r="R475" s="17"/>
      <c r="S475" s="17"/>
      <c r="T475" s="17"/>
      <c r="U475" s="17"/>
      <c r="V475" s="17"/>
      <c r="W475" s="17"/>
    </row>
    <row r="476" ht="15.75" customHeight="1">
      <c r="A476" s="9" t="s">
        <v>954</v>
      </c>
      <c r="B476" s="10" t="s">
        <v>955</v>
      </c>
      <c r="C476" s="11" t="s">
        <v>261</v>
      </c>
      <c r="D476" s="22" t="s">
        <v>956</v>
      </c>
      <c r="E476" s="13" t="str">
        <f t="array" ref="E476">INDEX(Turmas!C2:C103,MATCH(D476,Turmas!A2:A103,0))</f>
        <v>Noite</v>
      </c>
      <c r="F476" s="14">
        <v>50.0</v>
      </c>
      <c r="G476" s="15">
        <v>4.0</v>
      </c>
      <c r="H476" s="15">
        <v>0.0</v>
      </c>
      <c r="I476" s="16" t="str">
        <f t="shared" si="1"/>
        <v>1-12</v>
      </c>
      <c r="J476" s="16" t="str">
        <f t="shared" si="2"/>
        <v>1-12</v>
      </c>
      <c r="K476" s="16" t="str">
        <f t="shared" si="3"/>
        <v>1-12</v>
      </c>
      <c r="L476" s="16" t="str">
        <f t="shared" si="4"/>
        <v>1-12</v>
      </c>
      <c r="M476" s="16" t="str">
        <f t="shared" si="5"/>
        <v>1-12</v>
      </c>
      <c r="N476" s="16" t="str">
        <f t="shared" si="6"/>
        <v>0</v>
      </c>
      <c r="O476" s="17"/>
      <c r="P476" s="17"/>
      <c r="Q476" s="17"/>
      <c r="R476" s="17"/>
      <c r="S476" s="17"/>
      <c r="T476" s="17"/>
      <c r="U476" s="17"/>
      <c r="V476" s="17"/>
      <c r="W476" s="17"/>
    </row>
    <row r="477" ht="15.75" customHeight="1">
      <c r="A477" s="9" t="s">
        <v>957</v>
      </c>
      <c r="B477" s="10" t="s">
        <v>958</v>
      </c>
      <c r="C477" s="11" t="s">
        <v>438</v>
      </c>
      <c r="D477" s="22" t="s">
        <v>956</v>
      </c>
      <c r="E477" s="13" t="str">
        <f t="array" ref="E477">INDEX(Turmas!C2:C103,MATCH(D477,Turmas!A2:A103,0))</f>
        <v>Noite</v>
      </c>
      <c r="F477" s="14">
        <v>50.0</v>
      </c>
      <c r="G477" s="15">
        <v>4.0</v>
      </c>
      <c r="H477" s="15">
        <v>0.0</v>
      </c>
      <c r="I477" s="16" t="str">
        <f t="shared" si="1"/>
        <v>1-12</v>
      </c>
      <c r="J477" s="16" t="str">
        <f t="shared" si="2"/>
        <v>1-12</v>
      </c>
      <c r="K477" s="16" t="str">
        <f t="shared" si="3"/>
        <v>1-12</v>
      </c>
      <c r="L477" s="16" t="str">
        <f t="shared" si="4"/>
        <v>1-12</v>
      </c>
      <c r="M477" s="16" t="str">
        <f t="shared" si="5"/>
        <v>1-12</v>
      </c>
      <c r="N477" s="16" t="str">
        <f t="shared" si="6"/>
        <v>0</v>
      </c>
      <c r="O477" s="17"/>
      <c r="P477" s="17"/>
      <c r="Q477" s="17"/>
      <c r="R477" s="17"/>
      <c r="S477" s="17"/>
      <c r="T477" s="17"/>
      <c r="U477" s="17"/>
      <c r="V477" s="17"/>
      <c r="W477" s="17"/>
    </row>
    <row r="478" ht="15.75" customHeight="1">
      <c r="A478" s="9" t="s">
        <v>959</v>
      </c>
      <c r="B478" s="10" t="s">
        <v>960</v>
      </c>
      <c r="C478" s="11" t="s">
        <v>608</v>
      </c>
      <c r="D478" s="22" t="s">
        <v>956</v>
      </c>
      <c r="E478" s="13" t="str">
        <f t="array" ref="E478">INDEX(Turmas!C2:C103,MATCH(D478,Turmas!A2:A103,0))</f>
        <v>Noite</v>
      </c>
      <c r="F478" s="14">
        <v>25.0</v>
      </c>
      <c r="G478" s="15">
        <v>2.0</v>
      </c>
      <c r="H478" s="15">
        <v>0.0</v>
      </c>
      <c r="I478" s="16" t="str">
        <f t="shared" si="1"/>
        <v>1-12</v>
      </c>
      <c r="J478" s="16" t="str">
        <f t="shared" si="2"/>
        <v>1-12</v>
      </c>
      <c r="K478" s="16" t="str">
        <f t="shared" si="3"/>
        <v>1-12</v>
      </c>
      <c r="L478" s="16" t="str">
        <f t="shared" si="4"/>
        <v>1-12</v>
      </c>
      <c r="M478" s="16" t="str">
        <f t="shared" si="5"/>
        <v>1-12</v>
      </c>
      <c r="N478" s="16" t="str">
        <f t="shared" si="6"/>
        <v>0</v>
      </c>
      <c r="O478" s="17"/>
      <c r="P478" s="17"/>
      <c r="Q478" s="17"/>
      <c r="R478" s="17"/>
      <c r="S478" s="17"/>
      <c r="T478" s="17"/>
      <c r="U478" s="17"/>
      <c r="V478" s="17"/>
      <c r="W478" s="17"/>
    </row>
    <row r="479" ht="15.75" customHeight="1">
      <c r="A479" s="9" t="s">
        <v>959</v>
      </c>
      <c r="B479" s="19" t="s">
        <v>960</v>
      </c>
      <c r="C479" s="11" t="s">
        <v>608</v>
      </c>
      <c r="D479" s="22" t="s">
        <v>956</v>
      </c>
      <c r="E479" s="13" t="str">
        <f t="array" ref="E479">INDEX(Turmas!C2:C103,MATCH(D479,Turmas!A2:A103,0))</f>
        <v>Noite</v>
      </c>
      <c r="F479" s="20">
        <v>25.0</v>
      </c>
      <c r="G479" s="15">
        <v>2.0</v>
      </c>
      <c r="H479" s="15">
        <v>0.0</v>
      </c>
      <c r="I479" s="16" t="str">
        <f t="shared" si="1"/>
        <v>1-12</v>
      </c>
      <c r="J479" s="16" t="str">
        <f t="shared" si="2"/>
        <v>1-12</v>
      </c>
      <c r="K479" s="16" t="str">
        <f t="shared" si="3"/>
        <v>1-12</v>
      </c>
      <c r="L479" s="16" t="str">
        <f t="shared" si="4"/>
        <v>1-12</v>
      </c>
      <c r="M479" s="16" t="str">
        <f t="shared" si="5"/>
        <v>1-12</v>
      </c>
      <c r="N479" s="16" t="str">
        <f t="shared" si="6"/>
        <v>0</v>
      </c>
      <c r="O479" s="21"/>
      <c r="P479" s="21"/>
      <c r="Q479" s="21"/>
      <c r="R479" s="21"/>
      <c r="S479" s="21"/>
      <c r="T479" s="21"/>
      <c r="U479" s="21"/>
      <c r="V479" s="21"/>
      <c r="W479" s="21"/>
    </row>
    <row r="480" ht="15.75" customHeight="1">
      <c r="A480" s="9" t="s">
        <v>477</v>
      </c>
      <c r="B480" s="10" t="s">
        <v>478</v>
      </c>
      <c r="C480" s="11" t="s">
        <v>479</v>
      </c>
      <c r="D480" s="22" t="s">
        <v>956</v>
      </c>
      <c r="E480" s="13" t="str">
        <f t="array" ref="E480">INDEX(Turmas!C2:C103,MATCH(D480,Turmas!A2:A103,0))</f>
        <v>Noite</v>
      </c>
      <c r="F480" s="14">
        <v>50.0</v>
      </c>
      <c r="G480" s="15">
        <v>3.0</v>
      </c>
      <c r="H480" s="15">
        <v>0.0</v>
      </c>
      <c r="I480" s="16" t="str">
        <f t="shared" si="1"/>
        <v>1-12</v>
      </c>
      <c r="J480" s="16" t="str">
        <f t="shared" si="2"/>
        <v>1-12</v>
      </c>
      <c r="K480" s="16" t="str">
        <f t="shared" si="3"/>
        <v>1-12</v>
      </c>
      <c r="L480" s="16" t="str">
        <f t="shared" si="4"/>
        <v>1-12</v>
      </c>
      <c r="M480" s="16" t="str">
        <f t="shared" si="5"/>
        <v>1-12</v>
      </c>
      <c r="N480" s="16" t="str">
        <f t="shared" si="6"/>
        <v>0</v>
      </c>
      <c r="O480" s="17"/>
      <c r="P480" s="17"/>
      <c r="Q480" s="17"/>
      <c r="R480" s="17"/>
      <c r="S480" s="17"/>
      <c r="T480" s="17"/>
      <c r="U480" s="17"/>
      <c r="V480" s="17"/>
      <c r="W480" s="17"/>
    </row>
    <row r="481" ht="15.75" customHeight="1">
      <c r="A481" s="9" t="s">
        <v>961</v>
      </c>
      <c r="B481" s="10" t="s">
        <v>962</v>
      </c>
      <c r="C481" s="11" t="s">
        <v>365</v>
      </c>
      <c r="D481" s="22" t="s">
        <v>956</v>
      </c>
      <c r="E481" s="13" t="str">
        <f t="array" ref="E481">INDEX(Turmas!C2:C103,MATCH(D481,Turmas!A2:A103,0))</f>
        <v>Noite</v>
      </c>
      <c r="F481" s="14">
        <v>50.0</v>
      </c>
      <c r="G481" s="15">
        <v>4.0</v>
      </c>
      <c r="H481" s="15">
        <v>0.0</v>
      </c>
      <c r="I481" s="16" t="str">
        <f t="shared" si="1"/>
        <v>1-12</v>
      </c>
      <c r="J481" s="16" t="str">
        <f t="shared" si="2"/>
        <v>1-12</v>
      </c>
      <c r="K481" s="16" t="str">
        <f t="shared" si="3"/>
        <v>1-12</v>
      </c>
      <c r="L481" s="16" t="str">
        <f t="shared" si="4"/>
        <v>1-12</v>
      </c>
      <c r="M481" s="16" t="str">
        <f t="shared" si="5"/>
        <v>1-12</v>
      </c>
      <c r="N481" s="16" t="str">
        <f t="shared" si="6"/>
        <v>0</v>
      </c>
      <c r="O481" s="17"/>
      <c r="P481" s="17"/>
      <c r="Q481" s="17"/>
      <c r="R481" s="17"/>
      <c r="S481" s="17"/>
      <c r="T481" s="17"/>
      <c r="U481" s="17"/>
      <c r="V481" s="17"/>
      <c r="W481" s="17"/>
    </row>
    <row r="482" ht="15.75" customHeight="1">
      <c r="A482" s="9" t="s">
        <v>963</v>
      </c>
      <c r="B482" s="10" t="s">
        <v>964</v>
      </c>
      <c r="C482" s="11" t="s">
        <v>947</v>
      </c>
      <c r="D482" s="22" t="s">
        <v>956</v>
      </c>
      <c r="E482" s="13" t="str">
        <f t="array" ref="E482">INDEX(Turmas!C2:C103,MATCH(D482,Turmas!A2:A103,0))</f>
        <v>Noite</v>
      </c>
      <c r="F482" s="14">
        <v>50.0</v>
      </c>
      <c r="G482" s="15">
        <v>5.0</v>
      </c>
      <c r="H482" s="15">
        <v>0.0</v>
      </c>
      <c r="I482" s="16" t="str">
        <f t="shared" si="1"/>
        <v>1-12</v>
      </c>
      <c r="J482" s="16" t="str">
        <f t="shared" si="2"/>
        <v>1-12</v>
      </c>
      <c r="K482" s="16" t="str">
        <f t="shared" si="3"/>
        <v>1-12</v>
      </c>
      <c r="L482" s="16" t="str">
        <f t="shared" si="4"/>
        <v>1-12</v>
      </c>
      <c r="M482" s="16" t="str">
        <f t="shared" si="5"/>
        <v>1-12</v>
      </c>
      <c r="N482" s="16" t="str">
        <f t="shared" si="6"/>
        <v>0</v>
      </c>
      <c r="O482" s="17"/>
      <c r="P482" s="17"/>
      <c r="Q482" s="17"/>
      <c r="R482" s="17"/>
      <c r="S482" s="17"/>
      <c r="T482" s="17"/>
      <c r="U482" s="17"/>
      <c r="V482" s="17"/>
      <c r="W482" s="17"/>
    </row>
    <row r="483" ht="15.75" customHeight="1">
      <c r="A483" s="9" t="s">
        <v>493</v>
      </c>
      <c r="B483" s="10" t="s">
        <v>494</v>
      </c>
      <c r="C483" s="11" t="s">
        <v>495</v>
      </c>
      <c r="D483" s="22" t="s">
        <v>965</v>
      </c>
      <c r="E483" s="13" t="str">
        <f t="array" ref="E483">INDEX(Turmas!C2:C103,MATCH(D483,Turmas!A2:A103,0))</f>
        <v>Noite</v>
      </c>
      <c r="F483" s="14">
        <v>50.0</v>
      </c>
      <c r="G483" s="15">
        <v>5.0</v>
      </c>
      <c r="H483" s="15">
        <v>0.0</v>
      </c>
      <c r="I483" s="16" t="str">
        <f t="shared" si="1"/>
        <v>1-12</v>
      </c>
      <c r="J483" s="16" t="str">
        <f t="shared" si="2"/>
        <v>1-12</v>
      </c>
      <c r="K483" s="16" t="str">
        <f t="shared" si="3"/>
        <v>1-12</v>
      </c>
      <c r="L483" s="16" t="str">
        <f t="shared" si="4"/>
        <v>1-12</v>
      </c>
      <c r="M483" s="16" t="str">
        <f t="shared" si="5"/>
        <v>1-12</v>
      </c>
      <c r="N483" s="16" t="str">
        <f t="shared" si="6"/>
        <v>0</v>
      </c>
      <c r="O483" s="17"/>
      <c r="P483" s="17"/>
      <c r="Q483" s="17"/>
      <c r="R483" s="17"/>
      <c r="S483" s="17"/>
      <c r="T483" s="17"/>
      <c r="U483" s="17"/>
      <c r="V483" s="17"/>
      <c r="W483" s="17"/>
    </row>
    <row r="484" ht="15.75" customHeight="1">
      <c r="A484" s="9" t="s">
        <v>176</v>
      </c>
      <c r="B484" s="10" t="s">
        <v>46</v>
      </c>
      <c r="C484" s="11" t="s">
        <v>177</v>
      </c>
      <c r="D484" s="22" t="s">
        <v>965</v>
      </c>
      <c r="E484" s="13" t="str">
        <f t="array" ref="E484">INDEX(Turmas!C2:C103,MATCH(D484,Turmas!A2:A103,0))</f>
        <v>Noite</v>
      </c>
      <c r="F484" s="14">
        <v>50.0</v>
      </c>
      <c r="G484" s="15">
        <v>4.0</v>
      </c>
      <c r="H484" s="15">
        <v>0.0</v>
      </c>
      <c r="I484" s="16" t="str">
        <f t="shared" si="1"/>
        <v>1-12</v>
      </c>
      <c r="J484" s="16" t="str">
        <f t="shared" si="2"/>
        <v>1-12</v>
      </c>
      <c r="K484" s="16" t="str">
        <f t="shared" si="3"/>
        <v>1-12</v>
      </c>
      <c r="L484" s="16" t="str">
        <f t="shared" si="4"/>
        <v>1-12</v>
      </c>
      <c r="M484" s="16" t="str">
        <f t="shared" si="5"/>
        <v>1-12</v>
      </c>
      <c r="N484" s="16" t="str">
        <f t="shared" si="6"/>
        <v>0</v>
      </c>
      <c r="O484" s="17"/>
      <c r="P484" s="17"/>
      <c r="Q484" s="17"/>
      <c r="R484" s="17"/>
      <c r="S484" s="17"/>
      <c r="T484" s="17"/>
      <c r="U484" s="17"/>
      <c r="V484" s="17"/>
      <c r="W484" s="17"/>
    </row>
    <row r="485" ht="15.75" customHeight="1">
      <c r="A485" s="9" t="s">
        <v>966</v>
      </c>
      <c r="B485" s="10" t="s">
        <v>967</v>
      </c>
      <c r="C485" s="11" t="s">
        <v>274</v>
      </c>
      <c r="D485" s="22" t="s">
        <v>965</v>
      </c>
      <c r="E485" s="13" t="str">
        <f t="array" ref="E485">INDEX(Turmas!C2:C103,MATCH(D485,Turmas!A2:A103,0))</f>
        <v>Noite</v>
      </c>
      <c r="F485" s="14">
        <v>50.0</v>
      </c>
      <c r="G485" s="15">
        <v>5.0</v>
      </c>
      <c r="H485" s="15">
        <v>0.0</v>
      </c>
      <c r="I485" s="16" t="str">
        <f t="shared" si="1"/>
        <v>1-12</v>
      </c>
      <c r="J485" s="16" t="str">
        <f t="shared" si="2"/>
        <v>1-12</v>
      </c>
      <c r="K485" s="16" t="str">
        <f t="shared" si="3"/>
        <v>1-12</v>
      </c>
      <c r="L485" s="16" t="str">
        <f t="shared" si="4"/>
        <v>1-12</v>
      </c>
      <c r="M485" s="16" t="str">
        <f t="shared" si="5"/>
        <v>1-12</v>
      </c>
      <c r="N485" s="16" t="str">
        <f t="shared" si="6"/>
        <v>0</v>
      </c>
      <c r="O485" s="17"/>
      <c r="P485" s="17"/>
      <c r="Q485" s="17"/>
      <c r="R485" s="17"/>
      <c r="S485" s="17"/>
      <c r="T485" s="17"/>
      <c r="U485" s="17"/>
      <c r="V485" s="17"/>
      <c r="W485" s="17"/>
    </row>
    <row r="486" ht="15.75" customHeight="1">
      <c r="A486" s="9" t="s">
        <v>968</v>
      </c>
      <c r="B486" s="10" t="s">
        <v>969</v>
      </c>
      <c r="C486" s="11" t="s">
        <v>944</v>
      </c>
      <c r="D486" s="22" t="s">
        <v>965</v>
      </c>
      <c r="E486" s="13" t="str">
        <f t="array" ref="E486">INDEX(Turmas!C2:C103,MATCH(D486,Turmas!A2:A103,0))</f>
        <v>Noite</v>
      </c>
      <c r="F486" s="14">
        <v>50.0</v>
      </c>
      <c r="G486" s="15">
        <v>5.0</v>
      </c>
      <c r="H486" s="15">
        <v>0.0</v>
      </c>
      <c r="I486" s="16" t="str">
        <f t="shared" si="1"/>
        <v>1-12</v>
      </c>
      <c r="J486" s="16" t="str">
        <f t="shared" si="2"/>
        <v>1-12</v>
      </c>
      <c r="K486" s="16" t="str">
        <f t="shared" si="3"/>
        <v>1-12</v>
      </c>
      <c r="L486" s="16" t="str">
        <f t="shared" si="4"/>
        <v>1-12</v>
      </c>
      <c r="M486" s="16" t="str">
        <f t="shared" si="5"/>
        <v>1-12</v>
      </c>
      <c r="N486" s="16" t="str">
        <f t="shared" si="6"/>
        <v>0</v>
      </c>
      <c r="O486" s="17"/>
      <c r="P486" s="17"/>
      <c r="Q486" s="17"/>
      <c r="R486" s="17"/>
      <c r="S486" s="17"/>
      <c r="T486" s="17"/>
      <c r="U486" s="17"/>
      <c r="V486" s="17"/>
      <c r="W486" s="17"/>
    </row>
    <row r="487" ht="15.75" customHeight="1">
      <c r="A487" s="9" t="s">
        <v>970</v>
      </c>
      <c r="B487" s="10" t="s">
        <v>934</v>
      </c>
      <c r="C487" s="11" t="s">
        <v>944</v>
      </c>
      <c r="D487" s="22" t="s">
        <v>965</v>
      </c>
      <c r="E487" s="13" t="str">
        <f t="array" ref="E487">INDEX(Turmas!C2:C103,MATCH(D487,Turmas!A2:A103,0))</f>
        <v>Noite</v>
      </c>
      <c r="F487" s="14">
        <v>50.0</v>
      </c>
      <c r="G487" s="15">
        <v>8.0</v>
      </c>
      <c r="H487" s="15">
        <v>0.0</v>
      </c>
      <c r="I487" s="16" t="str">
        <f t="shared" si="1"/>
        <v>1-12</v>
      </c>
      <c r="J487" s="16" t="str">
        <f t="shared" si="2"/>
        <v>1-12</v>
      </c>
      <c r="K487" s="16" t="str">
        <f t="shared" si="3"/>
        <v>1-12</v>
      </c>
      <c r="L487" s="16" t="str">
        <f t="shared" si="4"/>
        <v>1-12</v>
      </c>
      <c r="M487" s="16" t="str">
        <f t="shared" si="5"/>
        <v>1-12</v>
      </c>
      <c r="N487" s="16" t="str">
        <f t="shared" si="6"/>
        <v>0</v>
      </c>
      <c r="O487" s="17"/>
      <c r="P487" s="17"/>
      <c r="Q487" s="17"/>
      <c r="R487" s="17"/>
      <c r="S487" s="17"/>
      <c r="T487" s="17"/>
      <c r="U487" s="17"/>
      <c r="V487" s="17"/>
      <c r="W487" s="17"/>
    </row>
    <row r="488" ht="15.75" customHeight="1">
      <c r="A488" s="9" t="s">
        <v>971</v>
      </c>
      <c r="B488" s="10" t="s">
        <v>972</v>
      </c>
      <c r="C488" s="11" t="s">
        <v>68</v>
      </c>
      <c r="D488" s="22" t="s">
        <v>973</v>
      </c>
      <c r="E488" s="13" t="str">
        <f t="array" ref="E488">INDEX(Turmas!C2:C103,MATCH(D488,Turmas!A2:A103,0))</f>
        <v>Noite</v>
      </c>
      <c r="F488" s="14">
        <v>50.0</v>
      </c>
      <c r="G488" s="15">
        <v>2.0</v>
      </c>
      <c r="H488" s="15">
        <v>0.0</v>
      </c>
      <c r="I488" s="16" t="str">
        <f t="shared" si="1"/>
        <v>1-12</v>
      </c>
      <c r="J488" s="16" t="str">
        <f t="shared" si="2"/>
        <v>1-12</v>
      </c>
      <c r="K488" s="16" t="str">
        <f t="shared" si="3"/>
        <v>1-12</v>
      </c>
      <c r="L488" s="16" t="str">
        <f t="shared" si="4"/>
        <v>1-12</v>
      </c>
      <c r="M488" s="16" t="str">
        <f t="shared" si="5"/>
        <v>1-12</v>
      </c>
      <c r="N488" s="16" t="str">
        <f t="shared" si="6"/>
        <v>0</v>
      </c>
      <c r="O488" s="17"/>
      <c r="P488" s="17"/>
      <c r="Q488" s="17"/>
      <c r="R488" s="17"/>
      <c r="S488" s="17"/>
      <c r="T488" s="17"/>
      <c r="U488" s="17"/>
      <c r="V488" s="17"/>
      <c r="W488" s="17"/>
    </row>
    <row r="489" ht="15.75" customHeight="1">
      <c r="A489" s="9" t="s">
        <v>974</v>
      </c>
      <c r="B489" s="10" t="s">
        <v>975</v>
      </c>
      <c r="C489" s="11" t="s">
        <v>479</v>
      </c>
      <c r="D489" s="22" t="s">
        <v>973</v>
      </c>
      <c r="E489" s="13" t="str">
        <f t="array" ref="E489">INDEX(Turmas!C2:C103,MATCH(D489,Turmas!A2:A103,0))</f>
        <v>Noite</v>
      </c>
      <c r="F489" s="14">
        <v>53.0</v>
      </c>
      <c r="G489" s="15">
        <v>2.0</v>
      </c>
      <c r="H489" s="15">
        <v>0.0</v>
      </c>
      <c r="I489" s="16" t="str">
        <f t="shared" si="1"/>
        <v>1-12</v>
      </c>
      <c r="J489" s="16" t="str">
        <f t="shared" si="2"/>
        <v>1-12</v>
      </c>
      <c r="K489" s="16" t="str">
        <f t="shared" si="3"/>
        <v>1-12</v>
      </c>
      <c r="L489" s="16" t="str">
        <f t="shared" si="4"/>
        <v>1-12</v>
      </c>
      <c r="M489" s="16" t="str">
        <f t="shared" si="5"/>
        <v>1-12</v>
      </c>
      <c r="N489" s="16" t="str">
        <f t="shared" si="6"/>
        <v>0</v>
      </c>
      <c r="O489" s="17"/>
      <c r="P489" s="17"/>
      <c r="Q489" s="17"/>
      <c r="R489" s="17"/>
      <c r="S489" s="17"/>
      <c r="T489" s="17"/>
      <c r="U489" s="17"/>
      <c r="V489" s="17"/>
      <c r="W489" s="17"/>
    </row>
    <row r="490" ht="15.75" customHeight="1">
      <c r="A490" s="9" t="s">
        <v>976</v>
      </c>
      <c r="B490" s="10" t="s">
        <v>977</v>
      </c>
      <c r="C490" s="11" t="s">
        <v>950</v>
      </c>
      <c r="D490" s="22" t="s">
        <v>973</v>
      </c>
      <c r="E490" s="13" t="str">
        <f t="array" ref="E490">INDEX(Turmas!C2:C103,MATCH(D490,Turmas!A2:A103,0))</f>
        <v>Noite</v>
      </c>
      <c r="F490" s="14">
        <v>50.0</v>
      </c>
      <c r="G490" s="15">
        <v>4.0</v>
      </c>
      <c r="H490" s="15">
        <v>0.0</v>
      </c>
      <c r="I490" s="16" t="str">
        <f t="shared" si="1"/>
        <v>1-12</v>
      </c>
      <c r="J490" s="16" t="str">
        <f t="shared" si="2"/>
        <v>1-12</v>
      </c>
      <c r="K490" s="16" t="str">
        <f t="shared" si="3"/>
        <v>1-12</v>
      </c>
      <c r="L490" s="16" t="str">
        <f t="shared" si="4"/>
        <v>1-12</v>
      </c>
      <c r="M490" s="16" t="str">
        <f t="shared" si="5"/>
        <v>1-12</v>
      </c>
      <c r="N490" s="16" t="str">
        <f t="shared" si="6"/>
        <v>0</v>
      </c>
      <c r="O490" s="17"/>
      <c r="P490" s="17"/>
      <c r="Q490" s="17"/>
      <c r="R490" s="17"/>
      <c r="S490" s="17"/>
      <c r="T490" s="17"/>
      <c r="U490" s="17"/>
      <c r="V490" s="17"/>
      <c r="W490" s="17"/>
    </row>
    <row r="491" ht="15.75" customHeight="1">
      <c r="A491" s="9" t="s">
        <v>978</v>
      </c>
      <c r="B491" s="10" t="s">
        <v>979</v>
      </c>
      <c r="C491" s="11" t="s">
        <v>479</v>
      </c>
      <c r="D491" s="22" t="s">
        <v>980</v>
      </c>
      <c r="E491" s="13" t="str">
        <f t="array" ref="E491">INDEX(Turmas!C2:C103,MATCH(D491,Turmas!A2:A103,0))</f>
        <v>Noite</v>
      </c>
      <c r="F491" s="14">
        <v>51.0</v>
      </c>
      <c r="G491" s="15">
        <v>2.0</v>
      </c>
      <c r="H491" s="15">
        <v>0.0</v>
      </c>
      <c r="I491" s="16" t="str">
        <f t="shared" si="1"/>
        <v>1-12</v>
      </c>
      <c r="J491" s="16" t="str">
        <f t="shared" si="2"/>
        <v>1-12</v>
      </c>
      <c r="K491" s="16" t="str">
        <f t="shared" si="3"/>
        <v>1-12</v>
      </c>
      <c r="L491" s="16" t="str">
        <f t="shared" si="4"/>
        <v>1-12</v>
      </c>
      <c r="M491" s="16" t="str">
        <f t="shared" si="5"/>
        <v>1-12</v>
      </c>
      <c r="N491" s="16" t="str">
        <f t="shared" si="6"/>
        <v>0</v>
      </c>
      <c r="O491" s="17"/>
      <c r="P491" s="17"/>
      <c r="Q491" s="17"/>
      <c r="R491" s="17"/>
      <c r="S491" s="17"/>
      <c r="T491" s="17"/>
      <c r="U491" s="17"/>
      <c r="V491" s="17"/>
      <c r="W491" s="17"/>
    </row>
    <row r="492" ht="15.75" customHeight="1">
      <c r="A492" s="9" t="s">
        <v>981</v>
      </c>
      <c r="B492" s="10" t="s">
        <v>519</v>
      </c>
      <c r="C492" s="11" t="s">
        <v>479</v>
      </c>
      <c r="D492" s="22" t="s">
        <v>980</v>
      </c>
      <c r="E492" s="13" t="str">
        <f t="array" ref="E492">INDEX(Turmas!C2:C103,MATCH(D492,Turmas!A2:A103,0))</f>
        <v>Noite</v>
      </c>
      <c r="F492" s="14">
        <v>30.0</v>
      </c>
      <c r="G492" s="15">
        <v>4.0</v>
      </c>
      <c r="H492" s="15">
        <v>0.0</v>
      </c>
      <c r="I492" s="16" t="str">
        <f t="shared" si="1"/>
        <v>1-12</v>
      </c>
      <c r="J492" s="16" t="str">
        <f t="shared" si="2"/>
        <v>1-12</v>
      </c>
      <c r="K492" s="16" t="str">
        <f t="shared" si="3"/>
        <v>1-12</v>
      </c>
      <c r="L492" s="16" t="str">
        <f t="shared" si="4"/>
        <v>1-12</v>
      </c>
      <c r="M492" s="16" t="str">
        <f t="shared" si="5"/>
        <v>1-12</v>
      </c>
      <c r="N492" s="16" t="str">
        <f t="shared" si="6"/>
        <v>0</v>
      </c>
      <c r="O492" s="17"/>
      <c r="P492" s="17"/>
      <c r="Q492" s="17"/>
      <c r="R492" s="17"/>
      <c r="S492" s="17"/>
      <c r="T492" s="17"/>
      <c r="U492" s="17"/>
      <c r="V492" s="17"/>
      <c r="W492" s="17"/>
    </row>
    <row r="493" ht="15.75" customHeight="1">
      <c r="A493" s="9" t="s">
        <v>982</v>
      </c>
      <c r="B493" s="10" t="s">
        <v>983</v>
      </c>
      <c r="C493" s="11" t="s">
        <v>947</v>
      </c>
      <c r="D493" s="22" t="s">
        <v>980</v>
      </c>
      <c r="E493" s="13" t="str">
        <f t="array" ref="E493">INDEX(Turmas!C2:C103,MATCH(D493,Turmas!A2:A103,0))</f>
        <v>Noite</v>
      </c>
      <c r="F493" s="14">
        <v>50.0</v>
      </c>
      <c r="G493" s="15">
        <v>4.0</v>
      </c>
      <c r="H493" s="15">
        <v>0.0</v>
      </c>
      <c r="I493" s="16" t="str">
        <f t="shared" si="1"/>
        <v>1-12</v>
      </c>
      <c r="J493" s="16" t="str">
        <f t="shared" si="2"/>
        <v>1-12</v>
      </c>
      <c r="K493" s="16" t="str">
        <f t="shared" si="3"/>
        <v>1-12</v>
      </c>
      <c r="L493" s="16" t="str">
        <f t="shared" si="4"/>
        <v>1-12</v>
      </c>
      <c r="M493" s="16" t="str">
        <f t="shared" si="5"/>
        <v>1-12</v>
      </c>
      <c r="N493" s="16" t="str">
        <f t="shared" si="6"/>
        <v>0</v>
      </c>
      <c r="O493" s="17"/>
      <c r="P493" s="17"/>
      <c r="Q493" s="17"/>
      <c r="R493" s="17"/>
      <c r="S493" s="17"/>
      <c r="T493" s="17"/>
      <c r="U493" s="17"/>
      <c r="V493" s="17"/>
      <c r="W493" s="17"/>
    </row>
    <row r="494" ht="15.75" customHeight="1">
      <c r="A494" s="9" t="s">
        <v>984</v>
      </c>
      <c r="B494" s="10" t="s">
        <v>985</v>
      </c>
      <c r="C494" s="11" t="s">
        <v>782</v>
      </c>
      <c r="D494" s="22" t="s">
        <v>980</v>
      </c>
      <c r="E494" s="13" t="str">
        <f t="array" ref="E494">INDEX(Turmas!C2:C103,MATCH(D494,Turmas!A2:A103,0))</f>
        <v>Noite</v>
      </c>
      <c r="F494" s="14">
        <v>50.0</v>
      </c>
      <c r="G494" s="15">
        <v>4.0</v>
      </c>
      <c r="H494" s="15">
        <v>0.0</v>
      </c>
      <c r="I494" s="16" t="str">
        <f t="shared" si="1"/>
        <v>1-12</v>
      </c>
      <c r="J494" s="16" t="str">
        <f t="shared" si="2"/>
        <v>1-12</v>
      </c>
      <c r="K494" s="16" t="str">
        <f t="shared" si="3"/>
        <v>1-12</v>
      </c>
      <c r="L494" s="16" t="str">
        <f t="shared" si="4"/>
        <v>1-12</v>
      </c>
      <c r="M494" s="16" t="str">
        <f t="shared" si="5"/>
        <v>1-12</v>
      </c>
      <c r="N494" s="16" t="str">
        <f t="shared" si="6"/>
        <v>0</v>
      </c>
      <c r="O494" s="17"/>
      <c r="P494" s="17"/>
      <c r="Q494" s="17"/>
      <c r="R494" s="17"/>
      <c r="S494" s="17"/>
      <c r="T494" s="17"/>
      <c r="U494" s="17"/>
      <c r="V494" s="17"/>
      <c r="W494" s="17"/>
    </row>
    <row r="495" ht="15.75" customHeight="1">
      <c r="A495" s="9" t="s">
        <v>986</v>
      </c>
      <c r="B495" s="10" t="s">
        <v>987</v>
      </c>
      <c r="C495" s="11" t="s">
        <v>608</v>
      </c>
      <c r="D495" s="22" t="s">
        <v>980</v>
      </c>
      <c r="E495" s="13" t="str">
        <f t="array" ref="E495">INDEX(Turmas!C2:C103,MATCH(D495,Turmas!A2:A103,0))</f>
        <v>Noite</v>
      </c>
      <c r="F495" s="14">
        <v>50.0</v>
      </c>
      <c r="G495" s="15">
        <v>2.0</v>
      </c>
      <c r="H495" s="15">
        <v>0.0</v>
      </c>
      <c r="I495" s="16" t="str">
        <f t="shared" si="1"/>
        <v>1-12</v>
      </c>
      <c r="J495" s="16" t="str">
        <f t="shared" si="2"/>
        <v>1-12</v>
      </c>
      <c r="K495" s="16" t="str">
        <f t="shared" si="3"/>
        <v>1-12</v>
      </c>
      <c r="L495" s="16" t="str">
        <f t="shared" si="4"/>
        <v>1-12</v>
      </c>
      <c r="M495" s="16" t="str">
        <f t="shared" si="5"/>
        <v>1-12</v>
      </c>
      <c r="N495" s="16" t="str">
        <f t="shared" si="6"/>
        <v>0</v>
      </c>
      <c r="O495" s="17"/>
      <c r="P495" s="17"/>
      <c r="Q495" s="17"/>
      <c r="R495" s="17"/>
      <c r="S495" s="17"/>
      <c r="T495" s="17"/>
      <c r="U495" s="17"/>
      <c r="V495" s="17"/>
      <c r="W495" s="17"/>
    </row>
    <row r="496" ht="15.75" customHeight="1">
      <c r="A496" s="9" t="s">
        <v>988</v>
      </c>
      <c r="B496" s="10" t="s">
        <v>989</v>
      </c>
      <c r="C496" s="11" t="s">
        <v>947</v>
      </c>
      <c r="D496" s="22" t="s">
        <v>980</v>
      </c>
      <c r="E496" s="13" t="str">
        <f t="array" ref="E496">INDEX(Turmas!C2:C103,MATCH(D496,Turmas!A2:A103,0))</f>
        <v>Noite</v>
      </c>
      <c r="F496" s="14">
        <v>50.0</v>
      </c>
      <c r="G496" s="15">
        <v>4.0</v>
      </c>
      <c r="H496" s="15">
        <v>0.0</v>
      </c>
      <c r="I496" s="16" t="str">
        <f t="shared" si="1"/>
        <v>1-12</v>
      </c>
      <c r="J496" s="16" t="str">
        <f t="shared" si="2"/>
        <v>1-12</v>
      </c>
      <c r="K496" s="16" t="str">
        <f t="shared" si="3"/>
        <v>1-12</v>
      </c>
      <c r="L496" s="16" t="str">
        <f t="shared" si="4"/>
        <v>1-12</v>
      </c>
      <c r="M496" s="16" t="str">
        <f t="shared" si="5"/>
        <v>1-12</v>
      </c>
      <c r="N496" s="16" t="str">
        <f t="shared" si="6"/>
        <v>0</v>
      </c>
      <c r="O496" s="17"/>
      <c r="P496" s="17"/>
      <c r="Q496" s="17"/>
      <c r="R496" s="17"/>
      <c r="S496" s="17"/>
      <c r="T496" s="17"/>
      <c r="U496" s="17"/>
      <c r="V496" s="17"/>
      <c r="W496" s="17"/>
    </row>
    <row r="497" ht="15.75" customHeight="1">
      <c r="A497" s="9" t="s">
        <v>990</v>
      </c>
      <c r="B497" s="10" t="s">
        <v>417</v>
      </c>
      <c r="C497" s="11" t="s">
        <v>115</v>
      </c>
      <c r="D497" s="22" t="s">
        <v>991</v>
      </c>
      <c r="E497" s="13" t="str">
        <f t="array" ref="E497">INDEX(Turmas!C2:C103,MATCH(D497,Turmas!A2:A103,0))</f>
        <v>Integral</v>
      </c>
      <c r="F497" s="14">
        <v>50.0</v>
      </c>
      <c r="G497" s="15">
        <v>5.0</v>
      </c>
      <c r="H497" s="15">
        <v>0.0</v>
      </c>
      <c r="I497" s="16" t="str">
        <f t="shared" si="1"/>
        <v>13-16</v>
      </c>
      <c r="J497" s="16" t="str">
        <f t="shared" si="2"/>
        <v>13-16</v>
      </c>
      <c r="K497" s="16" t="str">
        <f t="shared" si="3"/>
        <v>13-16</v>
      </c>
      <c r="L497" s="16" t="str">
        <f t="shared" si="4"/>
        <v>13-16</v>
      </c>
      <c r="M497" s="16" t="str">
        <f t="shared" si="5"/>
        <v>13-16</v>
      </c>
      <c r="N497" s="16" t="str">
        <f t="shared" si="6"/>
        <v>1-16</v>
      </c>
      <c r="O497" s="17"/>
      <c r="P497" s="17"/>
      <c r="Q497" s="17"/>
      <c r="R497" s="17"/>
      <c r="S497" s="17"/>
      <c r="T497" s="17"/>
      <c r="U497" s="17"/>
      <c r="V497" s="17"/>
      <c r="W497" s="17"/>
    </row>
    <row r="498" ht="15.75" customHeight="1">
      <c r="A498" s="9" t="s">
        <v>992</v>
      </c>
      <c r="B498" s="10" t="s">
        <v>125</v>
      </c>
      <c r="C498" s="11" t="s">
        <v>424</v>
      </c>
      <c r="D498" s="22" t="s">
        <v>991</v>
      </c>
      <c r="E498" s="13" t="str">
        <f t="array" ref="E498">INDEX(Turmas!C2:C103,MATCH(D498,Turmas!A2:A103,0))</f>
        <v>Integral</v>
      </c>
      <c r="F498" s="14">
        <v>50.0</v>
      </c>
      <c r="G498" s="15">
        <v>5.0</v>
      </c>
      <c r="H498" s="15">
        <v>0.0</v>
      </c>
      <c r="I498" s="16" t="str">
        <f t="shared" si="1"/>
        <v>13-16</v>
      </c>
      <c r="J498" s="16" t="str">
        <f t="shared" si="2"/>
        <v>13-16</v>
      </c>
      <c r="K498" s="16" t="str">
        <f t="shared" si="3"/>
        <v>13-16</v>
      </c>
      <c r="L498" s="16" t="str">
        <f t="shared" si="4"/>
        <v>13-16</v>
      </c>
      <c r="M498" s="16" t="str">
        <f t="shared" si="5"/>
        <v>13-16</v>
      </c>
      <c r="N498" s="16" t="str">
        <f t="shared" si="6"/>
        <v>1-16</v>
      </c>
      <c r="O498" s="17"/>
      <c r="P498" s="17"/>
      <c r="Q498" s="17"/>
      <c r="R498" s="17"/>
      <c r="S498" s="17"/>
      <c r="T498" s="17"/>
      <c r="U498" s="17"/>
      <c r="V498" s="17"/>
      <c r="W498" s="17"/>
    </row>
    <row r="499" ht="15.75" customHeight="1">
      <c r="A499" s="9" t="s">
        <v>993</v>
      </c>
      <c r="B499" s="10" t="s">
        <v>994</v>
      </c>
      <c r="C499" s="11" t="s">
        <v>947</v>
      </c>
      <c r="D499" s="22" t="s">
        <v>995</v>
      </c>
      <c r="E499" s="13" t="str">
        <f t="array" ref="E499">INDEX(Turmas!C2:C103,MATCH(D499,Turmas!A2:A103,0))</f>
        <v>Integral</v>
      </c>
      <c r="F499" s="14">
        <v>30.0</v>
      </c>
      <c r="G499" s="15">
        <v>21.0</v>
      </c>
      <c r="H499" s="15">
        <v>0.0</v>
      </c>
      <c r="I499" s="16" t="str">
        <f t="shared" si="1"/>
        <v>13-16</v>
      </c>
      <c r="J499" s="16" t="str">
        <f t="shared" si="2"/>
        <v>13-16</v>
      </c>
      <c r="K499" s="16" t="str">
        <f t="shared" si="3"/>
        <v>13-16</v>
      </c>
      <c r="L499" s="16" t="str">
        <f t="shared" si="4"/>
        <v>13-16</v>
      </c>
      <c r="M499" s="16" t="str">
        <f t="shared" si="5"/>
        <v>13-16</v>
      </c>
      <c r="N499" s="16" t="str">
        <f t="shared" si="6"/>
        <v>1-16</v>
      </c>
      <c r="O499" s="17"/>
      <c r="P499" s="17"/>
      <c r="Q499" s="17"/>
      <c r="R499" s="17"/>
      <c r="S499" s="17"/>
      <c r="T499" s="17"/>
      <c r="U499" s="17"/>
      <c r="V499" s="17"/>
      <c r="W499" s="17"/>
    </row>
    <row r="500" ht="15.75" customHeight="1">
      <c r="A500" s="9" t="s">
        <v>954</v>
      </c>
      <c r="B500" s="10" t="s">
        <v>955</v>
      </c>
      <c r="C500" s="11" t="s">
        <v>261</v>
      </c>
      <c r="D500" s="22" t="s">
        <v>996</v>
      </c>
      <c r="E500" s="13" t="str">
        <f t="array" ref="E500">INDEX(Turmas!C2:C103,MATCH(D500,Turmas!A2:A103,0))</f>
        <v>Noite</v>
      </c>
      <c r="F500" s="14">
        <v>50.0</v>
      </c>
      <c r="G500" s="15">
        <v>4.0</v>
      </c>
      <c r="H500" s="15">
        <v>0.0</v>
      </c>
      <c r="I500" s="16" t="str">
        <f t="shared" si="1"/>
        <v>1-12</v>
      </c>
      <c r="J500" s="16" t="str">
        <f t="shared" si="2"/>
        <v>1-12</v>
      </c>
      <c r="K500" s="16" t="str">
        <f t="shared" si="3"/>
        <v>1-12</v>
      </c>
      <c r="L500" s="16" t="str">
        <f t="shared" si="4"/>
        <v>1-12</v>
      </c>
      <c r="M500" s="16" t="str">
        <f t="shared" si="5"/>
        <v>1-12</v>
      </c>
      <c r="N500" s="16" t="str">
        <f t="shared" si="6"/>
        <v>0</v>
      </c>
      <c r="O500" s="17"/>
      <c r="P500" s="17"/>
      <c r="Q500" s="17"/>
      <c r="R500" s="17"/>
      <c r="S500" s="17"/>
      <c r="T500" s="17"/>
      <c r="U500" s="17"/>
      <c r="V500" s="17"/>
      <c r="W500" s="17"/>
    </row>
    <row r="501" ht="15.75" customHeight="1">
      <c r="A501" s="9" t="s">
        <v>176</v>
      </c>
      <c r="B501" s="10" t="s">
        <v>46</v>
      </c>
      <c r="C501" s="11" t="s">
        <v>200</v>
      </c>
      <c r="D501" s="22" t="s">
        <v>996</v>
      </c>
      <c r="E501" s="13" t="str">
        <f t="array" ref="E501">INDEX(Turmas!C2:C103,MATCH(D501,Turmas!A2:A103,0))</f>
        <v>Noite</v>
      </c>
      <c r="F501" s="14">
        <v>50.0</v>
      </c>
      <c r="G501" s="15">
        <v>4.0</v>
      </c>
      <c r="H501" s="15">
        <v>0.0</v>
      </c>
      <c r="I501" s="16" t="str">
        <f t="shared" si="1"/>
        <v>1-12</v>
      </c>
      <c r="J501" s="16" t="str">
        <f t="shared" si="2"/>
        <v>1-12</v>
      </c>
      <c r="K501" s="16" t="str">
        <f t="shared" si="3"/>
        <v>1-12</v>
      </c>
      <c r="L501" s="16" t="str">
        <f t="shared" si="4"/>
        <v>1-12</v>
      </c>
      <c r="M501" s="16" t="str">
        <f t="shared" si="5"/>
        <v>1-12</v>
      </c>
      <c r="N501" s="16" t="str">
        <f t="shared" si="6"/>
        <v>0</v>
      </c>
      <c r="O501" s="17"/>
      <c r="P501" s="17"/>
      <c r="Q501" s="17"/>
      <c r="R501" s="17"/>
      <c r="S501" s="17"/>
      <c r="T501" s="17"/>
      <c r="U501" s="17"/>
      <c r="V501" s="17"/>
      <c r="W501" s="17"/>
    </row>
    <row r="502" ht="15.75" customHeight="1">
      <c r="A502" s="9" t="s">
        <v>997</v>
      </c>
      <c r="B502" s="10" t="s">
        <v>998</v>
      </c>
      <c r="C502" s="11" t="s">
        <v>358</v>
      </c>
      <c r="D502" s="22" t="s">
        <v>996</v>
      </c>
      <c r="E502" s="13" t="str">
        <f t="array" ref="E502">INDEX(Turmas!C2:C103,MATCH(D502,Turmas!A2:A103,0))</f>
        <v>Noite</v>
      </c>
      <c r="F502" s="14">
        <v>50.0</v>
      </c>
      <c r="G502" s="15">
        <v>4.0</v>
      </c>
      <c r="H502" s="15">
        <v>0.0</v>
      </c>
      <c r="I502" s="16" t="str">
        <f t="shared" si="1"/>
        <v>1-12</v>
      </c>
      <c r="J502" s="16" t="str">
        <f t="shared" si="2"/>
        <v>1-12</v>
      </c>
      <c r="K502" s="16" t="str">
        <f t="shared" si="3"/>
        <v>1-12</v>
      </c>
      <c r="L502" s="16" t="str">
        <f t="shared" si="4"/>
        <v>1-12</v>
      </c>
      <c r="M502" s="16" t="str">
        <f t="shared" si="5"/>
        <v>1-12</v>
      </c>
      <c r="N502" s="16" t="str">
        <f t="shared" si="6"/>
        <v>0</v>
      </c>
      <c r="O502" s="17"/>
      <c r="P502" s="17"/>
      <c r="Q502" s="17"/>
      <c r="R502" s="17"/>
      <c r="S502" s="17"/>
      <c r="T502" s="17"/>
      <c r="U502" s="17"/>
      <c r="V502" s="17"/>
      <c r="W502" s="17"/>
    </row>
    <row r="503" ht="15.75" customHeight="1">
      <c r="A503" s="9" t="s">
        <v>780</v>
      </c>
      <c r="B503" s="10" t="s">
        <v>781</v>
      </c>
      <c r="C503" s="11" t="s">
        <v>926</v>
      </c>
      <c r="D503" s="22" t="s">
        <v>996</v>
      </c>
      <c r="E503" s="13" t="str">
        <f t="array" ref="E503">INDEX(Turmas!C2:C103,MATCH(D503,Turmas!A2:A103,0))</f>
        <v>Noite</v>
      </c>
      <c r="F503" s="14">
        <v>50.0</v>
      </c>
      <c r="G503" s="15">
        <v>6.0</v>
      </c>
      <c r="H503" s="15">
        <v>0.0</v>
      </c>
      <c r="I503" s="16" t="str">
        <f t="shared" si="1"/>
        <v>1-12</v>
      </c>
      <c r="J503" s="16" t="str">
        <f t="shared" si="2"/>
        <v>1-12</v>
      </c>
      <c r="K503" s="16" t="str">
        <f t="shared" si="3"/>
        <v>1-12</v>
      </c>
      <c r="L503" s="16" t="str">
        <f t="shared" si="4"/>
        <v>1-12</v>
      </c>
      <c r="M503" s="16" t="str">
        <f t="shared" si="5"/>
        <v>1-12</v>
      </c>
      <c r="N503" s="16" t="str">
        <f t="shared" si="6"/>
        <v>0</v>
      </c>
      <c r="O503" s="17"/>
      <c r="P503" s="17"/>
      <c r="Q503" s="17"/>
      <c r="R503" s="17"/>
      <c r="S503" s="17"/>
      <c r="T503" s="17"/>
      <c r="U503" s="17"/>
      <c r="V503" s="17"/>
      <c r="W503" s="17"/>
    </row>
    <row r="504" ht="15.75" customHeight="1">
      <c r="A504" s="9" t="s">
        <v>681</v>
      </c>
      <c r="B504" s="10" t="s">
        <v>682</v>
      </c>
      <c r="C504" s="11" t="s">
        <v>219</v>
      </c>
      <c r="D504" s="22" t="s">
        <v>996</v>
      </c>
      <c r="E504" s="13" t="str">
        <f t="array" ref="E504">INDEX(Turmas!C2:C103,MATCH(D504,Turmas!A2:A103,0))</f>
        <v>Noite</v>
      </c>
      <c r="F504" s="14">
        <v>50.0</v>
      </c>
      <c r="G504" s="15">
        <v>4.0</v>
      </c>
      <c r="H504" s="15">
        <v>0.0</v>
      </c>
      <c r="I504" s="16" t="str">
        <f t="shared" si="1"/>
        <v>1-12</v>
      </c>
      <c r="J504" s="16" t="str">
        <f t="shared" si="2"/>
        <v>1-12</v>
      </c>
      <c r="K504" s="16" t="str">
        <f t="shared" si="3"/>
        <v>1-12</v>
      </c>
      <c r="L504" s="16" t="str">
        <f t="shared" si="4"/>
        <v>1-12</v>
      </c>
      <c r="M504" s="16" t="str">
        <f t="shared" si="5"/>
        <v>1-12</v>
      </c>
      <c r="N504" s="16" t="str">
        <f t="shared" si="6"/>
        <v>0</v>
      </c>
      <c r="O504" s="17"/>
      <c r="P504" s="17"/>
      <c r="Q504" s="17"/>
      <c r="R504" s="17"/>
      <c r="S504" s="17"/>
      <c r="T504" s="17"/>
      <c r="U504" s="17"/>
      <c r="V504" s="17"/>
      <c r="W504" s="17"/>
    </row>
    <row r="505" ht="15.75" customHeight="1">
      <c r="A505" s="9" t="s">
        <v>999</v>
      </c>
      <c r="B505" s="10" t="s">
        <v>1000</v>
      </c>
      <c r="C505" s="11" t="s">
        <v>691</v>
      </c>
      <c r="D505" s="22" t="s">
        <v>1001</v>
      </c>
      <c r="E505" s="13" t="str">
        <f t="array" ref="E505">INDEX(Turmas!C2:C103,MATCH(D505,Turmas!A2:A103,0))</f>
        <v>Noite</v>
      </c>
      <c r="F505" s="14">
        <v>50.0</v>
      </c>
      <c r="G505" s="15">
        <v>3.0</v>
      </c>
      <c r="H505" s="15">
        <v>0.0</v>
      </c>
      <c r="I505" s="16" t="str">
        <f t="shared" si="1"/>
        <v>1-12</v>
      </c>
      <c r="J505" s="16" t="str">
        <f t="shared" si="2"/>
        <v>1-12</v>
      </c>
      <c r="K505" s="16" t="str">
        <f t="shared" si="3"/>
        <v>1-12</v>
      </c>
      <c r="L505" s="16" t="str">
        <f t="shared" si="4"/>
        <v>1-12</v>
      </c>
      <c r="M505" s="16" t="str">
        <f t="shared" si="5"/>
        <v>1-12</v>
      </c>
      <c r="N505" s="16" t="str">
        <f t="shared" si="6"/>
        <v>0</v>
      </c>
      <c r="O505" s="17"/>
      <c r="P505" s="17"/>
      <c r="Q505" s="17"/>
      <c r="R505" s="17"/>
      <c r="S505" s="17"/>
      <c r="T505" s="17"/>
      <c r="U505" s="17"/>
      <c r="V505" s="17"/>
      <c r="W505" s="17"/>
    </row>
    <row r="506" ht="15.75" customHeight="1">
      <c r="A506" s="9" t="s">
        <v>1002</v>
      </c>
      <c r="B506" s="10" t="s">
        <v>1003</v>
      </c>
      <c r="C506" s="11" t="s">
        <v>219</v>
      </c>
      <c r="D506" s="22" t="s">
        <v>1001</v>
      </c>
      <c r="E506" s="13" t="str">
        <f t="array" ref="E506">INDEX(Turmas!C2:C103,MATCH(D506,Turmas!A2:A103,0))</f>
        <v>Noite</v>
      </c>
      <c r="F506" s="14">
        <v>50.0</v>
      </c>
      <c r="G506" s="15">
        <v>3.0</v>
      </c>
      <c r="H506" s="15">
        <v>0.0</v>
      </c>
      <c r="I506" s="16" t="str">
        <f t="shared" si="1"/>
        <v>1-12</v>
      </c>
      <c r="J506" s="16" t="str">
        <f t="shared" si="2"/>
        <v>1-12</v>
      </c>
      <c r="K506" s="16" t="str">
        <f t="shared" si="3"/>
        <v>1-12</v>
      </c>
      <c r="L506" s="16" t="str">
        <f t="shared" si="4"/>
        <v>1-12</v>
      </c>
      <c r="M506" s="16" t="str">
        <f t="shared" si="5"/>
        <v>1-12</v>
      </c>
      <c r="N506" s="16" t="str">
        <f t="shared" si="6"/>
        <v>0</v>
      </c>
      <c r="O506" s="17"/>
      <c r="P506" s="17"/>
      <c r="Q506" s="17"/>
      <c r="R506" s="17"/>
      <c r="S506" s="17"/>
      <c r="T506" s="17"/>
      <c r="U506" s="17"/>
      <c r="V506" s="17"/>
      <c r="W506" s="17"/>
    </row>
    <row r="507" ht="15.75" customHeight="1">
      <c r="A507" s="9" t="s">
        <v>1004</v>
      </c>
      <c r="B507" s="10" t="s">
        <v>800</v>
      </c>
      <c r="C507" s="11" t="s">
        <v>788</v>
      </c>
      <c r="D507" s="22" t="s">
        <v>1001</v>
      </c>
      <c r="E507" s="13" t="str">
        <f t="array" ref="E507">INDEX(Turmas!C2:C103,MATCH(D507,Turmas!A2:A103,0))</f>
        <v>Noite</v>
      </c>
      <c r="F507" s="14">
        <v>50.0</v>
      </c>
      <c r="G507" s="15">
        <v>4.0</v>
      </c>
      <c r="H507" s="15">
        <v>0.0</v>
      </c>
      <c r="I507" s="16" t="str">
        <f t="shared" si="1"/>
        <v>1-12</v>
      </c>
      <c r="J507" s="16" t="str">
        <f t="shared" si="2"/>
        <v>1-12</v>
      </c>
      <c r="K507" s="16" t="str">
        <f t="shared" si="3"/>
        <v>1-12</v>
      </c>
      <c r="L507" s="16" t="str">
        <f t="shared" si="4"/>
        <v>1-12</v>
      </c>
      <c r="M507" s="16" t="str">
        <f t="shared" si="5"/>
        <v>1-12</v>
      </c>
      <c r="N507" s="16" t="str">
        <f t="shared" si="6"/>
        <v>0</v>
      </c>
      <c r="O507" s="17"/>
      <c r="P507" s="17"/>
      <c r="Q507" s="17"/>
      <c r="R507" s="17"/>
      <c r="S507" s="17"/>
      <c r="T507" s="17"/>
      <c r="U507" s="17"/>
      <c r="V507" s="17"/>
      <c r="W507" s="17"/>
    </row>
    <row r="508" ht="15.75" customHeight="1">
      <c r="A508" s="9" t="s">
        <v>1005</v>
      </c>
      <c r="B508" s="10" t="s">
        <v>729</v>
      </c>
      <c r="C508" s="11" t="s">
        <v>714</v>
      </c>
      <c r="D508" s="22" t="s">
        <v>1001</v>
      </c>
      <c r="E508" s="13" t="str">
        <f t="array" ref="E508">INDEX(Turmas!C2:C103,MATCH(D508,Turmas!A2:A103,0))</f>
        <v>Noite</v>
      </c>
      <c r="F508" s="14">
        <v>50.0</v>
      </c>
      <c r="G508" s="15">
        <v>3.0</v>
      </c>
      <c r="H508" s="15">
        <v>0.0</v>
      </c>
      <c r="I508" s="16" t="str">
        <f t="shared" si="1"/>
        <v>1-12</v>
      </c>
      <c r="J508" s="16" t="str">
        <f t="shared" si="2"/>
        <v>1-12</v>
      </c>
      <c r="K508" s="16" t="str">
        <f t="shared" si="3"/>
        <v>1-12</v>
      </c>
      <c r="L508" s="16" t="str">
        <f t="shared" si="4"/>
        <v>1-12</v>
      </c>
      <c r="M508" s="16" t="str">
        <f t="shared" si="5"/>
        <v>1-12</v>
      </c>
      <c r="N508" s="16" t="str">
        <f t="shared" si="6"/>
        <v>0</v>
      </c>
      <c r="O508" s="17"/>
      <c r="P508" s="17"/>
      <c r="Q508" s="17"/>
      <c r="R508" s="17"/>
      <c r="S508" s="17"/>
      <c r="T508" s="17"/>
      <c r="U508" s="17"/>
      <c r="V508" s="17"/>
      <c r="W508" s="17"/>
    </row>
    <row r="509" ht="15.75" customHeight="1">
      <c r="A509" s="9" t="s">
        <v>540</v>
      </c>
      <c r="B509" s="10" t="s">
        <v>541</v>
      </c>
      <c r="C509" s="11" t="s">
        <v>542</v>
      </c>
      <c r="D509" s="22" t="s">
        <v>1001</v>
      </c>
      <c r="E509" s="13" t="str">
        <f t="array" ref="E509">INDEX(Turmas!C2:C103,MATCH(D509,Turmas!A2:A103,0))</f>
        <v>Noite</v>
      </c>
      <c r="F509" s="14">
        <v>50.0</v>
      </c>
      <c r="G509" s="15">
        <v>4.0</v>
      </c>
      <c r="H509" s="15">
        <v>0.0</v>
      </c>
      <c r="I509" s="16" t="str">
        <f t="shared" si="1"/>
        <v>1-12</v>
      </c>
      <c r="J509" s="16" t="str">
        <f t="shared" si="2"/>
        <v>1-12</v>
      </c>
      <c r="K509" s="16" t="str">
        <f t="shared" si="3"/>
        <v>1-12</v>
      </c>
      <c r="L509" s="16" t="str">
        <f t="shared" si="4"/>
        <v>1-12</v>
      </c>
      <c r="M509" s="16" t="str">
        <f t="shared" si="5"/>
        <v>1-12</v>
      </c>
      <c r="N509" s="16" t="str">
        <f t="shared" si="6"/>
        <v>0</v>
      </c>
      <c r="O509" s="17"/>
      <c r="P509" s="17"/>
      <c r="Q509" s="17"/>
      <c r="R509" s="17"/>
      <c r="S509" s="17"/>
      <c r="T509" s="17"/>
      <c r="U509" s="17"/>
      <c r="V509" s="17"/>
      <c r="W509" s="17"/>
    </row>
    <row r="510" ht="15.75" customHeight="1">
      <c r="A510" s="9" t="s">
        <v>1006</v>
      </c>
      <c r="B510" s="10" t="s">
        <v>1007</v>
      </c>
      <c r="C510" s="11" t="s">
        <v>106</v>
      </c>
      <c r="D510" s="22" t="s">
        <v>1001</v>
      </c>
      <c r="E510" s="13" t="str">
        <f t="array" ref="E510">INDEX(Turmas!C2:C103,MATCH(D510,Turmas!A2:A103,0))</f>
        <v>Noite</v>
      </c>
      <c r="F510" s="14">
        <v>50.0</v>
      </c>
      <c r="G510" s="15">
        <v>3.0</v>
      </c>
      <c r="H510" s="15">
        <v>0.0</v>
      </c>
      <c r="I510" s="16" t="str">
        <f t="shared" si="1"/>
        <v>1-12</v>
      </c>
      <c r="J510" s="16" t="str">
        <f t="shared" si="2"/>
        <v>1-12</v>
      </c>
      <c r="K510" s="16" t="str">
        <f t="shared" si="3"/>
        <v>1-12</v>
      </c>
      <c r="L510" s="16" t="str">
        <f t="shared" si="4"/>
        <v>1-12</v>
      </c>
      <c r="M510" s="16" t="str">
        <f t="shared" si="5"/>
        <v>1-12</v>
      </c>
      <c r="N510" s="16" t="str">
        <f t="shared" si="6"/>
        <v>0</v>
      </c>
      <c r="O510" s="17"/>
      <c r="P510" s="17"/>
      <c r="Q510" s="17"/>
      <c r="R510" s="17"/>
      <c r="S510" s="17"/>
      <c r="T510" s="17"/>
      <c r="U510" s="17"/>
      <c r="V510" s="17"/>
      <c r="W510" s="17"/>
    </row>
    <row r="511" ht="15.75" customHeight="1">
      <c r="A511" s="9" t="s">
        <v>1008</v>
      </c>
      <c r="B511" s="10" t="s">
        <v>1009</v>
      </c>
      <c r="C511" s="11" t="s">
        <v>718</v>
      </c>
      <c r="D511" s="22" t="s">
        <v>1010</v>
      </c>
      <c r="E511" s="13" t="str">
        <f t="array" ref="E511">INDEX(Turmas!C2:C103,MATCH(D511,Turmas!A2:A103,0))</f>
        <v>Noite</v>
      </c>
      <c r="F511" s="14">
        <v>50.0</v>
      </c>
      <c r="G511" s="15">
        <v>3.0</v>
      </c>
      <c r="H511" s="15">
        <v>0.0</v>
      </c>
      <c r="I511" s="16" t="str">
        <f t="shared" si="1"/>
        <v>1-12</v>
      </c>
      <c r="J511" s="16" t="str">
        <f t="shared" si="2"/>
        <v>1-12</v>
      </c>
      <c r="K511" s="16" t="str">
        <f t="shared" si="3"/>
        <v>1-12</v>
      </c>
      <c r="L511" s="16" t="str">
        <f t="shared" si="4"/>
        <v>1-12</v>
      </c>
      <c r="M511" s="16" t="str">
        <f t="shared" si="5"/>
        <v>1-12</v>
      </c>
      <c r="N511" s="16" t="str">
        <f t="shared" si="6"/>
        <v>0</v>
      </c>
      <c r="O511" s="17"/>
      <c r="P511" s="17"/>
      <c r="Q511" s="17"/>
      <c r="R511" s="17"/>
      <c r="S511" s="17"/>
      <c r="T511" s="17"/>
      <c r="U511" s="17"/>
      <c r="V511" s="17"/>
      <c r="W511" s="17"/>
    </row>
    <row r="512" ht="15.75" customHeight="1">
      <c r="A512" s="9" t="s">
        <v>1011</v>
      </c>
      <c r="B512" s="10" t="s">
        <v>1012</v>
      </c>
      <c r="C512" s="11" t="s">
        <v>714</v>
      </c>
      <c r="D512" s="22" t="s">
        <v>1010</v>
      </c>
      <c r="E512" s="13" t="str">
        <f t="array" ref="E512">INDEX(Turmas!C2:C103,MATCH(D512,Turmas!A2:A103,0))</f>
        <v>Noite</v>
      </c>
      <c r="F512" s="14">
        <v>50.0</v>
      </c>
      <c r="G512" s="15">
        <v>3.0</v>
      </c>
      <c r="H512" s="15">
        <v>0.0</v>
      </c>
      <c r="I512" s="16" t="str">
        <f t="shared" si="1"/>
        <v>1-12</v>
      </c>
      <c r="J512" s="16" t="str">
        <f t="shared" si="2"/>
        <v>1-12</v>
      </c>
      <c r="K512" s="16" t="str">
        <f t="shared" si="3"/>
        <v>1-12</v>
      </c>
      <c r="L512" s="16" t="str">
        <f t="shared" si="4"/>
        <v>1-12</v>
      </c>
      <c r="M512" s="16" t="str">
        <f t="shared" si="5"/>
        <v>1-12</v>
      </c>
      <c r="N512" s="16" t="str">
        <f t="shared" si="6"/>
        <v>0</v>
      </c>
      <c r="O512" s="17"/>
      <c r="P512" s="17"/>
      <c r="Q512" s="17"/>
      <c r="R512" s="17"/>
      <c r="S512" s="17"/>
      <c r="T512" s="17"/>
      <c r="U512" s="17"/>
      <c r="V512" s="17"/>
      <c r="W512" s="17"/>
    </row>
    <row r="513" ht="15.75" customHeight="1">
      <c r="A513" s="9" t="s">
        <v>1013</v>
      </c>
      <c r="B513" s="10" t="s">
        <v>1014</v>
      </c>
      <c r="C513" s="11" t="s">
        <v>542</v>
      </c>
      <c r="D513" s="22" t="s">
        <v>1010</v>
      </c>
      <c r="E513" s="13" t="str">
        <f t="array" ref="E513">INDEX(Turmas!C2:C103,MATCH(D513,Turmas!A2:A103,0))</f>
        <v>Noite</v>
      </c>
      <c r="F513" s="14">
        <v>50.0</v>
      </c>
      <c r="G513" s="15">
        <v>3.0</v>
      </c>
      <c r="H513" s="15">
        <v>0.0</v>
      </c>
      <c r="I513" s="16" t="str">
        <f t="shared" si="1"/>
        <v>1-12</v>
      </c>
      <c r="J513" s="16" t="str">
        <f t="shared" si="2"/>
        <v>1-12</v>
      </c>
      <c r="K513" s="16" t="str">
        <f t="shared" si="3"/>
        <v>1-12</v>
      </c>
      <c r="L513" s="16" t="str">
        <f t="shared" si="4"/>
        <v>1-12</v>
      </c>
      <c r="M513" s="16" t="str">
        <f t="shared" si="5"/>
        <v>1-12</v>
      </c>
      <c r="N513" s="16" t="str">
        <f t="shared" si="6"/>
        <v>0</v>
      </c>
      <c r="O513" s="17"/>
      <c r="P513" s="17"/>
      <c r="Q513" s="17"/>
      <c r="R513" s="17"/>
      <c r="S513" s="17"/>
      <c r="T513" s="17"/>
      <c r="U513" s="17"/>
      <c r="V513" s="17"/>
      <c r="W513" s="17"/>
    </row>
    <row r="514" ht="15.75" customHeight="1">
      <c r="A514" s="9" t="s">
        <v>1015</v>
      </c>
      <c r="B514" s="10" t="s">
        <v>1016</v>
      </c>
      <c r="C514" s="11" t="s">
        <v>542</v>
      </c>
      <c r="D514" s="22" t="s">
        <v>1010</v>
      </c>
      <c r="E514" s="13" t="str">
        <f t="array" ref="E514">INDEX(Turmas!C2:C103,MATCH(D514,Turmas!A2:A103,0))</f>
        <v>Noite</v>
      </c>
      <c r="F514" s="14">
        <v>50.0</v>
      </c>
      <c r="G514" s="15">
        <v>3.0</v>
      </c>
      <c r="H514" s="15">
        <v>0.0</v>
      </c>
      <c r="I514" s="16" t="str">
        <f t="shared" si="1"/>
        <v>1-12</v>
      </c>
      <c r="J514" s="16" t="str">
        <f t="shared" si="2"/>
        <v>1-12</v>
      </c>
      <c r="K514" s="16" t="str">
        <f t="shared" si="3"/>
        <v>1-12</v>
      </c>
      <c r="L514" s="16" t="str">
        <f t="shared" si="4"/>
        <v>1-12</v>
      </c>
      <c r="M514" s="16" t="str">
        <f t="shared" si="5"/>
        <v>1-12</v>
      </c>
      <c r="N514" s="16" t="str">
        <f t="shared" si="6"/>
        <v>0</v>
      </c>
      <c r="O514" s="17"/>
      <c r="P514" s="17"/>
      <c r="Q514" s="17"/>
      <c r="R514" s="17"/>
      <c r="S514" s="17"/>
      <c r="T514" s="17"/>
      <c r="U514" s="17"/>
      <c r="V514" s="17"/>
      <c r="W514" s="17"/>
    </row>
    <row r="515" ht="15.75" customHeight="1">
      <c r="A515" s="9" t="s">
        <v>1017</v>
      </c>
      <c r="B515" s="10" t="s">
        <v>917</v>
      </c>
      <c r="C515" s="11" t="s">
        <v>950</v>
      </c>
      <c r="D515" s="22" t="s">
        <v>1018</v>
      </c>
      <c r="E515" s="13" t="str">
        <f t="array" ref="E515">INDEX(Turmas!C2:C103,MATCH(D515,Turmas!A2:A103,0))</f>
        <v>Integral</v>
      </c>
      <c r="F515" s="14">
        <v>50.0</v>
      </c>
      <c r="G515" s="15">
        <v>5.0</v>
      </c>
      <c r="H515" s="15">
        <v>0.0</v>
      </c>
      <c r="I515" s="16" t="str">
        <f t="shared" si="1"/>
        <v>13-16</v>
      </c>
      <c r="J515" s="16" t="str">
        <f t="shared" si="2"/>
        <v>13-16</v>
      </c>
      <c r="K515" s="16" t="str">
        <f t="shared" si="3"/>
        <v>13-16</v>
      </c>
      <c r="L515" s="16" t="str">
        <f t="shared" si="4"/>
        <v>13-16</v>
      </c>
      <c r="M515" s="16" t="str">
        <f t="shared" si="5"/>
        <v>13-16</v>
      </c>
      <c r="N515" s="16" t="str">
        <f t="shared" si="6"/>
        <v>1-16</v>
      </c>
      <c r="O515" s="17"/>
      <c r="P515" s="17"/>
      <c r="Q515" s="17"/>
      <c r="R515" s="17"/>
      <c r="S515" s="17"/>
      <c r="T515" s="17"/>
      <c r="U515" s="17"/>
      <c r="V515" s="17"/>
      <c r="W515" s="17"/>
    </row>
    <row r="516" ht="15.75" customHeight="1">
      <c r="A516" s="9" t="s">
        <v>1019</v>
      </c>
      <c r="B516" s="10" t="s">
        <v>1020</v>
      </c>
      <c r="C516" s="11" t="s">
        <v>714</v>
      </c>
      <c r="D516" s="22" t="s">
        <v>1018</v>
      </c>
      <c r="E516" s="13" t="str">
        <f t="array" ref="E516">INDEX(Turmas!C2:C103,MATCH(D516,Turmas!A2:A103,0))</f>
        <v>Integral</v>
      </c>
      <c r="F516" s="14">
        <v>50.0</v>
      </c>
      <c r="G516" s="15">
        <v>2.0</v>
      </c>
      <c r="H516" s="15">
        <v>0.0</v>
      </c>
      <c r="I516" s="16" t="str">
        <f t="shared" si="1"/>
        <v>13-16</v>
      </c>
      <c r="J516" s="16" t="str">
        <f t="shared" si="2"/>
        <v>13-16</v>
      </c>
      <c r="K516" s="16" t="str">
        <f t="shared" si="3"/>
        <v>13-16</v>
      </c>
      <c r="L516" s="16" t="str">
        <f t="shared" si="4"/>
        <v>13-16</v>
      </c>
      <c r="M516" s="16" t="str">
        <f t="shared" si="5"/>
        <v>13-16</v>
      </c>
      <c r="N516" s="16" t="str">
        <f t="shared" si="6"/>
        <v>1-16</v>
      </c>
      <c r="O516" s="17"/>
      <c r="P516" s="17"/>
      <c r="Q516" s="17"/>
      <c r="R516" s="17"/>
      <c r="S516" s="17"/>
      <c r="T516" s="17"/>
      <c r="U516" s="17"/>
      <c r="V516" s="17"/>
      <c r="W516" s="17"/>
    </row>
    <row r="517" ht="15.75" customHeight="1">
      <c r="A517" s="9" t="s">
        <v>1021</v>
      </c>
      <c r="B517" s="10" t="s">
        <v>1022</v>
      </c>
      <c r="C517" s="11" t="s">
        <v>718</v>
      </c>
      <c r="D517" s="22" t="s">
        <v>1018</v>
      </c>
      <c r="E517" s="13" t="str">
        <f t="array" ref="E517">INDEX(Turmas!C2:C103,MATCH(D517,Turmas!A2:A103,0))</f>
        <v>Integral</v>
      </c>
      <c r="F517" s="14">
        <v>50.0</v>
      </c>
      <c r="G517" s="15">
        <v>5.0</v>
      </c>
      <c r="H517" s="15">
        <v>0.0</v>
      </c>
      <c r="I517" s="16" t="str">
        <f t="shared" si="1"/>
        <v>13-16</v>
      </c>
      <c r="J517" s="16" t="str">
        <f t="shared" si="2"/>
        <v>13-16</v>
      </c>
      <c r="K517" s="16" t="str">
        <f t="shared" si="3"/>
        <v>13-16</v>
      </c>
      <c r="L517" s="16" t="str">
        <f t="shared" si="4"/>
        <v>13-16</v>
      </c>
      <c r="M517" s="16" t="str">
        <f t="shared" si="5"/>
        <v>13-16</v>
      </c>
      <c r="N517" s="16" t="str">
        <f t="shared" si="6"/>
        <v>1-16</v>
      </c>
      <c r="O517" s="17"/>
      <c r="P517" s="17"/>
      <c r="Q517" s="17"/>
      <c r="R517" s="17"/>
      <c r="S517" s="17"/>
      <c r="T517" s="17"/>
      <c r="U517" s="17"/>
      <c r="V517" s="17"/>
      <c r="W517" s="17"/>
    </row>
    <row r="518" ht="15.75" customHeight="1">
      <c r="A518" s="9" t="s">
        <v>1023</v>
      </c>
      <c r="B518" s="10" t="s">
        <v>1024</v>
      </c>
      <c r="C518" s="11" t="s">
        <v>325</v>
      </c>
      <c r="D518" s="22" t="s">
        <v>1025</v>
      </c>
      <c r="E518" s="13" t="str">
        <f t="array" ref="E518">INDEX(Turmas!C2:C103,MATCH(D518,Turmas!A2:A103,0))</f>
        <v>Noite</v>
      </c>
      <c r="F518" s="14">
        <v>60.0</v>
      </c>
      <c r="G518" s="15">
        <v>4.0</v>
      </c>
      <c r="H518" s="15">
        <v>0.0</v>
      </c>
      <c r="I518" s="16" t="str">
        <f t="shared" si="1"/>
        <v>1-12</v>
      </c>
      <c r="J518" s="16" t="str">
        <f t="shared" si="2"/>
        <v>1-12</v>
      </c>
      <c r="K518" s="16" t="str">
        <f t="shared" si="3"/>
        <v>1-12</v>
      </c>
      <c r="L518" s="16" t="str">
        <f t="shared" si="4"/>
        <v>1-12</v>
      </c>
      <c r="M518" s="16" t="str">
        <f t="shared" si="5"/>
        <v>1-12</v>
      </c>
      <c r="N518" s="16" t="str">
        <f t="shared" si="6"/>
        <v>0</v>
      </c>
      <c r="O518" s="17"/>
      <c r="P518" s="17"/>
      <c r="Q518" s="17"/>
      <c r="R518" s="17"/>
      <c r="S518" s="17"/>
      <c r="T518" s="17"/>
      <c r="U518" s="17"/>
      <c r="V518" s="17"/>
      <c r="W518" s="17"/>
    </row>
    <row r="519" ht="15.75" customHeight="1">
      <c r="A519" s="9" t="s">
        <v>1026</v>
      </c>
      <c r="B519" s="10" t="s">
        <v>1027</v>
      </c>
      <c r="C519" s="11" t="s">
        <v>54</v>
      </c>
      <c r="D519" s="22" t="s">
        <v>1025</v>
      </c>
      <c r="E519" s="13" t="str">
        <f t="array" ref="E519">INDEX(Turmas!C2:C103,MATCH(D519,Turmas!A2:A103,0))</f>
        <v>Noite</v>
      </c>
      <c r="F519" s="14">
        <v>60.0</v>
      </c>
      <c r="G519" s="15">
        <v>4.0</v>
      </c>
      <c r="H519" s="15">
        <v>0.0</v>
      </c>
      <c r="I519" s="16" t="str">
        <f t="shared" si="1"/>
        <v>1-12</v>
      </c>
      <c r="J519" s="16" t="str">
        <f t="shared" si="2"/>
        <v>1-12</v>
      </c>
      <c r="K519" s="16" t="str">
        <f t="shared" si="3"/>
        <v>1-12</v>
      </c>
      <c r="L519" s="16" t="str">
        <f t="shared" si="4"/>
        <v>1-12</v>
      </c>
      <c r="M519" s="16" t="str">
        <f t="shared" si="5"/>
        <v>1-12</v>
      </c>
      <c r="N519" s="16" t="str">
        <f t="shared" si="6"/>
        <v>0</v>
      </c>
      <c r="O519" s="17"/>
      <c r="P519" s="17"/>
      <c r="Q519" s="17"/>
      <c r="R519" s="17"/>
      <c r="S519" s="17"/>
      <c r="T519" s="17"/>
      <c r="U519" s="17"/>
      <c r="V519" s="17"/>
      <c r="W519" s="17"/>
    </row>
    <row r="520" ht="15.75" customHeight="1">
      <c r="A520" s="9" t="s">
        <v>1028</v>
      </c>
      <c r="B520" s="10" t="s">
        <v>1029</v>
      </c>
      <c r="C520" s="11" t="s">
        <v>129</v>
      </c>
      <c r="D520" s="22" t="s">
        <v>1025</v>
      </c>
      <c r="E520" s="13" t="str">
        <f t="array" ref="E520">INDEX(Turmas!C2:C103,MATCH(D520,Turmas!A2:A103,0))</f>
        <v>Noite</v>
      </c>
      <c r="F520" s="14">
        <v>60.0</v>
      </c>
      <c r="G520" s="15">
        <v>4.0</v>
      </c>
      <c r="H520" s="15">
        <v>0.0</v>
      </c>
      <c r="I520" s="16" t="str">
        <f t="shared" si="1"/>
        <v>1-12</v>
      </c>
      <c r="J520" s="16" t="str">
        <f t="shared" si="2"/>
        <v>1-12</v>
      </c>
      <c r="K520" s="16" t="str">
        <f t="shared" si="3"/>
        <v>1-12</v>
      </c>
      <c r="L520" s="16" t="str">
        <f t="shared" si="4"/>
        <v>1-12</v>
      </c>
      <c r="M520" s="16" t="str">
        <f t="shared" si="5"/>
        <v>1-12</v>
      </c>
      <c r="N520" s="16" t="str">
        <f t="shared" si="6"/>
        <v>0</v>
      </c>
      <c r="O520" s="17"/>
      <c r="P520" s="17"/>
      <c r="Q520" s="17"/>
      <c r="R520" s="17"/>
      <c r="S520" s="17"/>
      <c r="T520" s="17"/>
      <c r="U520" s="17"/>
      <c r="V520" s="17"/>
      <c r="W520" s="17"/>
    </row>
    <row r="521" ht="15.75" customHeight="1">
      <c r="A521" s="9" t="s">
        <v>1030</v>
      </c>
      <c r="B521" s="10" t="s">
        <v>1031</v>
      </c>
      <c r="C521" s="11" t="s">
        <v>73</v>
      </c>
      <c r="D521" s="22" t="s">
        <v>1025</v>
      </c>
      <c r="E521" s="13" t="str">
        <f t="array" ref="E521">INDEX(Turmas!C2:C103,MATCH(D521,Turmas!A2:A103,0))</f>
        <v>Noite</v>
      </c>
      <c r="F521" s="14">
        <v>60.0</v>
      </c>
      <c r="G521" s="15">
        <v>2.0</v>
      </c>
      <c r="H521" s="15">
        <v>0.0</v>
      </c>
      <c r="I521" s="16" t="str">
        <f t="shared" si="1"/>
        <v>1-12</v>
      </c>
      <c r="J521" s="16" t="str">
        <f t="shared" si="2"/>
        <v>1-12</v>
      </c>
      <c r="K521" s="16" t="str">
        <f t="shared" si="3"/>
        <v>1-12</v>
      </c>
      <c r="L521" s="16" t="str">
        <f t="shared" si="4"/>
        <v>1-12</v>
      </c>
      <c r="M521" s="16" t="str">
        <f t="shared" si="5"/>
        <v>1-12</v>
      </c>
      <c r="N521" s="16" t="str">
        <f t="shared" si="6"/>
        <v>0</v>
      </c>
      <c r="O521" s="17"/>
      <c r="P521" s="17"/>
      <c r="Q521" s="17"/>
      <c r="R521" s="17"/>
      <c r="S521" s="17"/>
      <c r="T521" s="17"/>
      <c r="U521" s="17"/>
      <c r="V521" s="17"/>
      <c r="W521" s="17"/>
    </row>
    <row r="522" ht="15.75" customHeight="1">
      <c r="A522" s="9" t="s">
        <v>1032</v>
      </c>
      <c r="B522" s="10" t="s">
        <v>1033</v>
      </c>
      <c r="C522" s="11" t="s">
        <v>103</v>
      </c>
      <c r="D522" s="22" t="s">
        <v>1025</v>
      </c>
      <c r="E522" s="13" t="str">
        <f t="array" ref="E522">INDEX(Turmas!C2:C103,MATCH(D522,Turmas!A2:A103,0))</f>
        <v>Noite</v>
      </c>
      <c r="F522" s="14">
        <v>60.0</v>
      </c>
      <c r="G522" s="15">
        <v>3.0</v>
      </c>
      <c r="H522" s="15">
        <v>0.0</v>
      </c>
      <c r="I522" s="16" t="str">
        <f t="shared" si="1"/>
        <v>1-12</v>
      </c>
      <c r="J522" s="16" t="str">
        <f t="shared" si="2"/>
        <v>1-12</v>
      </c>
      <c r="K522" s="16" t="str">
        <f t="shared" si="3"/>
        <v>1-12</v>
      </c>
      <c r="L522" s="16" t="str">
        <f t="shared" si="4"/>
        <v>1-12</v>
      </c>
      <c r="M522" s="16" t="str">
        <f t="shared" si="5"/>
        <v>1-12</v>
      </c>
      <c r="N522" s="16" t="str">
        <f t="shared" si="6"/>
        <v>0</v>
      </c>
      <c r="O522" s="17"/>
      <c r="P522" s="17"/>
      <c r="Q522" s="17"/>
      <c r="R522" s="17"/>
      <c r="S522" s="17"/>
      <c r="T522" s="17"/>
      <c r="U522" s="17"/>
      <c r="V522" s="17"/>
      <c r="W522" s="17"/>
    </row>
    <row r="523" ht="15.75" customHeight="1">
      <c r="A523" s="9" t="s">
        <v>1034</v>
      </c>
      <c r="B523" s="10" t="s">
        <v>1035</v>
      </c>
      <c r="C523" s="11" t="s">
        <v>261</v>
      </c>
      <c r="D523" s="22" t="s">
        <v>1025</v>
      </c>
      <c r="E523" s="13" t="str">
        <f t="array" ref="E523">INDEX(Turmas!C2:C103,MATCH(D523,Turmas!A2:A103,0))</f>
        <v>Noite</v>
      </c>
      <c r="F523" s="14">
        <v>60.0</v>
      </c>
      <c r="G523" s="15">
        <v>3.0</v>
      </c>
      <c r="H523" s="15">
        <v>0.0</v>
      </c>
      <c r="I523" s="16" t="str">
        <f t="shared" si="1"/>
        <v>1-12</v>
      </c>
      <c r="J523" s="16" t="str">
        <f t="shared" si="2"/>
        <v>1-12</v>
      </c>
      <c r="K523" s="16" t="str">
        <f t="shared" si="3"/>
        <v>1-12</v>
      </c>
      <c r="L523" s="16" t="str">
        <f t="shared" si="4"/>
        <v>1-12</v>
      </c>
      <c r="M523" s="16" t="str">
        <f t="shared" si="5"/>
        <v>1-12</v>
      </c>
      <c r="N523" s="16" t="str">
        <f t="shared" si="6"/>
        <v>0</v>
      </c>
      <c r="O523" s="17"/>
      <c r="P523" s="17"/>
      <c r="Q523" s="17"/>
      <c r="R523" s="17"/>
      <c r="S523" s="17"/>
      <c r="T523" s="17"/>
      <c r="U523" s="17"/>
      <c r="V523" s="17"/>
      <c r="W523" s="17"/>
    </row>
    <row r="524" ht="15.75" customHeight="1">
      <c r="A524" s="9" t="s">
        <v>1036</v>
      </c>
      <c r="B524" s="10" t="s">
        <v>1037</v>
      </c>
      <c r="C524" s="11" t="s">
        <v>542</v>
      </c>
      <c r="D524" s="22" t="s">
        <v>1038</v>
      </c>
      <c r="E524" s="13" t="str">
        <f t="array" ref="E524">INDEX(Turmas!C2:C103,MATCH(D524,Turmas!A2:A103,0))</f>
        <v>Noite</v>
      </c>
      <c r="F524" s="14">
        <v>60.0</v>
      </c>
      <c r="G524" s="15">
        <v>2.0</v>
      </c>
      <c r="H524" s="15">
        <v>0.0</v>
      </c>
      <c r="I524" s="16" t="str">
        <f t="shared" si="1"/>
        <v>1-12</v>
      </c>
      <c r="J524" s="16" t="str">
        <f t="shared" si="2"/>
        <v>1-12</v>
      </c>
      <c r="K524" s="16" t="str">
        <f t="shared" si="3"/>
        <v>1-12</v>
      </c>
      <c r="L524" s="16" t="str">
        <f t="shared" si="4"/>
        <v>1-12</v>
      </c>
      <c r="M524" s="16" t="str">
        <f t="shared" si="5"/>
        <v>1-12</v>
      </c>
      <c r="N524" s="16" t="str">
        <f t="shared" si="6"/>
        <v>0</v>
      </c>
      <c r="O524" s="17"/>
      <c r="P524" s="17"/>
      <c r="Q524" s="17"/>
      <c r="R524" s="17"/>
      <c r="S524" s="17"/>
      <c r="T524" s="17"/>
      <c r="U524" s="17"/>
      <c r="V524" s="17"/>
      <c r="W524" s="17"/>
    </row>
    <row r="525" ht="15.75" customHeight="1">
      <c r="A525" s="9" t="s">
        <v>1039</v>
      </c>
      <c r="B525" s="10" t="s">
        <v>1040</v>
      </c>
      <c r="C525" s="11" t="s">
        <v>54</v>
      </c>
      <c r="D525" s="22" t="s">
        <v>1038</v>
      </c>
      <c r="E525" s="13" t="str">
        <f t="array" ref="E525">INDEX(Turmas!C2:C103,MATCH(D525,Turmas!A2:A103,0))</f>
        <v>Noite</v>
      </c>
      <c r="F525" s="14">
        <v>60.0</v>
      </c>
      <c r="G525" s="15">
        <v>2.0</v>
      </c>
      <c r="H525" s="15">
        <v>0.0</v>
      </c>
      <c r="I525" s="16" t="str">
        <f t="shared" si="1"/>
        <v>1-12</v>
      </c>
      <c r="J525" s="16" t="str">
        <f t="shared" si="2"/>
        <v>1-12</v>
      </c>
      <c r="K525" s="16" t="str">
        <f t="shared" si="3"/>
        <v>1-12</v>
      </c>
      <c r="L525" s="16" t="str">
        <f t="shared" si="4"/>
        <v>1-12</v>
      </c>
      <c r="M525" s="16" t="str">
        <f t="shared" si="5"/>
        <v>1-12</v>
      </c>
      <c r="N525" s="16" t="str">
        <f t="shared" si="6"/>
        <v>0</v>
      </c>
      <c r="O525" s="17"/>
      <c r="P525" s="17"/>
      <c r="Q525" s="17"/>
      <c r="R525" s="17"/>
      <c r="S525" s="17"/>
      <c r="T525" s="17"/>
      <c r="U525" s="17"/>
      <c r="V525" s="17"/>
      <c r="W525" s="17"/>
    </row>
    <row r="526" ht="15.75" customHeight="1">
      <c r="A526" s="9" t="s">
        <v>1041</v>
      </c>
      <c r="B526" s="10" t="s">
        <v>1042</v>
      </c>
      <c r="C526" s="11" t="s">
        <v>129</v>
      </c>
      <c r="D526" s="22" t="s">
        <v>1038</v>
      </c>
      <c r="E526" s="13" t="str">
        <f t="array" ref="E526">INDEX(Turmas!C2:C103,MATCH(D526,Turmas!A2:A103,0))</f>
        <v>Noite</v>
      </c>
      <c r="F526" s="14">
        <v>60.0</v>
      </c>
      <c r="G526" s="15">
        <v>2.0</v>
      </c>
      <c r="H526" s="15">
        <v>0.0</v>
      </c>
      <c r="I526" s="16" t="str">
        <f t="shared" si="1"/>
        <v>1-12</v>
      </c>
      <c r="J526" s="16" t="str">
        <f t="shared" si="2"/>
        <v>1-12</v>
      </c>
      <c r="K526" s="16" t="str">
        <f t="shared" si="3"/>
        <v>1-12</v>
      </c>
      <c r="L526" s="16" t="str">
        <f t="shared" si="4"/>
        <v>1-12</v>
      </c>
      <c r="M526" s="16" t="str">
        <f t="shared" si="5"/>
        <v>1-12</v>
      </c>
      <c r="N526" s="16" t="str">
        <f t="shared" si="6"/>
        <v>0</v>
      </c>
      <c r="O526" s="17"/>
      <c r="P526" s="17"/>
      <c r="Q526" s="17"/>
      <c r="R526" s="17"/>
      <c r="S526" s="17"/>
      <c r="T526" s="17"/>
      <c r="U526" s="17"/>
      <c r="V526" s="17"/>
      <c r="W526" s="17"/>
    </row>
    <row r="527" ht="15.75" customHeight="1">
      <c r="A527" s="9" t="s">
        <v>1043</v>
      </c>
      <c r="B527" s="10" t="s">
        <v>1044</v>
      </c>
      <c r="C527" s="11" t="s">
        <v>559</v>
      </c>
      <c r="D527" s="22" t="s">
        <v>1038</v>
      </c>
      <c r="E527" s="13" t="str">
        <f t="array" ref="E527">INDEX(Turmas!C2:C103,MATCH(D527,Turmas!A2:A103,0))</f>
        <v>Noite</v>
      </c>
      <c r="F527" s="14">
        <v>60.0</v>
      </c>
      <c r="G527" s="15">
        <v>2.0</v>
      </c>
      <c r="H527" s="15">
        <v>0.0</v>
      </c>
      <c r="I527" s="16" t="str">
        <f t="shared" si="1"/>
        <v>1-12</v>
      </c>
      <c r="J527" s="16" t="str">
        <f t="shared" si="2"/>
        <v>1-12</v>
      </c>
      <c r="K527" s="16" t="str">
        <f t="shared" si="3"/>
        <v>1-12</v>
      </c>
      <c r="L527" s="16" t="str">
        <f t="shared" si="4"/>
        <v>1-12</v>
      </c>
      <c r="M527" s="16" t="str">
        <f t="shared" si="5"/>
        <v>1-12</v>
      </c>
      <c r="N527" s="16" t="str">
        <f t="shared" si="6"/>
        <v>0</v>
      </c>
      <c r="O527" s="17"/>
      <c r="P527" s="17"/>
      <c r="Q527" s="17"/>
      <c r="R527" s="17"/>
      <c r="S527" s="17"/>
      <c r="T527" s="17"/>
      <c r="U527" s="17"/>
      <c r="V527" s="17"/>
      <c r="W527" s="17"/>
    </row>
    <row r="528" ht="15.75" customHeight="1">
      <c r="A528" s="9" t="s">
        <v>1045</v>
      </c>
      <c r="B528" s="10" t="s">
        <v>1046</v>
      </c>
      <c r="C528" s="11" t="s">
        <v>325</v>
      </c>
      <c r="D528" s="22" t="s">
        <v>1038</v>
      </c>
      <c r="E528" s="13" t="str">
        <f t="array" ref="E528">INDEX(Turmas!C2:C103,MATCH(D528,Turmas!A2:A103,0))</f>
        <v>Noite</v>
      </c>
      <c r="F528" s="14">
        <v>60.0</v>
      </c>
      <c r="G528" s="15">
        <v>4.0</v>
      </c>
      <c r="H528" s="15">
        <v>0.0</v>
      </c>
      <c r="I528" s="16" t="str">
        <f t="shared" si="1"/>
        <v>1-12</v>
      </c>
      <c r="J528" s="16" t="str">
        <f t="shared" si="2"/>
        <v>1-12</v>
      </c>
      <c r="K528" s="16" t="str">
        <f t="shared" si="3"/>
        <v>1-12</v>
      </c>
      <c r="L528" s="16" t="str">
        <f t="shared" si="4"/>
        <v>1-12</v>
      </c>
      <c r="M528" s="16" t="str">
        <f t="shared" si="5"/>
        <v>1-12</v>
      </c>
      <c r="N528" s="16" t="str">
        <f t="shared" si="6"/>
        <v>0</v>
      </c>
      <c r="O528" s="17"/>
      <c r="P528" s="17"/>
      <c r="Q528" s="17"/>
      <c r="R528" s="17"/>
      <c r="S528" s="17"/>
      <c r="T528" s="17"/>
      <c r="U528" s="17"/>
      <c r="V528" s="17"/>
      <c r="W528" s="17"/>
    </row>
    <row r="529" ht="15.75" customHeight="1">
      <c r="A529" s="9" t="s">
        <v>1047</v>
      </c>
      <c r="B529" s="10" t="s">
        <v>1048</v>
      </c>
      <c r="C529" s="11" t="s">
        <v>723</v>
      </c>
      <c r="D529" s="22" t="s">
        <v>1038</v>
      </c>
      <c r="E529" s="13" t="str">
        <f t="array" ref="E529">INDEX(Turmas!C2:C103,MATCH(D529,Turmas!A2:A103,0))</f>
        <v>Noite</v>
      </c>
      <c r="F529" s="14">
        <v>60.0</v>
      </c>
      <c r="G529" s="15">
        <v>4.0</v>
      </c>
      <c r="H529" s="15">
        <v>0.0</v>
      </c>
      <c r="I529" s="16" t="str">
        <f t="shared" si="1"/>
        <v>1-12</v>
      </c>
      <c r="J529" s="16" t="str">
        <f t="shared" si="2"/>
        <v>1-12</v>
      </c>
      <c r="K529" s="16" t="str">
        <f t="shared" si="3"/>
        <v>1-12</v>
      </c>
      <c r="L529" s="16" t="str">
        <f t="shared" si="4"/>
        <v>1-12</v>
      </c>
      <c r="M529" s="16" t="str">
        <f t="shared" si="5"/>
        <v>1-12</v>
      </c>
      <c r="N529" s="16" t="str">
        <f t="shared" si="6"/>
        <v>0</v>
      </c>
      <c r="O529" s="17"/>
      <c r="P529" s="17"/>
      <c r="Q529" s="17"/>
      <c r="R529" s="17"/>
      <c r="S529" s="17"/>
      <c r="T529" s="17"/>
      <c r="U529" s="17"/>
      <c r="V529" s="17"/>
      <c r="W529" s="17"/>
    </row>
    <row r="530" ht="15.75" customHeight="1">
      <c r="A530" s="9" t="s">
        <v>77</v>
      </c>
      <c r="B530" s="10" t="s">
        <v>78</v>
      </c>
      <c r="C530" s="11" t="s">
        <v>83</v>
      </c>
      <c r="D530" s="22" t="s">
        <v>1038</v>
      </c>
      <c r="E530" s="13" t="str">
        <f t="array" ref="E530">INDEX(Turmas!C2:C103,MATCH(D530,Turmas!A2:A103,0))</f>
        <v>Noite</v>
      </c>
      <c r="F530" s="14">
        <v>60.0</v>
      </c>
      <c r="G530" s="15">
        <v>4.0</v>
      </c>
      <c r="H530" s="15">
        <v>0.0</v>
      </c>
      <c r="I530" s="16" t="str">
        <f t="shared" si="1"/>
        <v>1-12</v>
      </c>
      <c r="J530" s="16" t="str">
        <f t="shared" si="2"/>
        <v>1-12</v>
      </c>
      <c r="K530" s="16" t="str">
        <f t="shared" si="3"/>
        <v>1-12</v>
      </c>
      <c r="L530" s="16" t="str">
        <f t="shared" si="4"/>
        <v>1-12</v>
      </c>
      <c r="M530" s="16" t="str">
        <f t="shared" si="5"/>
        <v>1-12</v>
      </c>
      <c r="N530" s="16" t="str">
        <f t="shared" si="6"/>
        <v>0</v>
      </c>
      <c r="O530" s="17"/>
      <c r="P530" s="17"/>
      <c r="Q530" s="17"/>
      <c r="R530" s="17"/>
      <c r="S530" s="17"/>
      <c r="T530" s="17"/>
      <c r="U530" s="17"/>
      <c r="V530" s="17"/>
      <c r="W530" s="17"/>
    </row>
    <row r="531" ht="15.75" customHeight="1">
      <c r="A531" s="9" t="s">
        <v>1049</v>
      </c>
      <c r="B531" s="10" t="s">
        <v>1050</v>
      </c>
      <c r="C531" s="11" t="s">
        <v>542</v>
      </c>
      <c r="D531" s="22" t="s">
        <v>1051</v>
      </c>
      <c r="E531" s="13" t="str">
        <f t="array" ref="E531">INDEX(Turmas!C2:C103,MATCH(D531,Turmas!A2:A103,0))</f>
        <v>Noite</v>
      </c>
      <c r="F531" s="14">
        <v>60.0</v>
      </c>
      <c r="G531" s="15">
        <v>4.0</v>
      </c>
      <c r="H531" s="15">
        <v>0.0</v>
      </c>
      <c r="I531" s="16" t="str">
        <f t="shared" si="1"/>
        <v>1-12</v>
      </c>
      <c r="J531" s="16" t="str">
        <f t="shared" si="2"/>
        <v>1-12</v>
      </c>
      <c r="K531" s="16" t="str">
        <f t="shared" si="3"/>
        <v>1-12</v>
      </c>
      <c r="L531" s="16" t="str">
        <f t="shared" si="4"/>
        <v>1-12</v>
      </c>
      <c r="M531" s="16" t="str">
        <f t="shared" si="5"/>
        <v>1-12</v>
      </c>
      <c r="N531" s="16" t="str">
        <f t="shared" si="6"/>
        <v>0</v>
      </c>
      <c r="O531" s="17"/>
      <c r="P531" s="17"/>
      <c r="Q531" s="17"/>
      <c r="R531" s="17"/>
      <c r="S531" s="17"/>
      <c r="T531" s="17"/>
      <c r="U531" s="17"/>
      <c r="V531" s="17"/>
      <c r="W531" s="17"/>
    </row>
    <row r="532" ht="15.75" customHeight="1">
      <c r="A532" s="9" t="s">
        <v>1052</v>
      </c>
      <c r="B532" s="10" t="s">
        <v>1053</v>
      </c>
      <c r="C532" s="11" t="s">
        <v>325</v>
      </c>
      <c r="D532" s="22" t="s">
        <v>1051</v>
      </c>
      <c r="E532" s="13" t="str">
        <f t="array" ref="E532">INDEX(Turmas!C2:C103,MATCH(D532,Turmas!A2:A103,0))</f>
        <v>Noite</v>
      </c>
      <c r="F532" s="14">
        <v>60.0</v>
      </c>
      <c r="G532" s="15">
        <v>2.0</v>
      </c>
      <c r="H532" s="15">
        <v>0.0</v>
      </c>
      <c r="I532" s="16" t="str">
        <f t="shared" si="1"/>
        <v>1-12</v>
      </c>
      <c r="J532" s="16" t="str">
        <f t="shared" si="2"/>
        <v>1-12</v>
      </c>
      <c r="K532" s="16" t="str">
        <f t="shared" si="3"/>
        <v>1-12</v>
      </c>
      <c r="L532" s="16" t="str">
        <f t="shared" si="4"/>
        <v>1-12</v>
      </c>
      <c r="M532" s="16" t="str">
        <f t="shared" si="5"/>
        <v>1-12</v>
      </c>
      <c r="N532" s="16" t="str">
        <f t="shared" si="6"/>
        <v>0</v>
      </c>
      <c r="O532" s="17"/>
      <c r="P532" s="17"/>
      <c r="Q532" s="17"/>
      <c r="R532" s="17"/>
      <c r="S532" s="17"/>
      <c r="T532" s="17"/>
      <c r="U532" s="17"/>
      <c r="V532" s="17"/>
      <c r="W532" s="17"/>
    </row>
    <row r="533" ht="15.75" customHeight="1">
      <c r="A533" s="9" t="s">
        <v>1054</v>
      </c>
      <c r="B533" s="10" t="s">
        <v>1055</v>
      </c>
      <c r="C533" s="11" t="s">
        <v>54</v>
      </c>
      <c r="D533" s="22" t="s">
        <v>1051</v>
      </c>
      <c r="E533" s="13" t="str">
        <f t="array" ref="E533">INDEX(Turmas!C2:C103,MATCH(D533,Turmas!A2:A103,0))</f>
        <v>Noite</v>
      </c>
      <c r="F533" s="14">
        <v>60.0</v>
      </c>
      <c r="G533" s="15">
        <v>2.0</v>
      </c>
      <c r="H533" s="15">
        <v>0.0</v>
      </c>
      <c r="I533" s="16" t="str">
        <f t="shared" si="1"/>
        <v>1-12</v>
      </c>
      <c r="J533" s="16" t="str">
        <f t="shared" si="2"/>
        <v>1-12</v>
      </c>
      <c r="K533" s="16" t="str">
        <f t="shared" si="3"/>
        <v>1-12</v>
      </c>
      <c r="L533" s="16" t="str">
        <f t="shared" si="4"/>
        <v>1-12</v>
      </c>
      <c r="M533" s="16" t="str">
        <f t="shared" si="5"/>
        <v>1-12</v>
      </c>
      <c r="N533" s="16" t="str">
        <f t="shared" si="6"/>
        <v>0</v>
      </c>
      <c r="O533" s="17"/>
      <c r="P533" s="17"/>
      <c r="Q533" s="17"/>
      <c r="R533" s="17"/>
      <c r="S533" s="17"/>
      <c r="T533" s="17"/>
      <c r="U533" s="17"/>
      <c r="V533" s="17"/>
      <c r="W533" s="17"/>
    </row>
    <row r="534" ht="15.75" customHeight="1">
      <c r="A534" s="9" t="s">
        <v>1056</v>
      </c>
      <c r="B534" s="10" t="s">
        <v>1057</v>
      </c>
      <c r="C534" s="11" t="s">
        <v>68</v>
      </c>
      <c r="D534" s="22" t="s">
        <v>1051</v>
      </c>
      <c r="E534" s="13" t="str">
        <f t="array" ref="E534">INDEX(Turmas!C2:C103,MATCH(D534,Turmas!A2:A103,0))</f>
        <v>Noite</v>
      </c>
      <c r="F534" s="14">
        <v>60.0</v>
      </c>
      <c r="G534" s="15">
        <v>2.0</v>
      </c>
      <c r="H534" s="15">
        <v>0.0</v>
      </c>
      <c r="I534" s="16" t="str">
        <f t="shared" si="1"/>
        <v>1-12</v>
      </c>
      <c r="J534" s="16" t="str">
        <f t="shared" si="2"/>
        <v>1-12</v>
      </c>
      <c r="K534" s="16" t="str">
        <f t="shared" si="3"/>
        <v>1-12</v>
      </c>
      <c r="L534" s="16" t="str">
        <f t="shared" si="4"/>
        <v>1-12</v>
      </c>
      <c r="M534" s="16" t="str">
        <f t="shared" si="5"/>
        <v>1-12</v>
      </c>
      <c r="N534" s="16" t="str">
        <f t="shared" si="6"/>
        <v>0</v>
      </c>
      <c r="O534" s="17"/>
      <c r="P534" s="17"/>
      <c r="Q534" s="17"/>
      <c r="R534" s="17"/>
      <c r="S534" s="17"/>
      <c r="T534" s="17"/>
      <c r="U534" s="17"/>
      <c r="V534" s="17"/>
      <c r="W534" s="17"/>
    </row>
    <row r="535" ht="15.75" customHeight="1">
      <c r="A535" s="9" t="s">
        <v>1058</v>
      </c>
      <c r="B535" s="10" t="s">
        <v>1059</v>
      </c>
      <c r="C535" s="11" t="s">
        <v>325</v>
      </c>
      <c r="D535" s="22" t="s">
        <v>1051</v>
      </c>
      <c r="E535" s="13" t="str">
        <f t="array" ref="E535">INDEX(Turmas!C2:C103,MATCH(D535,Turmas!A2:A103,0))</f>
        <v>Noite</v>
      </c>
      <c r="F535" s="14">
        <v>60.0</v>
      </c>
      <c r="G535" s="15">
        <v>2.0</v>
      </c>
      <c r="H535" s="15">
        <v>0.0</v>
      </c>
      <c r="I535" s="16" t="str">
        <f t="shared" si="1"/>
        <v>1-12</v>
      </c>
      <c r="J535" s="16" t="str">
        <f t="shared" si="2"/>
        <v>1-12</v>
      </c>
      <c r="K535" s="16" t="str">
        <f t="shared" si="3"/>
        <v>1-12</v>
      </c>
      <c r="L535" s="16" t="str">
        <f t="shared" si="4"/>
        <v>1-12</v>
      </c>
      <c r="M535" s="16" t="str">
        <f t="shared" si="5"/>
        <v>1-12</v>
      </c>
      <c r="N535" s="16" t="str">
        <f t="shared" si="6"/>
        <v>0</v>
      </c>
      <c r="O535" s="17"/>
      <c r="P535" s="17"/>
      <c r="Q535" s="17"/>
      <c r="R535" s="17"/>
      <c r="S535" s="17"/>
      <c r="T535" s="17"/>
      <c r="U535" s="17"/>
      <c r="V535" s="17"/>
      <c r="W535" s="17"/>
    </row>
    <row r="536" ht="15.75" customHeight="1">
      <c r="A536" s="9" t="s">
        <v>1060</v>
      </c>
      <c r="B536" s="10" t="s">
        <v>1061</v>
      </c>
      <c r="C536" s="11" t="s">
        <v>739</v>
      </c>
      <c r="D536" s="22" t="s">
        <v>1051</v>
      </c>
      <c r="E536" s="13" t="str">
        <f t="array" ref="E536">INDEX(Turmas!C2:C103,MATCH(D536,Turmas!A2:A103,0))</f>
        <v>Noite</v>
      </c>
      <c r="F536" s="14">
        <v>60.0</v>
      </c>
      <c r="G536" s="15">
        <v>4.0</v>
      </c>
      <c r="H536" s="15">
        <v>0.0</v>
      </c>
      <c r="I536" s="16" t="str">
        <f t="shared" si="1"/>
        <v>1-12</v>
      </c>
      <c r="J536" s="16" t="str">
        <f t="shared" si="2"/>
        <v>1-12</v>
      </c>
      <c r="K536" s="16" t="str">
        <f t="shared" si="3"/>
        <v>1-12</v>
      </c>
      <c r="L536" s="16" t="str">
        <f t="shared" si="4"/>
        <v>1-12</v>
      </c>
      <c r="M536" s="16" t="str">
        <f t="shared" si="5"/>
        <v>1-12</v>
      </c>
      <c r="N536" s="16" t="str">
        <f t="shared" si="6"/>
        <v>0</v>
      </c>
      <c r="O536" s="17"/>
      <c r="P536" s="17"/>
      <c r="Q536" s="17"/>
      <c r="R536" s="17"/>
      <c r="S536" s="17"/>
      <c r="T536" s="17"/>
      <c r="U536" s="17"/>
      <c r="V536" s="17"/>
      <c r="W536" s="17"/>
    </row>
    <row r="537" ht="15.75" customHeight="1">
      <c r="A537" s="9" t="s">
        <v>1062</v>
      </c>
      <c r="B537" s="10" t="s">
        <v>1063</v>
      </c>
      <c r="C537" s="11" t="s">
        <v>325</v>
      </c>
      <c r="D537" s="22" t="s">
        <v>1051</v>
      </c>
      <c r="E537" s="13" t="str">
        <f t="array" ref="E537">INDEX(Turmas!C2:C103,MATCH(D537,Turmas!A2:A103,0))</f>
        <v>Noite</v>
      </c>
      <c r="F537" s="14">
        <v>60.0</v>
      </c>
      <c r="G537" s="15">
        <v>4.0</v>
      </c>
      <c r="H537" s="15">
        <v>0.0</v>
      </c>
      <c r="I537" s="16" t="str">
        <f t="shared" si="1"/>
        <v>1-12</v>
      </c>
      <c r="J537" s="16" t="str">
        <f t="shared" si="2"/>
        <v>1-12</v>
      </c>
      <c r="K537" s="16" t="str">
        <f t="shared" si="3"/>
        <v>1-12</v>
      </c>
      <c r="L537" s="16" t="str">
        <f t="shared" si="4"/>
        <v>1-12</v>
      </c>
      <c r="M537" s="16" t="str">
        <f t="shared" si="5"/>
        <v>1-12</v>
      </c>
      <c r="N537" s="16" t="str">
        <f t="shared" si="6"/>
        <v>0</v>
      </c>
      <c r="O537" s="17"/>
      <c r="P537" s="17"/>
      <c r="Q537" s="17"/>
      <c r="R537" s="17"/>
      <c r="S537" s="17"/>
      <c r="T537" s="17"/>
      <c r="U537" s="17"/>
      <c r="V537" s="17"/>
      <c r="W537" s="17"/>
    </row>
    <row r="538" ht="15.75" customHeight="1">
      <c r="A538" s="9" t="s">
        <v>1064</v>
      </c>
      <c r="B538" s="10" t="s">
        <v>1065</v>
      </c>
      <c r="C538" s="11" t="s">
        <v>68</v>
      </c>
      <c r="D538" s="22" t="s">
        <v>1066</v>
      </c>
      <c r="E538" s="13" t="str">
        <f t="array" ref="E538">INDEX(Turmas!C2:C103,MATCH(D538,Turmas!A2:A103,0))</f>
        <v>Noite</v>
      </c>
      <c r="F538" s="14">
        <v>60.0</v>
      </c>
      <c r="G538" s="15">
        <v>4.0</v>
      </c>
      <c r="H538" s="15">
        <v>0.0</v>
      </c>
      <c r="I538" s="16" t="str">
        <f t="shared" si="1"/>
        <v>1-12</v>
      </c>
      <c r="J538" s="16" t="str">
        <f t="shared" si="2"/>
        <v>1-12</v>
      </c>
      <c r="K538" s="16" t="str">
        <f t="shared" si="3"/>
        <v>1-12</v>
      </c>
      <c r="L538" s="16" t="str">
        <f t="shared" si="4"/>
        <v>1-12</v>
      </c>
      <c r="M538" s="16" t="str">
        <f t="shared" si="5"/>
        <v>1-12</v>
      </c>
      <c r="N538" s="16" t="str">
        <f t="shared" si="6"/>
        <v>0</v>
      </c>
      <c r="O538" s="17"/>
      <c r="P538" s="17"/>
      <c r="Q538" s="17"/>
      <c r="R538" s="17"/>
      <c r="S538" s="17"/>
      <c r="T538" s="17"/>
      <c r="U538" s="17"/>
      <c r="V538" s="17"/>
      <c r="W538" s="17"/>
    </row>
    <row r="539" ht="15.75" customHeight="1">
      <c r="A539" s="9" t="s">
        <v>1067</v>
      </c>
      <c r="B539" s="10" t="s">
        <v>1068</v>
      </c>
      <c r="C539" s="11" t="s">
        <v>1069</v>
      </c>
      <c r="D539" s="22" t="s">
        <v>1066</v>
      </c>
      <c r="E539" s="13" t="str">
        <f t="array" ref="E539">INDEX(Turmas!C2:C103,MATCH(D539,Turmas!A2:A103,0))</f>
        <v>Noite</v>
      </c>
      <c r="F539" s="14">
        <v>60.0</v>
      </c>
      <c r="G539" s="15">
        <v>4.0</v>
      </c>
      <c r="H539" s="15">
        <v>0.0</v>
      </c>
      <c r="I539" s="16" t="str">
        <f t="shared" si="1"/>
        <v>1-12</v>
      </c>
      <c r="J539" s="16" t="str">
        <f t="shared" si="2"/>
        <v>1-12</v>
      </c>
      <c r="K539" s="16" t="str">
        <f t="shared" si="3"/>
        <v>1-12</v>
      </c>
      <c r="L539" s="16" t="str">
        <f t="shared" si="4"/>
        <v>1-12</v>
      </c>
      <c r="M539" s="16" t="str">
        <f t="shared" si="5"/>
        <v>1-12</v>
      </c>
      <c r="N539" s="16" t="str">
        <f t="shared" si="6"/>
        <v>0</v>
      </c>
      <c r="O539" s="17"/>
      <c r="P539" s="17"/>
      <c r="Q539" s="17"/>
      <c r="R539" s="17"/>
      <c r="S539" s="17"/>
      <c r="T539" s="17"/>
      <c r="U539" s="17"/>
      <c r="V539" s="17"/>
      <c r="W539" s="17"/>
    </row>
    <row r="540" ht="15.75" customHeight="1">
      <c r="A540" s="9" t="s">
        <v>1070</v>
      </c>
      <c r="B540" s="10" t="s">
        <v>1071</v>
      </c>
      <c r="C540" s="11" t="s">
        <v>378</v>
      </c>
      <c r="D540" s="22" t="s">
        <v>1066</v>
      </c>
      <c r="E540" s="13" t="str">
        <f t="array" ref="E540">INDEX(Turmas!C2:C103,MATCH(D540,Turmas!A2:A103,0))</f>
        <v>Noite</v>
      </c>
      <c r="F540" s="14">
        <v>60.0</v>
      </c>
      <c r="G540" s="15">
        <v>2.0</v>
      </c>
      <c r="H540" s="15">
        <v>0.0</v>
      </c>
      <c r="I540" s="16" t="str">
        <f t="shared" si="1"/>
        <v>1-12</v>
      </c>
      <c r="J540" s="16" t="str">
        <f t="shared" si="2"/>
        <v>1-12</v>
      </c>
      <c r="K540" s="16" t="str">
        <f t="shared" si="3"/>
        <v>1-12</v>
      </c>
      <c r="L540" s="16" t="str">
        <f t="shared" si="4"/>
        <v>1-12</v>
      </c>
      <c r="M540" s="16" t="str">
        <f t="shared" si="5"/>
        <v>1-12</v>
      </c>
      <c r="N540" s="16" t="str">
        <f t="shared" si="6"/>
        <v>0</v>
      </c>
      <c r="O540" s="17"/>
      <c r="P540" s="17"/>
      <c r="Q540" s="17"/>
      <c r="R540" s="17"/>
      <c r="S540" s="17"/>
      <c r="T540" s="17"/>
      <c r="U540" s="17"/>
      <c r="V540" s="17"/>
      <c r="W540" s="17"/>
    </row>
    <row r="541" ht="15.75" customHeight="1">
      <c r="A541" s="9" t="s">
        <v>1072</v>
      </c>
      <c r="B541" s="10" t="s">
        <v>1073</v>
      </c>
      <c r="C541" s="11" t="s">
        <v>714</v>
      </c>
      <c r="D541" s="22" t="s">
        <v>1066</v>
      </c>
      <c r="E541" s="13" t="str">
        <f t="array" ref="E541">INDEX(Turmas!C2:C103,MATCH(D541,Turmas!A2:A103,0))</f>
        <v>Noite</v>
      </c>
      <c r="F541" s="14">
        <v>60.0</v>
      </c>
      <c r="G541" s="15">
        <v>2.0</v>
      </c>
      <c r="H541" s="15">
        <v>0.0</v>
      </c>
      <c r="I541" s="16" t="str">
        <f t="shared" si="1"/>
        <v>1-12</v>
      </c>
      <c r="J541" s="16" t="str">
        <f t="shared" si="2"/>
        <v>1-12</v>
      </c>
      <c r="K541" s="16" t="str">
        <f t="shared" si="3"/>
        <v>1-12</v>
      </c>
      <c r="L541" s="16" t="str">
        <f t="shared" si="4"/>
        <v>1-12</v>
      </c>
      <c r="M541" s="16" t="str">
        <f t="shared" si="5"/>
        <v>1-12</v>
      </c>
      <c r="N541" s="16" t="str">
        <f t="shared" si="6"/>
        <v>0</v>
      </c>
      <c r="O541" s="17"/>
      <c r="P541" s="17"/>
      <c r="Q541" s="17"/>
      <c r="R541" s="17"/>
      <c r="S541" s="17"/>
      <c r="T541" s="17"/>
      <c r="U541" s="17"/>
      <c r="V541" s="17"/>
      <c r="W541" s="17"/>
    </row>
    <row r="542" ht="15.75" customHeight="1">
      <c r="A542" s="9" t="s">
        <v>1074</v>
      </c>
      <c r="B542" s="10" t="s">
        <v>1075</v>
      </c>
      <c r="C542" s="11" t="s">
        <v>52</v>
      </c>
      <c r="D542" s="22" t="s">
        <v>1066</v>
      </c>
      <c r="E542" s="13" t="str">
        <f t="array" ref="E542">INDEX(Turmas!C2:C103,MATCH(D542,Turmas!A2:A103,0))</f>
        <v>Noite</v>
      </c>
      <c r="F542" s="14">
        <v>60.0</v>
      </c>
      <c r="G542" s="15">
        <v>2.0</v>
      </c>
      <c r="H542" s="15">
        <v>0.0</v>
      </c>
      <c r="I542" s="16" t="str">
        <f t="shared" si="1"/>
        <v>1-12</v>
      </c>
      <c r="J542" s="16" t="str">
        <f t="shared" si="2"/>
        <v>1-12</v>
      </c>
      <c r="K542" s="16" t="str">
        <f t="shared" si="3"/>
        <v>1-12</v>
      </c>
      <c r="L542" s="16" t="str">
        <f t="shared" si="4"/>
        <v>1-12</v>
      </c>
      <c r="M542" s="16" t="str">
        <f t="shared" si="5"/>
        <v>1-12</v>
      </c>
      <c r="N542" s="16" t="str">
        <f t="shared" si="6"/>
        <v>0</v>
      </c>
      <c r="O542" s="17"/>
      <c r="P542" s="17"/>
      <c r="Q542" s="17"/>
      <c r="R542" s="17"/>
      <c r="S542" s="17"/>
      <c r="T542" s="17"/>
      <c r="U542" s="17"/>
      <c r="V542" s="17"/>
      <c r="W542" s="17"/>
    </row>
    <row r="543" ht="15.75" customHeight="1">
      <c r="A543" s="9" t="s">
        <v>1076</v>
      </c>
      <c r="B543" s="10" t="s">
        <v>1077</v>
      </c>
      <c r="C543" s="11" t="s">
        <v>73</v>
      </c>
      <c r="D543" s="22" t="s">
        <v>1066</v>
      </c>
      <c r="E543" s="13" t="str">
        <f t="array" ref="E543">INDEX(Turmas!C2:C103,MATCH(D543,Turmas!A2:A103,0))</f>
        <v>Noite</v>
      </c>
      <c r="F543" s="14">
        <v>60.0</v>
      </c>
      <c r="G543" s="15">
        <v>2.0</v>
      </c>
      <c r="H543" s="15">
        <v>0.0</v>
      </c>
      <c r="I543" s="16" t="str">
        <f t="shared" si="1"/>
        <v>1-12</v>
      </c>
      <c r="J543" s="16" t="str">
        <f t="shared" si="2"/>
        <v>1-12</v>
      </c>
      <c r="K543" s="16" t="str">
        <f t="shared" si="3"/>
        <v>1-12</v>
      </c>
      <c r="L543" s="16" t="str">
        <f t="shared" si="4"/>
        <v>1-12</v>
      </c>
      <c r="M543" s="16" t="str">
        <f t="shared" si="5"/>
        <v>1-12</v>
      </c>
      <c r="N543" s="16" t="str">
        <f t="shared" si="6"/>
        <v>0</v>
      </c>
      <c r="O543" s="17"/>
      <c r="P543" s="17"/>
      <c r="Q543" s="17"/>
      <c r="R543" s="17"/>
      <c r="S543" s="17"/>
      <c r="T543" s="17"/>
      <c r="U543" s="17"/>
      <c r="V543" s="17"/>
      <c r="W543" s="17"/>
    </row>
    <row r="544" ht="15.75" customHeight="1">
      <c r="A544" s="9" t="s">
        <v>1078</v>
      </c>
      <c r="B544" s="10" t="s">
        <v>1079</v>
      </c>
      <c r="C544" s="11" t="s">
        <v>180</v>
      </c>
      <c r="D544" s="22" t="s">
        <v>1066</v>
      </c>
      <c r="E544" s="13" t="str">
        <f t="array" ref="E544">INDEX(Turmas!C2:C103,MATCH(D544,Turmas!A2:A103,0))</f>
        <v>Noite</v>
      </c>
      <c r="F544" s="14">
        <v>60.0</v>
      </c>
      <c r="G544" s="15">
        <v>4.0</v>
      </c>
      <c r="H544" s="15">
        <v>0.0</v>
      </c>
      <c r="I544" s="16" t="str">
        <f t="shared" si="1"/>
        <v>1-12</v>
      </c>
      <c r="J544" s="16" t="str">
        <f t="shared" si="2"/>
        <v>1-12</v>
      </c>
      <c r="K544" s="16" t="str">
        <f t="shared" si="3"/>
        <v>1-12</v>
      </c>
      <c r="L544" s="16" t="str">
        <f t="shared" si="4"/>
        <v>1-12</v>
      </c>
      <c r="M544" s="16" t="str">
        <f t="shared" si="5"/>
        <v>1-12</v>
      </c>
      <c r="N544" s="16" t="str">
        <f t="shared" si="6"/>
        <v>0</v>
      </c>
      <c r="O544" s="17"/>
      <c r="P544" s="17"/>
      <c r="Q544" s="17"/>
      <c r="R544" s="17"/>
      <c r="S544" s="17"/>
      <c r="T544" s="17"/>
      <c r="U544" s="17"/>
      <c r="V544" s="17"/>
      <c r="W544" s="17"/>
    </row>
    <row r="545" ht="15.75" customHeight="1">
      <c r="A545" s="9" t="s">
        <v>529</v>
      </c>
      <c r="B545" s="10" t="s">
        <v>497</v>
      </c>
      <c r="C545" s="11" t="s">
        <v>358</v>
      </c>
      <c r="D545" s="22" t="s">
        <v>1080</v>
      </c>
      <c r="E545" s="13" t="str">
        <f t="array" ref="E545">INDEX(Turmas!C2:C103,MATCH(D545,Turmas!A2:A103,0))</f>
        <v>Manhã</v>
      </c>
      <c r="F545" s="14">
        <v>50.0</v>
      </c>
      <c r="G545" s="15">
        <v>2.0</v>
      </c>
      <c r="H545" s="15">
        <v>0.0</v>
      </c>
      <c r="I545" s="16" t="str">
        <f t="shared" si="1"/>
        <v>7-16</v>
      </c>
      <c r="J545" s="16" t="str">
        <f t="shared" si="2"/>
        <v>7-16</v>
      </c>
      <c r="K545" s="16" t="str">
        <f t="shared" si="3"/>
        <v>7-16</v>
      </c>
      <c r="L545" s="16" t="str">
        <f t="shared" si="4"/>
        <v>7-16</v>
      </c>
      <c r="M545" s="16" t="str">
        <f t="shared" si="5"/>
        <v>7-16</v>
      </c>
      <c r="N545" s="16" t="str">
        <f t="shared" si="6"/>
        <v>1-16</v>
      </c>
      <c r="O545" s="17"/>
      <c r="P545" s="17"/>
      <c r="Q545" s="17"/>
      <c r="R545" s="17"/>
      <c r="S545" s="17"/>
      <c r="T545" s="17"/>
      <c r="U545" s="17"/>
      <c r="V545" s="17"/>
      <c r="W545" s="17"/>
    </row>
    <row r="546" ht="15.75" customHeight="1">
      <c r="A546" s="9" t="s">
        <v>1081</v>
      </c>
      <c r="B546" s="10" t="s">
        <v>1082</v>
      </c>
      <c r="C546" s="11" t="s">
        <v>274</v>
      </c>
      <c r="D546" s="22" t="s">
        <v>1080</v>
      </c>
      <c r="E546" s="13" t="str">
        <f t="array" ref="E546">INDEX(Turmas!C2:C103,MATCH(D546,Turmas!A2:A103,0))</f>
        <v>Manhã</v>
      </c>
      <c r="F546" s="14">
        <v>58.0</v>
      </c>
      <c r="G546" s="15">
        <v>3.0</v>
      </c>
      <c r="H546" s="15">
        <v>0.0</v>
      </c>
      <c r="I546" s="16" t="str">
        <f t="shared" si="1"/>
        <v>7-16</v>
      </c>
      <c r="J546" s="16" t="str">
        <f t="shared" si="2"/>
        <v>7-16</v>
      </c>
      <c r="K546" s="16" t="str">
        <f t="shared" si="3"/>
        <v>7-16</v>
      </c>
      <c r="L546" s="16" t="str">
        <f t="shared" si="4"/>
        <v>7-16</v>
      </c>
      <c r="M546" s="16" t="str">
        <f t="shared" si="5"/>
        <v>7-16</v>
      </c>
      <c r="N546" s="16" t="str">
        <f t="shared" si="6"/>
        <v>1-16</v>
      </c>
      <c r="O546" s="17"/>
      <c r="P546" s="17"/>
      <c r="Q546" s="17"/>
      <c r="R546" s="17"/>
      <c r="S546" s="17"/>
      <c r="T546" s="17"/>
      <c r="U546" s="17"/>
      <c r="V546" s="17"/>
      <c r="W546" s="17"/>
    </row>
    <row r="547" ht="15.75" customHeight="1">
      <c r="A547" s="9" t="s">
        <v>1083</v>
      </c>
      <c r="B547" s="10" t="s">
        <v>276</v>
      </c>
      <c r="C547" s="11" t="s">
        <v>277</v>
      </c>
      <c r="D547" s="22" t="s">
        <v>1080</v>
      </c>
      <c r="E547" s="13" t="str">
        <f t="array" ref="E547">INDEX(Turmas!C2:C103,MATCH(D547,Turmas!A2:A103,0))</f>
        <v>Manhã</v>
      </c>
      <c r="F547" s="14">
        <v>49.0</v>
      </c>
      <c r="G547" s="15">
        <v>5.0</v>
      </c>
      <c r="H547" s="15">
        <v>0.0</v>
      </c>
      <c r="I547" s="16" t="str">
        <f t="shared" si="1"/>
        <v>7-16</v>
      </c>
      <c r="J547" s="16" t="str">
        <f t="shared" si="2"/>
        <v>7-16</v>
      </c>
      <c r="K547" s="16" t="str">
        <f t="shared" si="3"/>
        <v>7-16</v>
      </c>
      <c r="L547" s="16" t="str">
        <f t="shared" si="4"/>
        <v>7-16</v>
      </c>
      <c r="M547" s="16" t="str">
        <f t="shared" si="5"/>
        <v>7-16</v>
      </c>
      <c r="N547" s="16" t="str">
        <f t="shared" si="6"/>
        <v>1-16</v>
      </c>
      <c r="O547" s="17"/>
      <c r="P547" s="17"/>
      <c r="Q547" s="17"/>
      <c r="R547" s="17"/>
      <c r="S547" s="17"/>
      <c r="T547" s="17"/>
      <c r="U547" s="17"/>
      <c r="V547" s="17"/>
      <c r="W547" s="17"/>
    </row>
    <row r="548" ht="15.75" customHeight="1">
      <c r="A548" s="9" t="s">
        <v>1084</v>
      </c>
      <c r="B548" s="10" t="s">
        <v>1085</v>
      </c>
      <c r="C548" s="11" t="s">
        <v>237</v>
      </c>
      <c r="D548" s="22" t="s">
        <v>1080</v>
      </c>
      <c r="E548" s="13" t="str">
        <f t="array" ref="E548">INDEX(Turmas!C2:C103,MATCH(D548,Turmas!A2:A103,0))</f>
        <v>Manhã</v>
      </c>
      <c r="F548" s="14">
        <v>50.0</v>
      </c>
      <c r="G548" s="15">
        <v>6.0</v>
      </c>
      <c r="H548" s="15">
        <v>0.0</v>
      </c>
      <c r="I548" s="16" t="str">
        <f t="shared" si="1"/>
        <v>7-16</v>
      </c>
      <c r="J548" s="16" t="str">
        <f t="shared" si="2"/>
        <v>7-16</v>
      </c>
      <c r="K548" s="16" t="str">
        <f t="shared" si="3"/>
        <v>7-16</v>
      </c>
      <c r="L548" s="16" t="str">
        <f t="shared" si="4"/>
        <v>7-16</v>
      </c>
      <c r="M548" s="16" t="str">
        <f t="shared" si="5"/>
        <v>7-16</v>
      </c>
      <c r="N548" s="16" t="str">
        <f t="shared" si="6"/>
        <v>1-16</v>
      </c>
      <c r="O548" s="17"/>
      <c r="P548" s="17"/>
      <c r="Q548" s="17"/>
      <c r="R548" s="17"/>
      <c r="S548" s="17"/>
      <c r="T548" s="17"/>
      <c r="U548" s="17"/>
      <c r="V548" s="17"/>
      <c r="W548" s="17"/>
    </row>
    <row r="549" ht="15.75" customHeight="1">
      <c r="A549" s="9" t="s">
        <v>692</v>
      </c>
      <c r="B549" s="10" t="s">
        <v>179</v>
      </c>
      <c r="C549" s="11" t="s">
        <v>180</v>
      </c>
      <c r="D549" s="22" t="s">
        <v>1080</v>
      </c>
      <c r="E549" s="13" t="str">
        <f t="array" ref="E549">INDEX(Turmas!C2:C103,MATCH(D549,Turmas!A2:A103,0))</f>
        <v>Manhã</v>
      </c>
      <c r="F549" s="14">
        <v>50.0</v>
      </c>
      <c r="G549" s="15">
        <v>3.0</v>
      </c>
      <c r="H549" s="15">
        <v>0.0</v>
      </c>
      <c r="I549" s="16" t="str">
        <f t="shared" si="1"/>
        <v>7-16</v>
      </c>
      <c r="J549" s="16" t="str">
        <f t="shared" si="2"/>
        <v>7-16</v>
      </c>
      <c r="K549" s="16" t="str">
        <f t="shared" si="3"/>
        <v>7-16</v>
      </c>
      <c r="L549" s="16" t="str">
        <f t="shared" si="4"/>
        <v>7-16</v>
      </c>
      <c r="M549" s="16" t="str">
        <f t="shared" si="5"/>
        <v>7-16</v>
      </c>
      <c r="N549" s="16" t="str">
        <f t="shared" si="6"/>
        <v>1-16</v>
      </c>
      <c r="O549" s="17"/>
      <c r="P549" s="17"/>
      <c r="Q549" s="17"/>
      <c r="R549" s="17"/>
      <c r="S549" s="17"/>
      <c r="T549" s="17"/>
      <c r="U549" s="17"/>
      <c r="V549" s="17"/>
      <c r="W549" s="17"/>
    </row>
    <row r="550" ht="15.75" customHeight="1">
      <c r="A550" s="9" t="s">
        <v>428</v>
      </c>
      <c r="B550" s="10" t="s">
        <v>285</v>
      </c>
      <c r="C550" s="11" t="s">
        <v>167</v>
      </c>
      <c r="D550" s="22" t="s">
        <v>1080</v>
      </c>
      <c r="E550" s="13" t="str">
        <f t="array" ref="E550">INDEX(Turmas!C2:C103,MATCH(D550,Turmas!A2:A103,0))</f>
        <v>Manhã</v>
      </c>
      <c r="F550" s="14">
        <v>56.0</v>
      </c>
      <c r="G550" s="15">
        <v>4.0</v>
      </c>
      <c r="H550" s="15">
        <v>0.0</v>
      </c>
      <c r="I550" s="16" t="str">
        <f t="shared" si="1"/>
        <v>7-16</v>
      </c>
      <c r="J550" s="16" t="str">
        <f t="shared" si="2"/>
        <v>7-16</v>
      </c>
      <c r="K550" s="16" t="str">
        <f t="shared" si="3"/>
        <v>7-16</v>
      </c>
      <c r="L550" s="16" t="str">
        <f t="shared" si="4"/>
        <v>7-16</v>
      </c>
      <c r="M550" s="16" t="str">
        <f t="shared" si="5"/>
        <v>7-16</v>
      </c>
      <c r="N550" s="16" t="str">
        <f t="shared" si="6"/>
        <v>1-16</v>
      </c>
      <c r="O550" s="17"/>
      <c r="P550" s="17"/>
      <c r="Q550" s="17"/>
      <c r="R550" s="17"/>
      <c r="S550" s="17"/>
      <c r="T550" s="17"/>
      <c r="U550" s="17"/>
      <c r="V550" s="17"/>
      <c r="W550" s="17"/>
    </row>
    <row r="551" ht="15.75" customHeight="1">
      <c r="A551" s="9" t="s">
        <v>1086</v>
      </c>
      <c r="B551" s="10" t="s">
        <v>288</v>
      </c>
      <c r="C551" s="11" t="s">
        <v>485</v>
      </c>
      <c r="D551" s="22" t="s">
        <v>1080</v>
      </c>
      <c r="E551" s="13" t="str">
        <f t="array" ref="E551">INDEX(Turmas!C2:C103,MATCH(D551,Turmas!A2:A103,0))</f>
        <v>Manhã</v>
      </c>
      <c r="F551" s="14">
        <v>60.0</v>
      </c>
      <c r="G551" s="15">
        <v>3.0</v>
      </c>
      <c r="H551" s="15">
        <v>0.0</v>
      </c>
      <c r="I551" s="16" t="str">
        <f t="shared" si="1"/>
        <v>7-16</v>
      </c>
      <c r="J551" s="16" t="str">
        <f t="shared" si="2"/>
        <v>7-16</v>
      </c>
      <c r="K551" s="16" t="str">
        <f t="shared" si="3"/>
        <v>7-16</v>
      </c>
      <c r="L551" s="16" t="str">
        <f t="shared" si="4"/>
        <v>7-16</v>
      </c>
      <c r="M551" s="16" t="str">
        <f t="shared" si="5"/>
        <v>7-16</v>
      </c>
      <c r="N551" s="16" t="str">
        <f t="shared" si="6"/>
        <v>1-16</v>
      </c>
      <c r="O551" s="17"/>
      <c r="P551" s="17"/>
      <c r="Q551" s="17"/>
      <c r="R551" s="17"/>
      <c r="S551" s="17"/>
      <c r="T551" s="17"/>
      <c r="U551" s="17"/>
      <c r="V551" s="17"/>
      <c r="W551" s="17"/>
    </row>
    <row r="552" ht="15.75" customHeight="1">
      <c r="A552" s="9" t="s">
        <v>646</v>
      </c>
      <c r="B552" s="10" t="s">
        <v>647</v>
      </c>
      <c r="C552" s="11" t="s">
        <v>776</v>
      </c>
      <c r="D552" s="22" t="s">
        <v>1087</v>
      </c>
      <c r="E552" s="13" t="str">
        <f t="array" ref="E552">INDEX(Turmas!C2:C103,MATCH(D552,Turmas!A2:A103,0))</f>
        <v>Tarde</v>
      </c>
      <c r="F552" s="14">
        <v>52.0</v>
      </c>
      <c r="G552" s="15">
        <v>5.0</v>
      </c>
      <c r="H552" s="15">
        <v>0.0</v>
      </c>
      <c r="I552" s="16" t="str">
        <f t="shared" si="1"/>
        <v>1-6,13-16</v>
      </c>
      <c r="J552" s="16" t="str">
        <f t="shared" si="2"/>
        <v>1-6,13-16</v>
      </c>
      <c r="K552" s="16" t="str">
        <f t="shared" si="3"/>
        <v>1-6,13-16</v>
      </c>
      <c r="L552" s="16" t="str">
        <f t="shared" si="4"/>
        <v>1-6,13-16</v>
      </c>
      <c r="M552" s="16" t="str">
        <f t="shared" si="5"/>
        <v>1-6,13-16</v>
      </c>
      <c r="N552" s="16" t="str">
        <f t="shared" si="6"/>
        <v>1-16</v>
      </c>
      <c r="O552" s="17"/>
      <c r="P552" s="17"/>
      <c r="Q552" s="17"/>
      <c r="R552" s="17"/>
      <c r="S552" s="17"/>
      <c r="T552" s="17"/>
      <c r="U552" s="17"/>
      <c r="V552" s="17"/>
      <c r="W552" s="17"/>
    </row>
    <row r="553" ht="15.75" customHeight="1">
      <c r="A553" s="9" t="s">
        <v>1088</v>
      </c>
      <c r="B553" s="10" t="s">
        <v>1089</v>
      </c>
      <c r="C553" s="11" t="s">
        <v>1090</v>
      </c>
      <c r="D553" s="22" t="s">
        <v>1087</v>
      </c>
      <c r="E553" s="13" t="str">
        <f t="array" ref="E553">INDEX(Turmas!C2:C103,MATCH(D553,Turmas!A2:A103,0))</f>
        <v>Tarde</v>
      </c>
      <c r="F553" s="14">
        <v>55.0</v>
      </c>
      <c r="G553" s="15">
        <v>4.0</v>
      </c>
      <c r="H553" s="15">
        <v>0.0</v>
      </c>
      <c r="I553" s="16" t="str">
        <f t="shared" si="1"/>
        <v>1-6,13-16</v>
      </c>
      <c r="J553" s="16" t="str">
        <f t="shared" si="2"/>
        <v>1-6,13-16</v>
      </c>
      <c r="K553" s="16" t="str">
        <f t="shared" si="3"/>
        <v>1-6,13-16</v>
      </c>
      <c r="L553" s="16" t="str">
        <f t="shared" si="4"/>
        <v>1-6,13-16</v>
      </c>
      <c r="M553" s="16" t="str">
        <f t="shared" si="5"/>
        <v>1-6,13-16</v>
      </c>
      <c r="N553" s="16" t="str">
        <f t="shared" si="6"/>
        <v>1-16</v>
      </c>
      <c r="O553" s="17"/>
      <c r="P553" s="17"/>
      <c r="Q553" s="17"/>
      <c r="R553" s="17"/>
      <c r="S553" s="17"/>
      <c r="T553" s="17"/>
      <c r="U553" s="17"/>
      <c r="V553" s="17"/>
      <c r="W553" s="17"/>
    </row>
    <row r="554" ht="15.75" customHeight="1">
      <c r="A554" s="9" t="s">
        <v>1091</v>
      </c>
      <c r="B554" s="10" t="s">
        <v>301</v>
      </c>
      <c r="C554" s="11" t="s">
        <v>302</v>
      </c>
      <c r="D554" s="22" t="s">
        <v>1087</v>
      </c>
      <c r="E554" s="13" t="str">
        <f t="array" ref="E554">INDEX(Turmas!C2:C103,MATCH(D554,Turmas!A2:A103,0))</f>
        <v>Tarde</v>
      </c>
      <c r="F554" s="14">
        <v>50.0</v>
      </c>
      <c r="G554" s="15">
        <v>5.0</v>
      </c>
      <c r="H554" s="15">
        <v>0.0</v>
      </c>
      <c r="I554" s="16" t="str">
        <f t="shared" si="1"/>
        <v>1-6,13-16</v>
      </c>
      <c r="J554" s="16" t="str">
        <f t="shared" si="2"/>
        <v>1-6,13-16</v>
      </c>
      <c r="K554" s="16" t="str">
        <f t="shared" si="3"/>
        <v>1-6,13-16</v>
      </c>
      <c r="L554" s="16" t="str">
        <f t="shared" si="4"/>
        <v>1-6,13-16</v>
      </c>
      <c r="M554" s="16" t="str">
        <f t="shared" si="5"/>
        <v>1-6,13-16</v>
      </c>
      <c r="N554" s="16" t="str">
        <f t="shared" si="6"/>
        <v>1-16</v>
      </c>
      <c r="O554" s="17"/>
      <c r="P554" s="17"/>
      <c r="Q554" s="17"/>
      <c r="R554" s="17"/>
      <c r="S554" s="17"/>
      <c r="T554" s="17"/>
      <c r="U554" s="17"/>
      <c r="V554" s="17"/>
      <c r="W554" s="17"/>
    </row>
    <row r="555" ht="15.75" customHeight="1">
      <c r="A555" s="9" t="s">
        <v>1092</v>
      </c>
      <c r="B555" s="10" t="s">
        <v>499</v>
      </c>
      <c r="C555" s="11" t="s">
        <v>1093</v>
      </c>
      <c r="D555" s="22" t="s">
        <v>1087</v>
      </c>
      <c r="E555" s="13" t="str">
        <f t="array" ref="E555">INDEX(Turmas!C2:C103,MATCH(D555,Turmas!A2:A103,0))</f>
        <v>Tarde</v>
      </c>
      <c r="F555" s="14">
        <v>50.0</v>
      </c>
      <c r="G555" s="15">
        <v>4.0</v>
      </c>
      <c r="H555" s="15">
        <v>0.0</v>
      </c>
      <c r="I555" s="16" t="str">
        <f t="shared" si="1"/>
        <v>1-6,13-16</v>
      </c>
      <c r="J555" s="16" t="str">
        <f t="shared" si="2"/>
        <v>1-6,13-16</v>
      </c>
      <c r="K555" s="16" t="str">
        <f t="shared" si="3"/>
        <v>1-6,13-16</v>
      </c>
      <c r="L555" s="16" t="str">
        <f t="shared" si="4"/>
        <v>1-6,13-16</v>
      </c>
      <c r="M555" s="16" t="str">
        <f t="shared" si="5"/>
        <v>1-6,13-16</v>
      </c>
      <c r="N555" s="16" t="str">
        <f t="shared" si="6"/>
        <v>1-16</v>
      </c>
      <c r="O555" s="17"/>
      <c r="P555" s="17"/>
      <c r="Q555" s="17"/>
      <c r="R555" s="17"/>
      <c r="S555" s="17"/>
      <c r="T555" s="17"/>
      <c r="U555" s="17"/>
      <c r="V555" s="17"/>
      <c r="W555" s="17"/>
    </row>
    <row r="556" ht="15.75" customHeight="1">
      <c r="A556" s="9" t="s">
        <v>1094</v>
      </c>
      <c r="B556" s="10" t="s">
        <v>304</v>
      </c>
      <c r="C556" s="11" t="s">
        <v>237</v>
      </c>
      <c r="D556" s="22" t="s">
        <v>1087</v>
      </c>
      <c r="E556" s="13" t="str">
        <f t="array" ref="E556">INDEX(Turmas!C2:C103,MATCH(D556,Turmas!A2:A103,0))</f>
        <v>Tarde</v>
      </c>
      <c r="F556" s="14">
        <v>60.0</v>
      </c>
      <c r="G556" s="15">
        <v>4.0</v>
      </c>
      <c r="H556" s="15">
        <v>0.0</v>
      </c>
      <c r="I556" s="16" t="str">
        <f t="shared" si="1"/>
        <v>1-6,13-16</v>
      </c>
      <c r="J556" s="16" t="str">
        <f t="shared" si="2"/>
        <v>1-6,13-16</v>
      </c>
      <c r="K556" s="16" t="str">
        <f t="shared" si="3"/>
        <v>1-6,13-16</v>
      </c>
      <c r="L556" s="16" t="str">
        <f t="shared" si="4"/>
        <v>1-6,13-16</v>
      </c>
      <c r="M556" s="16" t="str">
        <f t="shared" si="5"/>
        <v>1-6,13-16</v>
      </c>
      <c r="N556" s="16" t="str">
        <f t="shared" si="6"/>
        <v>1-16</v>
      </c>
      <c r="O556" s="17"/>
      <c r="P556" s="17"/>
      <c r="Q556" s="17"/>
      <c r="R556" s="17"/>
      <c r="S556" s="17"/>
      <c r="T556" s="17"/>
      <c r="U556" s="17"/>
      <c r="V556" s="17"/>
      <c r="W556" s="17"/>
    </row>
    <row r="557" ht="15.75" customHeight="1">
      <c r="A557" s="9" t="s">
        <v>1095</v>
      </c>
      <c r="B557" s="10" t="s">
        <v>1096</v>
      </c>
      <c r="C557" s="11" t="s">
        <v>207</v>
      </c>
      <c r="D557" s="22" t="s">
        <v>1087</v>
      </c>
      <c r="E557" s="13" t="str">
        <f t="array" ref="E557">INDEX(Turmas!C2:C103,MATCH(D557,Turmas!A2:A103,0))</f>
        <v>Tarde</v>
      </c>
      <c r="F557" s="14">
        <v>50.0</v>
      </c>
      <c r="G557" s="15">
        <v>7.0</v>
      </c>
      <c r="H557" s="15">
        <v>0.0</v>
      </c>
      <c r="I557" s="16" t="str">
        <f t="shared" si="1"/>
        <v>1-6,13-16</v>
      </c>
      <c r="J557" s="16" t="str">
        <f t="shared" si="2"/>
        <v>1-6,13-16</v>
      </c>
      <c r="K557" s="16" t="str">
        <f t="shared" si="3"/>
        <v>1-6,13-16</v>
      </c>
      <c r="L557" s="16" t="str">
        <f t="shared" si="4"/>
        <v>1-6,13-16</v>
      </c>
      <c r="M557" s="16" t="str">
        <f t="shared" si="5"/>
        <v>1-6,13-16</v>
      </c>
      <c r="N557" s="16" t="str">
        <f t="shared" si="6"/>
        <v>1-16</v>
      </c>
      <c r="O557" s="17"/>
      <c r="P557" s="17"/>
      <c r="Q557" s="17"/>
      <c r="R557" s="17"/>
      <c r="S557" s="17"/>
      <c r="T557" s="17"/>
      <c r="U557" s="17"/>
      <c r="V557" s="17"/>
      <c r="W557" s="17"/>
    </row>
    <row r="558" ht="15.75" customHeight="1">
      <c r="A558" s="9" t="s">
        <v>1097</v>
      </c>
      <c r="B558" s="10" t="s">
        <v>1098</v>
      </c>
      <c r="C558" s="11" t="s">
        <v>80</v>
      </c>
      <c r="D558" s="22" t="s">
        <v>1099</v>
      </c>
      <c r="E558" s="13" t="str">
        <f t="array" ref="E558">INDEX(Turmas!C2:C103,MATCH(D558,Turmas!A2:A103,0))</f>
        <v>Manhã</v>
      </c>
      <c r="F558" s="14">
        <v>50.0</v>
      </c>
      <c r="G558" s="15">
        <v>4.0</v>
      </c>
      <c r="H558" s="15">
        <v>0.0</v>
      </c>
      <c r="I558" s="16" t="str">
        <f t="shared" si="1"/>
        <v>7-16</v>
      </c>
      <c r="J558" s="16" t="str">
        <f t="shared" si="2"/>
        <v>7-16</v>
      </c>
      <c r="K558" s="16" t="str">
        <f t="shared" si="3"/>
        <v>7-16</v>
      </c>
      <c r="L558" s="16" t="str">
        <f t="shared" si="4"/>
        <v>7-16</v>
      </c>
      <c r="M558" s="16" t="str">
        <f t="shared" si="5"/>
        <v>7-16</v>
      </c>
      <c r="N558" s="16" t="str">
        <f t="shared" si="6"/>
        <v>1-16</v>
      </c>
      <c r="O558" s="17"/>
      <c r="P558" s="17"/>
      <c r="Q558" s="17"/>
      <c r="R558" s="17"/>
      <c r="S558" s="17"/>
      <c r="T558" s="17"/>
      <c r="U558" s="17"/>
      <c r="V558" s="17"/>
      <c r="W558" s="17"/>
    </row>
    <row r="559" ht="15.75" customHeight="1">
      <c r="A559" s="9" t="s">
        <v>1100</v>
      </c>
      <c r="B559" s="19" t="s">
        <v>1101</v>
      </c>
      <c r="C559" s="11" t="s">
        <v>266</v>
      </c>
      <c r="D559" s="22" t="s">
        <v>1099</v>
      </c>
      <c r="E559" s="13" t="str">
        <f t="array" ref="E559">INDEX(Turmas!C2:C103,MATCH(D559,Turmas!A2:A103,0))</f>
        <v>Manhã</v>
      </c>
      <c r="F559" s="20">
        <v>50.0</v>
      </c>
      <c r="G559" s="15">
        <v>3.0</v>
      </c>
      <c r="H559" s="15">
        <v>0.0</v>
      </c>
      <c r="I559" s="16" t="str">
        <f t="shared" si="1"/>
        <v>7-16</v>
      </c>
      <c r="J559" s="16" t="str">
        <f t="shared" si="2"/>
        <v>7-16</v>
      </c>
      <c r="K559" s="16" t="str">
        <f t="shared" si="3"/>
        <v>7-16</v>
      </c>
      <c r="L559" s="16" t="str">
        <f t="shared" si="4"/>
        <v>7-16</v>
      </c>
      <c r="M559" s="16" t="str">
        <f t="shared" si="5"/>
        <v>7-16</v>
      </c>
      <c r="N559" s="16" t="str">
        <f t="shared" si="6"/>
        <v>1-16</v>
      </c>
      <c r="O559" s="21"/>
      <c r="P559" s="21"/>
      <c r="Q559" s="21"/>
      <c r="R559" s="21"/>
      <c r="S559" s="21"/>
      <c r="T559" s="21"/>
      <c r="U559" s="21"/>
      <c r="V559" s="21"/>
      <c r="W559" s="21"/>
    </row>
    <row r="560" ht="15.75" customHeight="1">
      <c r="A560" s="9" t="s">
        <v>1102</v>
      </c>
      <c r="B560" s="10" t="s">
        <v>1103</v>
      </c>
      <c r="C560" s="11" t="s">
        <v>268</v>
      </c>
      <c r="D560" s="22" t="s">
        <v>1099</v>
      </c>
      <c r="E560" s="13" t="str">
        <f t="array" ref="E560">INDEX(Turmas!C2:C103,MATCH(D560,Turmas!A2:A103,0))</f>
        <v>Manhã</v>
      </c>
      <c r="F560" s="14">
        <v>50.0</v>
      </c>
      <c r="G560" s="15">
        <v>4.0</v>
      </c>
      <c r="H560" s="15">
        <v>0.0</v>
      </c>
      <c r="I560" s="16" t="str">
        <f t="shared" si="1"/>
        <v>7-16</v>
      </c>
      <c r="J560" s="16" t="str">
        <f t="shared" si="2"/>
        <v>7-16</v>
      </c>
      <c r="K560" s="16" t="str">
        <f t="shared" si="3"/>
        <v>7-16</v>
      </c>
      <c r="L560" s="16" t="str">
        <f t="shared" si="4"/>
        <v>7-16</v>
      </c>
      <c r="M560" s="16" t="str">
        <f t="shared" si="5"/>
        <v>7-16</v>
      </c>
      <c r="N560" s="16" t="str">
        <f t="shared" si="6"/>
        <v>1-16</v>
      </c>
      <c r="O560" s="17"/>
      <c r="P560" s="17"/>
      <c r="Q560" s="17"/>
      <c r="R560" s="17"/>
      <c r="S560" s="17"/>
      <c r="T560" s="17"/>
      <c r="U560" s="17"/>
      <c r="V560" s="17"/>
      <c r="W560" s="17"/>
    </row>
    <row r="561" ht="15.75" customHeight="1">
      <c r="A561" s="9" t="s">
        <v>1104</v>
      </c>
      <c r="B561" s="10" t="s">
        <v>1105</v>
      </c>
      <c r="C561" s="11" t="s">
        <v>1106</v>
      </c>
      <c r="D561" s="22" t="s">
        <v>1099</v>
      </c>
      <c r="E561" s="13" t="str">
        <f t="array" ref="E561">INDEX(Turmas!C2:C103,MATCH(D561,Turmas!A2:A103,0))</f>
        <v>Manhã</v>
      </c>
      <c r="F561" s="14">
        <v>50.0</v>
      </c>
      <c r="G561" s="15">
        <v>2.0</v>
      </c>
      <c r="H561" s="15">
        <v>0.0</v>
      </c>
      <c r="I561" s="16" t="str">
        <f t="shared" si="1"/>
        <v>7-16</v>
      </c>
      <c r="J561" s="16" t="str">
        <f t="shared" si="2"/>
        <v>7-16</v>
      </c>
      <c r="K561" s="16" t="str">
        <f t="shared" si="3"/>
        <v>7-16</v>
      </c>
      <c r="L561" s="16" t="str">
        <f t="shared" si="4"/>
        <v>7-16</v>
      </c>
      <c r="M561" s="16" t="str">
        <f t="shared" si="5"/>
        <v>7-16</v>
      </c>
      <c r="N561" s="16" t="str">
        <f t="shared" si="6"/>
        <v>1-16</v>
      </c>
      <c r="O561" s="17"/>
      <c r="P561" s="17"/>
      <c r="Q561" s="17"/>
      <c r="R561" s="17"/>
      <c r="S561" s="17"/>
      <c r="T561" s="17"/>
      <c r="U561" s="17"/>
      <c r="V561" s="17"/>
      <c r="W561" s="17"/>
    </row>
    <row r="562" ht="15.75" customHeight="1">
      <c r="A562" s="9" t="s">
        <v>1107</v>
      </c>
      <c r="B562" s="10" t="s">
        <v>1108</v>
      </c>
      <c r="C562" s="11" t="s">
        <v>222</v>
      </c>
      <c r="D562" s="22" t="s">
        <v>1099</v>
      </c>
      <c r="E562" s="13" t="str">
        <f t="array" ref="E562">INDEX(Turmas!C2:C103,MATCH(D562,Turmas!A2:A103,0))</f>
        <v>Manhã</v>
      </c>
      <c r="F562" s="14">
        <v>50.0</v>
      </c>
      <c r="G562" s="15">
        <v>2.0</v>
      </c>
      <c r="H562" s="15">
        <v>0.0</v>
      </c>
      <c r="I562" s="16" t="str">
        <f t="shared" si="1"/>
        <v>7-16</v>
      </c>
      <c r="J562" s="16" t="str">
        <f t="shared" si="2"/>
        <v>7-16</v>
      </c>
      <c r="K562" s="16" t="str">
        <f t="shared" si="3"/>
        <v>7-16</v>
      </c>
      <c r="L562" s="16" t="str">
        <f t="shared" si="4"/>
        <v>7-16</v>
      </c>
      <c r="M562" s="16" t="str">
        <f t="shared" si="5"/>
        <v>7-16</v>
      </c>
      <c r="N562" s="16" t="str">
        <f t="shared" si="6"/>
        <v>1-16</v>
      </c>
      <c r="O562" s="17"/>
      <c r="P562" s="17"/>
      <c r="Q562" s="17"/>
      <c r="R562" s="17"/>
      <c r="S562" s="17"/>
      <c r="T562" s="17"/>
      <c r="U562" s="17"/>
      <c r="V562" s="17"/>
      <c r="W562" s="17"/>
    </row>
    <row r="563" ht="15.75" customHeight="1">
      <c r="A563" s="9" t="s">
        <v>1109</v>
      </c>
      <c r="B563" s="10" t="s">
        <v>324</v>
      </c>
      <c r="C563" s="11" t="s">
        <v>1110</v>
      </c>
      <c r="D563" s="22" t="s">
        <v>1099</v>
      </c>
      <c r="E563" s="13" t="str">
        <f t="array" ref="E563">INDEX(Turmas!C2:C103,MATCH(D563,Turmas!A2:A103,0))</f>
        <v>Manhã</v>
      </c>
      <c r="F563" s="14">
        <v>50.0</v>
      </c>
      <c r="G563" s="15">
        <v>3.0</v>
      </c>
      <c r="H563" s="15">
        <v>0.0</v>
      </c>
      <c r="I563" s="16" t="str">
        <f t="shared" si="1"/>
        <v>7-16</v>
      </c>
      <c r="J563" s="16" t="str">
        <f t="shared" si="2"/>
        <v>7-16</v>
      </c>
      <c r="K563" s="16" t="str">
        <f t="shared" si="3"/>
        <v>7-16</v>
      </c>
      <c r="L563" s="16" t="str">
        <f t="shared" si="4"/>
        <v>7-16</v>
      </c>
      <c r="M563" s="16" t="str">
        <f t="shared" si="5"/>
        <v>7-16</v>
      </c>
      <c r="N563" s="16" t="str">
        <f t="shared" si="6"/>
        <v>1-16</v>
      </c>
      <c r="O563" s="17"/>
      <c r="P563" s="17"/>
      <c r="Q563" s="17"/>
      <c r="R563" s="17"/>
      <c r="S563" s="17"/>
      <c r="T563" s="17"/>
      <c r="U563" s="17"/>
      <c r="V563" s="17"/>
      <c r="W563" s="17"/>
    </row>
    <row r="564" ht="15.75" customHeight="1">
      <c r="A564" s="9" t="s">
        <v>1111</v>
      </c>
      <c r="B564" s="10" t="s">
        <v>1112</v>
      </c>
      <c r="C564" s="11" t="s">
        <v>1113</v>
      </c>
      <c r="D564" s="22" t="s">
        <v>1099</v>
      </c>
      <c r="E564" s="13" t="str">
        <f t="array" ref="E564">INDEX(Turmas!C2:C103,MATCH(D564,Turmas!A2:A103,0))</f>
        <v>Manhã</v>
      </c>
      <c r="F564" s="14">
        <v>50.0</v>
      </c>
      <c r="G564" s="15">
        <v>3.0</v>
      </c>
      <c r="H564" s="15">
        <v>0.0</v>
      </c>
      <c r="I564" s="16" t="str">
        <f t="shared" si="1"/>
        <v>7-16</v>
      </c>
      <c r="J564" s="16" t="str">
        <f t="shared" si="2"/>
        <v>7-16</v>
      </c>
      <c r="K564" s="16" t="str">
        <f t="shared" si="3"/>
        <v>7-16</v>
      </c>
      <c r="L564" s="16" t="str">
        <f t="shared" si="4"/>
        <v>7-16</v>
      </c>
      <c r="M564" s="16" t="str">
        <f t="shared" si="5"/>
        <v>7-16</v>
      </c>
      <c r="N564" s="16" t="str">
        <f t="shared" si="6"/>
        <v>1-16</v>
      </c>
      <c r="O564" s="17"/>
      <c r="P564" s="17"/>
      <c r="Q564" s="17"/>
      <c r="R564" s="17"/>
      <c r="S564" s="17"/>
      <c r="T564" s="17"/>
      <c r="U564" s="17"/>
      <c r="V564" s="17"/>
      <c r="W564" s="17"/>
    </row>
    <row r="565" ht="15.75" customHeight="1">
      <c r="A565" s="9" t="s">
        <v>1114</v>
      </c>
      <c r="B565" s="10" t="s">
        <v>1115</v>
      </c>
      <c r="C565" s="11" t="s">
        <v>462</v>
      </c>
      <c r="D565" s="22" t="s">
        <v>1116</v>
      </c>
      <c r="E565" s="13" t="str">
        <f t="array" ref="E565">INDEX(Turmas!C2:C103,MATCH(D565,Turmas!A2:A103,0))</f>
        <v>Tarde</v>
      </c>
      <c r="F565" s="14">
        <v>50.0</v>
      </c>
      <c r="G565" s="15">
        <v>4.0</v>
      </c>
      <c r="H565" s="15">
        <v>0.0</v>
      </c>
      <c r="I565" s="16" t="str">
        <f t="shared" si="1"/>
        <v>1-6,13-16</v>
      </c>
      <c r="J565" s="16" t="str">
        <f t="shared" si="2"/>
        <v>1-6,13-16</v>
      </c>
      <c r="K565" s="16" t="str">
        <f t="shared" si="3"/>
        <v>1-6,13-16</v>
      </c>
      <c r="L565" s="16" t="str">
        <f t="shared" si="4"/>
        <v>1-6,13-16</v>
      </c>
      <c r="M565" s="16" t="str">
        <f t="shared" si="5"/>
        <v>1-6,13-16</v>
      </c>
      <c r="N565" s="16" t="str">
        <f t="shared" si="6"/>
        <v>1-16</v>
      </c>
      <c r="O565" s="17"/>
      <c r="P565" s="17"/>
      <c r="Q565" s="17"/>
      <c r="R565" s="17"/>
      <c r="S565" s="17"/>
      <c r="T565" s="17"/>
      <c r="U565" s="17"/>
      <c r="V565" s="17"/>
      <c r="W565" s="17"/>
    </row>
    <row r="566" ht="15.75" customHeight="1">
      <c r="A566" s="9" t="s">
        <v>807</v>
      </c>
      <c r="B566" s="10" t="s">
        <v>779</v>
      </c>
      <c r="C566" s="11" t="s">
        <v>97</v>
      </c>
      <c r="D566" s="22" t="s">
        <v>1116</v>
      </c>
      <c r="E566" s="13" t="str">
        <f t="array" ref="E566">INDEX(Turmas!C2:C103,MATCH(D566,Turmas!A2:A103,0))</f>
        <v>Tarde</v>
      </c>
      <c r="F566" s="14">
        <v>51.0</v>
      </c>
      <c r="G566" s="15">
        <v>3.0</v>
      </c>
      <c r="H566" s="15">
        <v>0.0</v>
      </c>
      <c r="I566" s="16" t="str">
        <f t="shared" si="1"/>
        <v>1-6,13-16</v>
      </c>
      <c r="J566" s="16" t="str">
        <f t="shared" si="2"/>
        <v>1-6,13-16</v>
      </c>
      <c r="K566" s="16" t="str">
        <f t="shared" si="3"/>
        <v>1-6,13-16</v>
      </c>
      <c r="L566" s="16" t="str">
        <f t="shared" si="4"/>
        <v>1-6,13-16</v>
      </c>
      <c r="M566" s="16" t="str">
        <f t="shared" si="5"/>
        <v>1-6,13-16</v>
      </c>
      <c r="N566" s="16" t="str">
        <f t="shared" si="6"/>
        <v>1-16</v>
      </c>
      <c r="O566" s="17"/>
      <c r="P566" s="17"/>
      <c r="Q566" s="17"/>
      <c r="R566" s="17"/>
      <c r="S566" s="17"/>
      <c r="T566" s="17"/>
      <c r="U566" s="17"/>
      <c r="V566" s="17"/>
      <c r="W566" s="17"/>
    </row>
    <row r="567" ht="15.75" customHeight="1">
      <c r="A567" s="9" t="s">
        <v>1117</v>
      </c>
      <c r="B567" s="10" t="s">
        <v>1118</v>
      </c>
      <c r="C567" s="11" t="s">
        <v>123</v>
      </c>
      <c r="D567" s="22" t="s">
        <v>1116</v>
      </c>
      <c r="E567" s="13" t="str">
        <f t="array" ref="E567">INDEX(Turmas!C2:C103,MATCH(D567,Turmas!A2:A103,0))</f>
        <v>Tarde</v>
      </c>
      <c r="F567" s="14">
        <v>50.0</v>
      </c>
      <c r="G567" s="15">
        <v>4.0</v>
      </c>
      <c r="H567" s="15">
        <v>0.0</v>
      </c>
      <c r="I567" s="16" t="str">
        <f t="shared" si="1"/>
        <v>1-6,13-16</v>
      </c>
      <c r="J567" s="16" t="str">
        <f t="shared" si="2"/>
        <v>1-6,13-16</v>
      </c>
      <c r="K567" s="16" t="str">
        <f t="shared" si="3"/>
        <v>1-6,13-16</v>
      </c>
      <c r="L567" s="16" t="str">
        <f t="shared" si="4"/>
        <v>1-6,13-16</v>
      </c>
      <c r="M567" s="16" t="str">
        <f t="shared" si="5"/>
        <v>1-6,13-16</v>
      </c>
      <c r="N567" s="16" t="str">
        <f t="shared" si="6"/>
        <v>1-16</v>
      </c>
      <c r="O567" s="17"/>
      <c r="P567" s="17"/>
      <c r="Q567" s="17"/>
      <c r="R567" s="17"/>
      <c r="S567" s="17"/>
      <c r="T567" s="17"/>
      <c r="U567" s="17"/>
      <c r="V567" s="17"/>
      <c r="W567" s="17"/>
    </row>
    <row r="568" ht="15.75" customHeight="1">
      <c r="A568" s="9" t="s">
        <v>1097</v>
      </c>
      <c r="B568" s="10" t="s">
        <v>1098</v>
      </c>
      <c r="C568" s="11" t="s">
        <v>80</v>
      </c>
      <c r="D568" s="22" t="s">
        <v>1116</v>
      </c>
      <c r="E568" s="13" t="str">
        <f t="array" ref="E568">INDEX(Turmas!C2:C103,MATCH(D568,Turmas!A2:A103,0))</f>
        <v>Tarde</v>
      </c>
      <c r="F568" s="14">
        <v>50.0</v>
      </c>
      <c r="G568" s="15">
        <v>4.0</v>
      </c>
      <c r="H568" s="15">
        <v>0.0</v>
      </c>
      <c r="I568" s="16" t="str">
        <f t="shared" si="1"/>
        <v>1-6,13-16</v>
      </c>
      <c r="J568" s="16" t="str">
        <f t="shared" si="2"/>
        <v>1-6,13-16</v>
      </c>
      <c r="K568" s="16" t="str">
        <f t="shared" si="3"/>
        <v>1-6,13-16</v>
      </c>
      <c r="L568" s="16" t="str">
        <f t="shared" si="4"/>
        <v>1-6,13-16</v>
      </c>
      <c r="M568" s="16" t="str">
        <f t="shared" si="5"/>
        <v>1-6,13-16</v>
      </c>
      <c r="N568" s="16" t="str">
        <f t="shared" si="6"/>
        <v>1-16</v>
      </c>
      <c r="O568" s="17"/>
      <c r="P568" s="17"/>
      <c r="Q568" s="17"/>
      <c r="R568" s="17"/>
      <c r="S568" s="17"/>
      <c r="T568" s="17"/>
      <c r="U568" s="17"/>
      <c r="V568" s="17"/>
      <c r="W568" s="17"/>
    </row>
    <row r="569" ht="15.75" customHeight="1">
      <c r="A569" s="9" t="s">
        <v>1119</v>
      </c>
      <c r="B569" s="10" t="s">
        <v>1120</v>
      </c>
      <c r="C569" s="11" t="s">
        <v>268</v>
      </c>
      <c r="D569" s="22" t="s">
        <v>1116</v>
      </c>
      <c r="E569" s="13" t="str">
        <f t="array" ref="E569">INDEX(Turmas!C2:C103,MATCH(D569,Turmas!A2:A103,0))</f>
        <v>Tarde</v>
      </c>
      <c r="F569" s="14">
        <v>50.0</v>
      </c>
      <c r="G569" s="15">
        <v>4.0</v>
      </c>
      <c r="H569" s="15">
        <v>0.0</v>
      </c>
      <c r="I569" s="16" t="str">
        <f t="shared" si="1"/>
        <v>1-6,13-16</v>
      </c>
      <c r="J569" s="16" t="str">
        <f t="shared" si="2"/>
        <v>1-6,13-16</v>
      </c>
      <c r="K569" s="16" t="str">
        <f t="shared" si="3"/>
        <v>1-6,13-16</v>
      </c>
      <c r="L569" s="16" t="str">
        <f t="shared" si="4"/>
        <v>1-6,13-16</v>
      </c>
      <c r="M569" s="16" t="str">
        <f t="shared" si="5"/>
        <v>1-6,13-16</v>
      </c>
      <c r="N569" s="16" t="str">
        <f t="shared" si="6"/>
        <v>1-16</v>
      </c>
      <c r="O569" s="17"/>
      <c r="P569" s="17"/>
      <c r="Q569" s="17"/>
      <c r="R569" s="17"/>
      <c r="S569" s="17"/>
      <c r="T569" s="17"/>
      <c r="U569" s="17"/>
      <c r="V569" s="17"/>
      <c r="W569" s="17"/>
    </row>
    <row r="570" ht="15.75" customHeight="1">
      <c r="A570" s="9" t="s">
        <v>1121</v>
      </c>
      <c r="B570" s="10" t="s">
        <v>1105</v>
      </c>
      <c r="C570" s="11" t="s">
        <v>1090</v>
      </c>
      <c r="D570" s="22" t="s">
        <v>1116</v>
      </c>
      <c r="E570" s="13" t="str">
        <f t="array" ref="E570">INDEX(Turmas!C2:C103,MATCH(D570,Turmas!A2:A103,0))</f>
        <v>Tarde</v>
      </c>
      <c r="F570" s="14">
        <v>50.0</v>
      </c>
      <c r="G570" s="15">
        <v>3.0</v>
      </c>
      <c r="H570" s="15">
        <v>0.0</v>
      </c>
      <c r="I570" s="16" t="str">
        <f t="shared" si="1"/>
        <v>1-6,13-16</v>
      </c>
      <c r="J570" s="16" t="str">
        <f t="shared" si="2"/>
        <v>1-6,13-16</v>
      </c>
      <c r="K570" s="16" t="str">
        <f t="shared" si="3"/>
        <v>1-6,13-16</v>
      </c>
      <c r="L570" s="16" t="str">
        <f t="shared" si="4"/>
        <v>1-6,13-16</v>
      </c>
      <c r="M570" s="16" t="str">
        <f t="shared" si="5"/>
        <v>1-6,13-16</v>
      </c>
      <c r="N570" s="16" t="str">
        <f t="shared" si="6"/>
        <v>1-16</v>
      </c>
      <c r="O570" s="17"/>
      <c r="P570" s="17"/>
      <c r="Q570" s="17"/>
      <c r="R570" s="17"/>
      <c r="S570" s="17"/>
      <c r="T570" s="17"/>
      <c r="U570" s="17"/>
      <c r="V570" s="17"/>
      <c r="W570" s="17"/>
    </row>
    <row r="571" ht="15.75" customHeight="1">
      <c r="A571" s="9" t="s">
        <v>1122</v>
      </c>
      <c r="B571" s="10" t="s">
        <v>572</v>
      </c>
      <c r="C571" s="11" t="s">
        <v>1123</v>
      </c>
      <c r="D571" s="22" t="s">
        <v>1124</v>
      </c>
      <c r="E571" s="13" t="str">
        <f t="array" ref="E571">INDEX(Turmas!C2:C103,MATCH(D571,Turmas!A2:A103,0))</f>
        <v>Integral</v>
      </c>
      <c r="F571" s="14">
        <v>50.0</v>
      </c>
      <c r="G571" s="15">
        <v>7.0</v>
      </c>
      <c r="H571" s="15">
        <v>0.0</v>
      </c>
      <c r="I571" s="16" t="str">
        <f t="shared" si="1"/>
        <v>13-16</v>
      </c>
      <c r="J571" s="16" t="str">
        <f t="shared" si="2"/>
        <v>13-16</v>
      </c>
      <c r="K571" s="16" t="str">
        <f t="shared" si="3"/>
        <v>13-16</v>
      </c>
      <c r="L571" s="16" t="str">
        <f t="shared" si="4"/>
        <v>13-16</v>
      </c>
      <c r="M571" s="16" t="str">
        <f t="shared" si="5"/>
        <v>13-16</v>
      </c>
      <c r="N571" s="16" t="str">
        <f t="shared" si="6"/>
        <v>1-16</v>
      </c>
      <c r="O571" s="17"/>
      <c r="P571" s="17"/>
      <c r="Q571" s="17"/>
      <c r="R571" s="17"/>
      <c r="S571" s="17"/>
      <c r="T571" s="17"/>
      <c r="U571" s="17"/>
      <c r="V571" s="17"/>
      <c r="W571" s="17"/>
    </row>
    <row r="572" ht="15.75" customHeight="1">
      <c r="A572" s="9" t="s">
        <v>1125</v>
      </c>
      <c r="B572" s="10" t="s">
        <v>471</v>
      </c>
      <c r="C572" s="11" t="s">
        <v>1126</v>
      </c>
      <c r="D572" s="22" t="s">
        <v>1124</v>
      </c>
      <c r="E572" s="13" t="str">
        <f t="array" ref="E572">INDEX(Turmas!C2:C103,MATCH(D572,Turmas!A2:A103,0))</f>
        <v>Integral</v>
      </c>
      <c r="F572" s="14">
        <v>30.0</v>
      </c>
      <c r="G572" s="15">
        <v>5.0</v>
      </c>
      <c r="H572" s="15">
        <v>0.0</v>
      </c>
      <c r="I572" s="16" t="str">
        <f t="shared" si="1"/>
        <v>13-16</v>
      </c>
      <c r="J572" s="16" t="str">
        <f t="shared" si="2"/>
        <v>13-16</v>
      </c>
      <c r="K572" s="16" t="str">
        <f t="shared" si="3"/>
        <v>13-16</v>
      </c>
      <c r="L572" s="16" t="str">
        <f t="shared" si="4"/>
        <v>13-16</v>
      </c>
      <c r="M572" s="16" t="str">
        <f t="shared" si="5"/>
        <v>13-16</v>
      </c>
      <c r="N572" s="16" t="str">
        <f t="shared" si="6"/>
        <v>1-16</v>
      </c>
      <c r="O572" s="17"/>
      <c r="P572" s="17"/>
      <c r="Q572" s="17"/>
      <c r="R572" s="17"/>
      <c r="S572" s="17"/>
      <c r="T572" s="17"/>
      <c r="U572" s="17"/>
      <c r="V572" s="17"/>
      <c r="W572" s="17"/>
    </row>
    <row r="573" ht="15.75" customHeight="1">
      <c r="A573" s="9" t="s">
        <v>1127</v>
      </c>
      <c r="B573" s="10" t="s">
        <v>580</v>
      </c>
      <c r="C573" s="11" t="s">
        <v>167</v>
      </c>
      <c r="D573" s="22" t="s">
        <v>1124</v>
      </c>
      <c r="E573" s="13" t="str">
        <f t="array" ref="E573">INDEX(Turmas!C2:C103,MATCH(D573,Turmas!A2:A103,0))</f>
        <v>Integral</v>
      </c>
      <c r="F573" s="14">
        <v>50.0</v>
      </c>
      <c r="G573" s="15">
        <v>5.0</v>
      </c>
      <c r="H573" s="15">
        <v>0.0</v>
      </c>
      <c r="I573" s="16" t="str">
        <f t="shared" si="1"/>
        <v>13-16</v>
      </c>
      <c r="J573" s="16" t="str">
        <f t="shared" si="2"/>
        <v>13-16</v>
      </c>
      <c r="K573" s="16" t="str">
        <f t="shared" si="3"/>
        <v>13-16</v>
      </c>
      <c r="L573" s="16" t="str">
        <f t="shared" si="4"/>
        <v>13-16</v>
      </c>
      <c r="M573" s="16" t="str">
        <f t="shared" si="5"/>
        <v>13-16</v>
      </c>
      <c r="N573" s="16" t="str">
        <f t="shared" si="6"/>
        <v>1-16</v>
      </c>
      <c r="O573" s="17"/>
      <c r="P573" s="17"/>
      <c r="Q573" s="17"/>
      <c r="R573" s="17"/>
      <c r="S573" s="17"/>
      <c r="T573" s="17"/>
      <c r="U573" s="17"/>
      <c r="V573" s="17"/>
      <c r="W573" s="17"/>
    </row>
    <row r="574" ht="15.75" customHeight="1">
      <c r="A574" s="9" t="s">
        <v>1128</v>
      </c>
      <c r="B574" s="10" t="s">
        <v>1129</v>
      </c>
      <c r="C574" s="11" t="s">
        <v>237</v>
      </c>
      <c r="D574" s="22" t="s">
        <v>1124</v>
      </c>
      <c r="E574" s="13" t="str">
        <f t="array" ref="E574">INDEX(Turmas!C2:C103,MATCH(D574,Turmas!A2:A103,0))</f>
        <v>Integral</v>
      </c>
      <c r="F574" s="14">
        <v>50.0</v>
      </c>
      <c r="G574" s="15">
        <v>5.0</v>
      </c>
      <c r="H574" s="15">
        <v>0.0</v>
      </c>
      <c r="I574" s="16" t="str">
        <f t="shared" si="1"/>
        <v>13-16</v>
      </c>
      <c r="J574" s="16" t="str">
        <f t="shared" si="2"/>
        <v>13-16</v>
      </c>
      <c r="K574" s="16" t="str">
        <f t="shared" si="3"/>
        <v>13-16</v>
      </c>
      <c r="L574" s="16" t="str">
        <f t="shared" si="4"/>
        <v>13-16</v>
      </c>
      <c r="M574" s="16" t="str">
        <f t="shared" si="5"/>
        <v>13-16</v>
      </c>
      <c r="N574" s="16" t="str">
        <f t="shared" si="6"/>
        <v>1-16</v>
      </c>
      <c r="O574" s="17"/>
      <c r="P574" s="17"/>
      <c r="Q574" s="17"/>
      <c r="R574" s="17"/>
      <c r="S574" s="17"/>
      <c r="T574" s="17"/>
      <c r="U574" s="17"/>
      <c r="V574" s="17"/>
      <c r="W574" s="17"/>
    </row>
    <row r="575" ht="15.75" customHeight="1">
      <c r="A575" s="9" t="s">
        <v>1130</v>
      </c>
      <c r="B575" s="10" t="s">
        <v>1131</v>
      </c>
      <c r="C575" s="11" t="s">
        <v>266</v>
      </c>
      <c r="D575" s="22" t="s">
        <v>1124</v>
      </c>
      <c r="E575" s="13" t="str">
        <f t="array" ref="E575">INDEX(Turmas!C2:C103,MATCH(D575,Turmas!A2:A103,0))</f>
        <v>Integral</v>
      </c>
      <c r="F575" s="14">
        <v>50.0</v>
      </c>
      <c r="G575" s="15">
        <v>2.0</v>
      </c>
      <c r="H575" s="15">
        <v>0.0</v>
      </c>
      <c r="I575" s="16" t="str">
        <f t="shared" si="1"/>
        <v>13-16</v>
      </c>
      <c r="J575" s="16" t="str">
        <f t="shared" si="2"/>
        <v>13-16</v>
      </c>
      <c r="K575" s="16" t="str">
        <f t="shared" si="3"/>
        <v>13-16</v>
      </c>
      <c r="L575" s="16" t="str">
        <f t="shared" si="4"/>
        <v>13-16</v>
      </c>
      <c r="M575" s="16" t="str">
        <f t="shared" si="5"/>
        <v>13-16</v>
      </c>
      <c r="N575" s="16" t="str">
        <f t="shared" si="6"/>
        <v>1-16</v>
      </c>
      <c r="O575" s="17"/>
      <c r="P575" s="17"/>
      <c r="Q575" s="17"/>
      <c r="R575" s="17"/>
      <c r="S575" s="17"/>
      <c r="T575" s="17"/>
      <c r="U575" s="17"/>
      <c r="V575" s="17"/>
      <c r="W575" s="17"/>
    </row>
  </sheetData>
  <conditionalFormatting sqref="I1:N575">
    <cfRule type="expression" dxfId="0" priority="1">
      <formula>"F!1:999"</formula>
    </cfRule>
  </conditionalFormatting>
  <dataValidations>
    <dataValidation type="list" allowBlank="1" sqref="D2:D575">
      <formula1>Turmas!$A$2:$A$103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CC2E5"/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38.14"/>
    <col customWidth="1" min="3" max="3" width="143.57"/>
    <col customWidth="1" min="4" max="9" width="8.86"/>
  </cols>
  <sheetData>
    <row r="1" ht="14.25" customHeight="1">
      <c r="A1" s="25" t="s">
        <v>0</v>
      </c>
      <c r="B1" s="26" t="s">
        <v>1132</v>
      </c>
      <c r="C1" s="27" t="s">
        <v>1</v>
      </c>
      <c r="D1" s="28" t="s">
        <v>8</v>
      </c>
      <c r="E1" s="28" t="s">
        <v>9</v>
      </c>
      <c r="F1" s="28" t="s">
        <v>10</v>
      </c>
      <c r="G1" s="28" t="s">
        <v>11</v>
      </c>
      <c r="H1" s="28" t="s">
        <v>12</v>
      </c>
      <c r="I1" s="28" t="s">
        <v>13</v>
      </c>
    </row>
    <row r="2" ht="14.25" customHeight="1">
      <c r="A2" s="14" t="s">
        <v>1133</v>
      </c>
      <c r="B2" s="13" t="s">
        <v>16</v>
      </c>
      <c r="C2" s="29" t="str">
        <f>IFERROR(__xludf.DUMMYFUNCTION("JOIN("","",FILTER(Disciplinas!A:A, regexmatch(Disciplinas!C:C, B2)))"),"RV.ADM01,RV.ADM02,RV.ADM04,RV.HUM824,RV.ADM06,RV.ADM07")</f>
        <v>RV.ADM01,RV.ADM02,RV.ADM04,RV.HUM824,RV.ADM06,RV.ADM07</v>
      </c>
      <c r="D2" s="30" t="s">
        <v>1134</v>
      </c>
      <c r="E2" s="30" t="s">
        <v>1134</v>
      </c>
      <c r="F2" s="30" t="s">
        <v>1134</v>
      </c>
      <c r="G2" s="30" t="s">
        <v>1134</v>
      </c>
      <c r="H2" s="30" t="s">
        <v>1134</v>
      </c>
      <c r="I2" s="30" t="s">
        <v>1134</v>
      </c>
    </row>
    <row r="3" ht="14.25" customHeight="1">
      <c r="A3" s="14" t="s">
        <v>1135</v>
      </c>
      <c r="B3" s="13" t="s">
        <v>22</v>
      </c>
      <c r="C3" s="29" t="str">
        <f>IFERROR(__xludf.DUMMYFUNCTION("JOIN("","",FILTER(Disciplinas!A:A, regexmatch(Disciplinas!C:C, B3)))"),"RV.ADM03,RV.EXA808,RV.ADM05,RV.ADM405,RV.CON817,RV.EXA810")</f>
        <v>RV.ADM03,RV.EXA808,RV.ADM05,RV.ADM405,RV.CON817,RV.EXA810</v>
      </c>
      <c r="D3" s="30" t="s">
        <v>1134</v>
      </c>
      <c r="E3" s="30" t="s">
        <v>1134</v>
      </c>
      <c r="F3" s="30" t="s">
        <v>1134</v>
      </c>
      <c r="G3" s="30" t="s">
        <v>1134</v>
      </c>
      <c r="H3" s="30" t="s">
        <v>1134</v>
      </c>
      <c r="I3" s="30" t="s">
        <v>1134</v>
      </c>
    </row>
    <row r="4" ht="14.25" customHeight="1">
      <c r="A4" s="14" t="s">
        <v>1136</v>
      </c>
      <c r="B4" s="13" t="s">
        <v>27</v>
      </c>
      <c r="C4" s="29" t="str">
        <f>IFERROR(__xludf.DUMMYFUNCTION("JOIN("","",FILTER(Disciplinas!A:A, regexmatch(Disciplinas!C:C, B4)))"),"RV.ADM401,RV.ADM08")</f>
        <v>RV.ADM401,RV.ADM08</v>
      </c>
      <c r="D4" s="30" t="s">
        <v>1134</v>
      </c>
      <c r="E4" s="30" t="s">
        <v>1134</v>
      </c>
      <c r="F4" s="30" t="s">
        <v>1134</v>
      </c>
      <c r="G4" s="30" t="s">
        <v>1134</v>
      </c>
      <c r="H4" s="30" t="s">
        <v>1134</v>
      </c>
      <c r="I4" s="30" t="s">
        <v>1134</v>
      </c>
    </row>
    <row r="5" ht="14.25" customHeight="1">
      <c r="A5" s="14" t="s">
        <v>1137</v>
      </c>
      <c r="B5" s="17" t="s">
        <v>47</v>
      </c>
      <c r="C5" s="29" t="str">
        <f>IFERROR(__xludf.DUMMYFUNCTION("JOIN("","",FILTER(Disciplinas!A:A, regexmatch(Disciplinas!C:C, B5)))"),"RV.ADM01,RV.ADM01,RV.PRO009,RV.PRO23,RV.ADM410")</f>
        <v>RV.ADM01,RV.ADM01,RV.PRO009,RV.PRO23,RV.ADM410</v>
      </c>
      <c r="D5" s="30" t="s">
        <v>1134</v>
      </c>
      <c r="E5" s="30" t="s">
        <v>1134</v>
      </c>
      <c r="F5" s="30" t="s">
        <v>1134</v>
      </c>
      <c r="G5" s="30" t="s">
        <v>1134</v>
      </c>
      <c r="H5" s="30" t="s">
        <v>1134</v>
      </c>
      <c r="I5" s="30" t="s">
        <v>1134</v>
      </c>
    </row>
    <row r="6" ht="14.25" customHeight="1">
      <c r="A6" s="14" t="s">
        <v>1138</v>
      </c>
      <c r="B6" s="31" t="s">
        <v>49</v>
      </c>
      <c r="C6" s="29" t="str">
        <f>IFERROR(__xludf.DUMMYFUNCTION("JOIN("","",FILTER(Disciplinas!A:A, regexmatch(Disciplinas!C:C, B6)))"),"RV.ADM02,RV.ADM02,RV.PRO010,RV.PRO012,RV.PRO015,RV.PRO024,RV.PRO41,RV.PRO42,RV.HUM805")</f>
        <v>RV.ADM02,RV.ADM02,RV.PRO010,RV.PRO012,RV.PRO015,RV.PRO024,RV.PRO41,RV.PRO42,RV.HUM805</v>
      </c>
      <c r="D6" s="30" t="s">
        <v>1134</v>
      </c>
      <c r="E6" s="30" t="s">
        <v>1134</v>
      </c>
      <c r="F6" s="30" t="s">
        <v>1134</v>
      </c>
      <c r="G6" s="30" t="s">
        <v>1134</v>
      </c>
      <c r="H6" s="30" t="s">
        <v>1134</v>
      </c>
      <c r="I6" s="30" t="s">
        <v>1134</v>
      </c>
    </row>
    <row r="7" ht="14.25" customHeight="1">
      <c r="A7" s="14" t="s">
        <v>1139</v>
      </c>
      <c r="B7" s="17" t="s">
        <v>50</v>
      </c>
      <c r="C7" s="29" t="str">
        <f>IFERROR(__xludf.DUMMYFUNCTION("JOIN("","",FILTER(Disciplinas!A:A, regexmatch(Disciplinas!C:C, B7)))"),"RV.ADM03,TADMRV33")</f>
        <v>RV.ADM03,TADMRV33</v>
      </c>
      <c r="D7" s="30" t="s">
        <v>1134</v>
      </c>
      <c r="E7" s="30" t="s">
        <v>1134</v>
      </c>
      <c r="F7" s="30" t="s">
        <v>1134</v>
      </c>
      <c r="G7" s="30" t="s">
        <v>1134</v>
      </c>
      <c r="H7" s="30" t="s">
        <v>1134</v>
      </c>
      <c r="I7" s="30" t="s">
        <v>1134</v>
      </c>
    </row>
    <row r="8" ht="14.25" customHeight="1">
      <c r="A8" s="14" t="s">
        <v>1140</v>
      </c>
      <c r="B8" s="17" t="s">
        <v>51</v>
      </c>
      <c r="C8" s="29" t="str">
        <f>IFERROR(__xludf.DUMMYFUNCTION("JOIN("","",FILTER(Disciplinas!A:A, regexmatch(Disciplinas!C:C, B8)))"),"RV.ADM04,RV.ADM04,GRAD.PTUR.01,RV.GAM218")</f>
        <v>RV.ADM04,RV.ADM04,GRAD.PTUR.01,RV.GAM218</v>
      </c>
      <c r="D8" s="30" t="s">
        <v>1134</v>
      </c>
      <c r="E8" s="30" t="s">
        <v>1134</v>
      </c>
      <c r="F8" s="30" t="s">
        <v>1134</v>
      </c>
      <c r="G8" s="30" t="s">
        <v>1134</v>
      </c>
      <c r="H8" s="30" t="s">
        <v>1134</v>
      </c>
      <c r="I8" s="30" t="s">
        <v>1134</v>
      </c>
    </row>
    <row r="9" ht="14.25" customHeight="1">
      <c r="A9" s="14" t="s">
        <v>1141</v>
      </c>
      <c r="B9" s="17" t="s">
        <v>52</v>
      </c>
      <c r="C9" s="29" t="str">
        <f>IFERROR(__xludf.DUMMYFUNCTION("JOIN("","",FILTER(Disciplinas!A:A, regexmatch(Disciplinas!C:C, B9)))"),"RV.ADM401,RV.ADM401,RV.ADM06,RV.ADM403,CTSTRARV.47")</f>
        <v>RV.ADM401,RV.ADM401,RV.ADM06,RV.ADM403,CTSTRARV.47</v>
      </c>
      <c r="D9" s="30" t="s">
        <v>1134</v>
      </c>
      <c r="E9" s="30" t="s">
        <v>1134</v>
      </c>
      <c r="F9" s="30" t="s">
        <v>1134</v>
      </c>
      <c r="G9" s="30" t="s">
        <v>1134</v>
      </c>
      <c r="H9" s="30" t="s">
        <v>1134</v>
      </c>
      <c r="I9" s="30" t="s">
        <v>1134</v>
      </c>
    </row>
    <row r="10" ht="14.25" customHeight="1">
      <c r="A10" s="14" t="s">
        <v>1142</v>
      </c>
      <c r="B10" s="17" t="s">
        <v>53</v>
      </c>
      <c r="C10" s="29" t="str">
        <f>IFERROR(__xludf.DUMMYFUNCTION("JOIN("","",FILTER(Disciplinas!A:A, regexmatch(Disciplinas!C:C, B10)))"),"RV.EXA808,RV.EXA808,RV.EXA810,RV.PRO018,RV.EXA808,GRAD.CDI.03")</f>
        <v>RV.EXA808,RV.EXA808,RV.EXA810,RV.PRO018,RV.EXA808,GRAD.CDI.03</v>
      </c>
      <c r="D10" s="30" t="s">
        <v>1134</v>
      </c>
      <c r="E10" s="30" t="s">
        <v>1134</v>
      </c>
      <c r="F10" s="30" t="s">
        <v>1134</v>
      </c>
      <c r="G10" s="30" t="s">
        <v>1134</v>
      </c>
      <c r="H10" s="30" t="s">
        <v>1134</v>
      </c>
      <c r="I10" s="30" t="s">
        <v>1134</v>
      </c>
    </row>
    <row r="11" ht="14.25" customHeight="1">
      <c r="A11" s="14" t="s">
        <v>1143</v>
      </c>
      <c r="B11" s="17" t="s">
        <v>1144</v>
      </c>
      <c r="C11" s="29" t="str">
        <f>IFERROR(__xludf.DUMMYFUNCTION("JOIN("","",FILTER(Disciplinas!A:A, regexmatch(Disciplinas!C:C, B11)))"),"RV.HUM824,RV.HUM824,RV.HUM823,RV.HUM824,CTSTRARV.2,CTSTRARV.33,CTSTRARV.39")</f>
        <v>RV.HUM824,RV.HUM824,RV.HUM823,RV.HUM824,CTSTRARV.2,CTSTRARV.33,CTSTRARV.39</v>
      </c>
      <c r="D11" s="30" t="s">
        <v>1134</v>
      </c>
      <c r="E11" s="30" t="s">
        <v>1134</v>
      </c>
      <c r="F11" s="30" t="s">
        <v>1134</v>
      </c>
      <c r="G11" s="30" t="s">
        <v>1134</v>
      </c>
      <c r="H11" s="30" t="s">
        <v>1134</v>
      </c>
      <c r="I11" s="30" t="s">
        <v>1134</v>
      </c>
    </row>
    <row r="12" ht="14.25" customHeight="1">
      <c r="A12" s="14" t="s">
        <v>1145</v>
      </c>
      <c r="B12" s="17" t="s">
        <v>55</v>
      </c>
      <c r="C12" s="29" t="str">
        <f>IFERROR(__xludf.DUMMYFUNCTION("JOIN("","",FILTER(Disciplinas!A:A, regexmatch(Disciplinas!C:C, B12)))"),"RV.ADM05,RV.ADM05,RV.ADM413,RV.ADM402,GRAD.ADM.TGA-II.06")</f>
        <v>RV.ADM05,RV.ADM05,RV.ADM413,RV.ADM402,GRAD.ADM.TGA-II.06</v>
      </c>
      <c r="D12" s="30" t="s">
        <v>1134</v>
      </c>
      <c r="E12" s="30" t="s">
        <v>1134</v>
      </c>
      <c r="F12" s="30" t="s">
        <v>1134</v>
      </c>
      <c r="G12" s="30" t="s">
        <v>1134</v>
      </c>
      <c r="H12" s="30" t="s">
        <v>1134</v>
      </c>
      <c r="I12" s="30" t="s">
        <v>1134</v>
      </c>
    </row>
    <row r="13" ht="14.25" customHeight="1">
      <c r="A13" s="14" t="s">
        <v>1146</v>
      </c>
      <c r="B13" s="31" t="s">
        <v>57</v>
      </c>
      <c r="C13" s="29" t="str">
        <f>IFERROR(__xludf.DUMMYFUNCTION("JOIN("","",FILTER(Disciplinas!A:A, regexmatch(Disciplinas!C:C, B13)))"),"RV.ADM06,TADMRV33,RV.PRO80,RV.PRO81,CTEDIFRV.31,RV.INF62,RV.ING412")</f>
        <v>RV.ADM06,TADMRV33,RV.PRO80,RV.PRO81,CTEDIFRV.31,RV.INF62,RV.ING412</v>
      </c>
      <c r="D13" s="30" t="s">
        <v>1134</v>
      </c>
      <c r="E13" s="30" t="s">
        <v>1134</v>
      </c>
      <c r="F13" s="30" t="s">
        <v>1134</v>
      </c>
      <c r="G13" s="30" t="s">
        <v>1134</v>
      </c>
      <c r="H13" s="30" t="s">
        <v>1134</v>
      </c>
      <c r="I13" s="30" t="s">
        <v>1134</v>
      </c>
    </row>
    <row r="14" ht="14.25" customHeight="1">
      <c r="A14" s="14" t="s">
        <v>1147</v>
      </c>
      <c r="B14" s="31" t="s">
        <v>58</v>
      </c>
      <c r="C14" s="29" t="str">
        <f>IFERROR(__xludf.DUMMYFUNCTION("JOIN("","",FILTER(Disciplinas!A:A, regexmatch(Disciplinas!C:C, B14)))"),"RV.ADM07,RV.ADM11,RV.ADM11,RV.PRO027,GRAD.ADM.ASI.07")</f>
        <v>RV.ADM07,RV.ADM11,RV.ADM11,RV.PRO027,GRAD.ADM.ASI.07</v>
      </c>
      <c r="D14" s="30" t="s">
        <v>1134</v>
      </c>
      <c r="E14" s="30" t="s">
        <v>1134</v>
      </c>
      <c r="F14" s="30" t="s">
        <v>1134</v>
      </c>
      <c r="G14" s="30" t="s">
        <v>1134</v>
      </c>
      <c r="H14" s="30" t="s">
        <v>1134</v>
      </c>
      <c r="I14" s="30" t="s">
        <v>1134</v>
      </c>
    </row>
    <row r="15" ht="14.25" customHeight="1">
      <c r="A15" s="14" t="s">
        <v>1148</v>
      </c>
      <c r="B15" s="31" t="s">
        <v>59</v>
      </c>
      <c r="C15" s="29" t="str">
        <f>IFERROR(__xludf.DUMMYFUNCTION("JOIN("","",FILTER(Disciplinas!A:A, regexmatch(Disciplinas!C:C, B15)))"),"RV.ADM08,TADMRV33,RV.HUM818,RV.AGN219,RV.HUM214")</f>
        <v>RV.ADM08,TADMRV33,RV.HUM818,RV.AGN219,RV.HUM214</v>
      </c>
      <c r="D15" s="30" t="s">
        <v>1134</v>
      </c>
      <c r="E15" s="30" t="s">
        <v>1134</v>
      </c>
      <c r="F15" s="30" t="s">
        <v>1134</v>
      </c>
      <c r="G15" s="30" t="s">
        <v>1134</v>
      </c>
      <c r="H15" s="30" t="s">
        <v>1134</v>
      </c>
      <c r="I15" s="30" t="s">
        <v>1134</v>
      </c>
    </row>
    <row r="16" ht="14.25" customHeight="1">
      <c r="A16" s="14" t="s">
        <v>1149</v>
      </c>
      <c r="B16" s="31" t="s">
        <v>60</v>
      </c>
      <c r="C16" s="29" t="str">
        <f>IFERROR(__xludf.DUMMYFUNCTION("JOIN("","",FILTER(Disciplinas!A:A, regexmatch(Disciplinas!C:C, B16)))"),"RV.ADM405,RV.ADM09,RV.ADM405,RV.ADM405,RV.AGN224")</f>
        <v>RV.ADM405,RV.ADM09,RV.ADM405,RV.ADM405,RV.AGN224</v>
      </c>
      <c r="D16" s="30" t="s">
        <v>1134</v>
      </c>
      <c r="E16" s="30" t="s">
        <v>1134</v>
      </c>
      <c r="F16" s="30" t="s">
        <v>1134</v>
      </c>
      <c r="G16" s="30" t="s">
        <v>1134</v>
      </c>
      <c r="H16" s="30" t="s">
        <v>1134</v>
      </c>
      <c r="I16" s="30" t="s">
        <v>1134</v>
      </c>
    </row>
    <row r="17" ht="14.25" customHeight="1">
      <c r="A17" s="14" t="s">
        <v>1150</v>
      </c>
      <c r="B17" s="31" t="s">
        <v>1151</v>
      </c>
      <c r="C17" s="29" t="str">
        <f>IFERROR(__xludf.DUMMYFUNCTION("JOIN("","",FILTER(Disciplinas!A:A, regexmatch(Disciplinas!C:C, B17)))"),"RV.CON817,RV.CON817,RV.CON816,RV.CON816,RV.CON006")</f>
        <v>RV.CON817,RV.CON817,RV.CON816,RV.CON816,RV.CON006</v>
      </c>
      <c r="D17" s="30" t="s">
        <v>1134</v>
      </c>
      <c r="E17" s="30" t="s">
        <v>1134</v>
      </c>
      <c r="F17" s="30" t="s">
        <v>1134</v>
      </c>
      <c r="G17" s="30" t="s">
        <v>1134</v>
      </c>
      <c r="H17" s="30" t="s">
        <v>1134</v>
      </c>
      <c r="I17" s="30" t="s">
        <v>1134</v>
      </c>
    </row>
    <row r="18" ht="14.25" customHeight="1">
      <c r="A18" s="14" t="s">
        <v>1152</v>
      </c>
      <c r="B18" s="31" t="s">
        <v>62</v>
      </c>
      <c r="C18" s="29" t="str">
        <f>IFERROR(__xludf.DUMMYFUNCTION("JOIN("","",FILTER(Disciplinas!A:A, regexmatch(Disciplinas!C:C, B18)))"),"RV.EXA810,GRAD.EB.02,GRAD.EB.02")</f>
        <v>RV.EXA810,GRAD.EB.02,GRAD.EB.02</v>
      </c>
      <c r="D18" s="30" t="s">
        <v>1134</v>
      </c>
      <c r="E18" s="30" t="s">
        <v>1134</v>
      </c>
      <c r="F18" s="30" t="s">
        <v>1134</v>
      </c>
      <c r="G18" s="30" t="s">
        <v>1134</v>
      </c>
      <c r="H18" s="30" t="s">
        <v>1134</v>
      </c>
      <c r="I18" s="30" t="s">
        <v>1134</v>
      </c>
    </row>
    <row r="19" ht="14.25" customHeight="1">
      <c r="A19" s="14" t="s">
        <v>1153</v>
      </c>
      <c r="B19" s="31" t="s">
        <v>68</v>
      </c>
      <c r="C19" s="29" t="str">
        <f>IFERROR(__xludf.DUMMYFUNCTION("JOIN("","",FILTER(Disciplinas!A:A, regexmatch(Disciplinas!C:C, B19)))"),"RV.ADM10,RV.EDU205,CTSTRARV.40,CTSTRARV.23")</f>
        <v>RV.ADM10,RV.EDU205,CTSTRARV.40,CTSTRARV.23</v>
      </c>
      <c r="D19" s="30" t="s">
        <v>1134</v>
      </c>
      <c r="E19" s="30" t="s">
        <v>1134</v>
      </c>
      <c r="F19" s="30" t="s">
        <v>1134</v>
      </c>
      <c r="G19" s="30" t="s">
        <v>1134</v>
      </c>
      <c r="H19" s="30" t="s">
        <v>1134</v>
      </c>
      <c r="I19" s="30" t="s">
        <v>1134</v>
      </c>
    </row>
    <row r="20" ht="14.25" customHeight="1">
      <c r="A20" s="14" t="s">
        <v>1154</v>
      </c>
      <c r="B20" s="31" t="s">
        <v>73</v>
      </c>
      <c r="C20" s="29" t="str">
        <f>IFERROR(__xludf.DUMMYFUNCTION("JOIN("","",FILTER(Disciplinas!A:A, regexmatch(Disciplinas!C:C, B20)))"),"RV.ADM413,RV.ADM08,RV.ADM09,RV.ADM406,RV.CON815,RV.HUM215,CTEDIFRV.27,CTSTRARV.30,CTSTRARV.48")</f>
        <v>RV.ADM413,RV.ADM08,RV.ADM09,RV.ADM406,RV.CON815,RV.HUM215,CTEDIFRV.27,CTSTRARV.30,CTSTRARV.48</v>
      </c>
      <c r="D20" s="30" t="s">
        <v>1134</v>
      </c>
      <c r="E20" s="30" t="s">
        <v>1134</v>
      </c>
      <c r="F20" s="30" t="s">
        <v>1134</v>
      </c>
      <c r="G20" s="30" t="s">
        <v>1134</v>
      </c>
      <c r="H20" s="30" t="s">
        <v>1134</v>
      </c>
      <c r="I20" s="30" t="s">
        <v>1134</v>
      </c>
    </row>
    <row r="21" ht="14.25" customHeight="1">
      <c r="A21" s="14" t="s">
        <v>1155</v>
      </c>
      <c r="B21" s="31" t="s">
        <v>76</v>
      </c>
      <c r="C21" s="29" t="str">
        <f>IFERROR(__xludf.DUMMYFUNCTION("JOIN("","",FILTER(Disciplinas!A:A, regexmatch(Disciplinas!C:C, B21)))"),"RV.ADM811,RV.ADM811,RV.ADM407,RV.ADM810,RV.AGN223")</f>
        <v>RV.ADM811,RV.ADM811,RV.ADM407,RV.ADM810,RV.AGN223</v>
      </c>
      <c r="D21" s="30" t="s">
        <v>1134</v>
      </c>
      <c r="E21" s="30" t="s">
        <v>1134</v>
      </c>
      <c r="F21" s="30" t="s">
        <v>1134</v>
      </c>
      <c r="G21" s="30" t="s">
        <v>1134</v>
      </c>
      <c r="H21" s="30" t="s">
        <v>1134</v>
      </c>
      <c r="I21" s="30" t="s">
        <v>1134</v>
      </c>
    </row>
    <row r="22" ht="14.25" customHeight="1">
      <c r="A22" s="14" t="s">
        <v>1156</v>
      </c>
      <c r="B22" s="31" t="s">
        <v>80</v>
      </c>
      <c r="C22" s="29" t="str">
        <f>IFERROR(__xludf.DUMMYFUNCTION("JOIN("","",FILTER(Disciplinas!A:A, regexmatch(Disciplinas!C:C, B22)))"),"RV.ADM03,RV.ADM07,RV.ADM03,RV.ADM408,RV.HUM207,RV.HUM207")</f>
        <v>RV.ADM03,RV.ADM07,RV.ADM03,RV.ADM408,RV.HUM207,RV.HUM207</v>
      </c>
      <c r="D22" s="30" t="s">
        <v>1134</v>
      </c>
      <c r="E22" s="30" t="s">
        <v>1134</v>
      </c>
      <c r="F22" s="30" t="s">
        <v>1134</v>
      </c>
      <c r="G22" s="30" t="s">
        <v>1134</v>
      </c>
      <c r="H22" s="30" t="s">
        <v>1134</v>
      </c>
      <c r="I22" s="30" t="s">
        <v>1134</v>
      </c>
    </row>
    <row r="23" ht="14.25" customHeight="1">
      <c r="A23" s="14" t="s">
        <v>1157</v>
      </c>
      <c r="B23" s="31" t="s">
        <v>83</v>
      </c>
      <c r="C23" s="29" t="str">
        <f>IFERROR(__xludf.DUMMYFUNCTION("JOIN("","",FILTER(Disciplinas!A:A, regexmatch(Disciplinas!C:C, B23)))"),"RV.ADM10,RV.ADM401,RV.ADM824,RV.EPD002,RV.TAL10,TADMRV33")</f>
        <v>RV.ADM10,RV.ADM401,RV.ADM824,RV.EPD002,RV.TAL10,TADMRV33</v>
      </c>
      <c r="D23" s="30" t="s">
        <v>1134</v>
      </c>
      <c r="E23" s="30" t="s">
        <v>1134</v>
      </c>
      <c r="F23" s="30" t="s">
        <v>1134</v>
      </c>
      <c r="G23" s="30" t="s">
        <v>1134</v>
      </c>
      <c r="H23" s="30" t="s">
        <v>1134</v>
      </c>
      <c r="I23" s="30" t="s">
        <v>1134</v>
      </c>
    </row>
    <row r="24" ht="14.25" customHeight="1">
      <c r="A24" s="14" t="s">
        <v>1158</v>
      </c>
      <c r="B24" s="31" t="s">
        <v>87</v>
      </c>
      <c r="C24" s="29" t="str">
        <f>IFERROR(__xludf.DUMMYFUNCTION("JOIN("","",FILTER(Disciplinas!A:A, regexmatch(Disciplinas!C:C, B24)))"),"RV.PRO006,RV.BIO357,RV.BIO317,CTBIOTRV.23,CTBIOTRV.13,RV.PRO51")</f>
        <v>RV.PRO006,RV.BIO357,RV.BIO317,CTBIOTRV.23,CTBIOTRV.13,RV.PRO51</v>
      </c>
      <c r="D24" s="30" t="s">
        <v>1134</v>
      </c>
      <c r="E24" s="30" t="s">
        <v>1134</v>
      </c>
      <c r="F24" s="30" t="s">
        <v>1134</v>
      </c>
      <c r="G24" s="30" t="s">
        <v>1134</v>
      </c>
      <c r="H24" s="30" t="s">
        <v>1134</v>
      </c>
      <c r="I24" s="30" t="s">
        <v>1134</v>
      </c>
    </row>
    <row r="25" ht="14.25" customHeight="1">
      <c r="A25" s="14" t="s">
        <v>1159</v>
      </c>
      <c r="B25" s="31" t="s">
        <v>90</v>
      </c>
      <c r="C25" s="29" t="str">
        <f>IFERROR(__xludf.DUMMYFUNCTION("JOIN("","",FILTER(Disciplinas!A:A, regexmatch(Disciplinas!C:C, B25)))"),"RV.PRO007,RV.PRO026,GRAD.FE-II.01,GRAD.FíSICA III.01")</f>
        <v>RV.PRO007,RV.PRO026,GRAD.FE-II.01,GRAD.FíSICA III.01</v>
      </c>
      <c r="D25" s="30" t="s">
        <v>1134</v>
      </c>
      <c r="E25" s="30" t="s">
        <v>1134</v>
      </c>
      <c r="F25" s="30" t="s">
        <v>1134</v>
      </c>
      <c r="G25" s="30" t="s">
        <v>1134</v>
      </c>
      <c r="H25" s="30" t="s">
        <v>1134</v>
      </c>
      <c r="I25" s="30" t="s">
        <v>1134</v>
      </c>
    </row>
    <row r="26" ht="14.25" customHeight="1">
      <c r="A26" s="14" t="s">
        <v>1160</v>
      </c>
      <c r="B26" s="31" t="s">
        <v>97</v>
      </c>
      <c r="C26" s="29" t="str">
        <f>IFERROR(__xludf.DUMMYFUNCTION("JOIN("","",FILTER(Disciplinas!A:A, regexmatch(Disciplinas!C:C, B26)))"),"RV.PRO011,RV.PRO016,RV.PRO036,RV.PRO92,RV.GAM218")</f>
        <v>RV.PRO011,RV.PRO016,RV.PRO036,RV.PRO92,RV.GAM218</v>
      </c>
      <c r="D26" s="30" t="s">
        <v>1134</v>
      </c>
      <c r="E26" s="30" t="s">
        <v>1134</v>
      </c>
      <c r="F26" s="30" t="s">
        <v>1134</v>
      </c>
      <c r="G26" s="30" t="s">
        <v>1134</v>
      </c>
      <c r="H26" s="30" t="s">
        <v>1134</v>
      </c>
      <c r="I26" s="30" t="s">
        <v>1134</v>
      </c>
    </row>
    <row r="27" ht="14.25" customHeight="1">
      <c r="A27" s="14" t="s">
        <v>1161</v>
      </c>
      <c r="B27" s="31" t="s">
        <v>103</v>
      </c>
      <c r="C27" s="29" t="str">
        <f>IFERROR(__xludf.DUMMYFUNCTION("JOIN("","",FILTER(Disciplinas!A:A, regexmatch(Disciplinas!C:C, B27)))"),"RV.PRO013,RV.PRO023,RV.TAL09,RV.INF98,CTSTRARV.31")</f>
        <v>RV.PRO013,RV.PRO023,RV.TAL09,RV.INF98,CTSTRARV.31</v>
      </c>
      <c r="D27" s="30" t="s">
        <v>1134</v>
      </c>
      <c r="E27" s="30" t="s">
        <v>1134</v>
      </c>
      <c r="F27" s="30" t="s">
        <v>1134</v>
      </c>
      <c r="G27" s="30" t="s">
        <v>1134</v>
      </c>
      <c r="H27" s="30" t="s">
        <v>1134</v>
      </c>
      <c r="I27" s="30" t="s">
        <v>1134</v>
      </c>
    </row>
    <row r="28" ht="14.25" customHeight="1">
      <c r="A28" s="14" t="s">
        <v>1162</v>
      </c>
      <c r="B28" s="31" t="s">
        <v>106</v>
      </c>
      <c r="C28" s="29" t="str">
        <f>IFERROR(__xludf.DUMMYFUNCTION("JOIN("","",FILTER(Disciplinas!A:A, regexmatch(Disciplinas!C:C, B28)))"),"RV.PRO014,CTBIOTRV.10,CTBIOTRV.25,GRAD.MA.01,RV.PRO52,RV.QUI724,GRAD.SP.02")</f>
        <v>RV.PRO014,CTBIOTRV.10,CTBIOTRV.25,GRAD.MA.01,RV.PRO52,RV.QUI724,GRAD.SP.02</v>
      </c>
      <c r="D28" s="30" t="s">
        <v>1134</v>
      </c>
      <c r="E28" s="30" t="s">
        <v>1134</v>
      </c>
      <c r="F28" s="30" t="s">
        <v>1134</v>
      </c>
      <c r="G28" s="30" t="s">
        <v>1134</v>
      </c>
      <c r="H28" s="30" t="s">
        <v>1134</v>
      </c>
      <c r="I28" s="30" t="s">
        <v>1134</v>
      </c>
    </row>
    <row r="29" ht="14.25" customHeight="1">
      <c r="A29" s="14" t="s">
        <v>1163</v>
      </c>
      <c r="B29" s="31" t="s">
        <v>115</v>
      </c>
      <c r="C29" s="29" t="str">
        <f>IFERROR(__xludf.DUMMYFUNCTION("JOIN("","",FILTER(Disciplinas!A:A, regexmatch(Disciplinas!C:C, B29)))"),"RV.PRO019,RV.PRO14,GRAD.GAAL.01,RV.EXA203,RV.EXA201")</f>
        <v>RV.PRO019,RV.PRO14,GRAD.GAAL.01,RV.EXA203,RV.EXA201</v>
      </c>
      <c r="D29" s="30" t="s">
        <v>1134</v>
      </c>
      <c r="E29" s="30" t="s">
        <v>1134</v>
      </c>
      <c r="F29" s="30" t="s">
        <v>1134</v>
      </c>
      <c r="G29" s="30" t="s">
        <v>1134</v>
      </c>
      <c r="H29" s="30" t="s">
        <v>1134</v>
      </c>
      <c r="I29" s="30" t="s">
        <v>1134</v>
      </c>
    </row>
    <row r="30" ht="14.25" customHeight="1">
      <c r="A30" s="14" t="s">
        <v>1164</v>
      </c>
      <c r="B30" s="31" t="s">
        <v>123</v>
      </c>
      <c r="C30" s="29" t="str">
        <f>IFERROR(__xludf.DUMMYFUNCTION("JOIN("","",FILTER(Disciplinas!A:A, regexmatch(Disciplinas!C:C, B30)))"),"RV.PRO025,RV.TCC213,RV.HUM205")</f>
        <v>RV.PRO025,RV.TCC213,RV.HUM205</v>
      </c>
      <c r="D30" s="30" t="s">
        <v>1134</v>
      </c>
      <c r="E30" s="30" t="s">
        <v>1134</v>
      </c>
      <c r="F30" s="30" t="s">
        <v>1134</v>
      </c>
      <c r="G30" s="30" t="s">
        <v>1134</v>
      </c>
      <c r="H30" s="30" t="s">
        <v>1134</v>
      </c>
      <c r="I30" s="30" t="s">
        <v>1134</v>
      </c>
    </row>
    <row r="31" ht="14.25" customHeight="1">
      <c r="A31" s="14" t="s">
        <v>1165</v>
      </c>
      <c r="B31" s="31" t="s">
        <v>129</v>
      </c>
      <c r="C31" s="29" t="str">
        <f>IFERROR(__xludf.DUMMYFUNCTION("JOIN("","",FILTER(Disciplinas!A:A, regexmatch(Disciplinas!C:C, B31)))"),"RV.PRO028,GRAD.EA.31,CTSTRARV.3,CTSTRARV.34")</f>
        <v>RV.PRO028,GRAD.EA.31,CTSTRARV.3,CTSTRARV.34</v>
      </c>
      <c r="D31" s="30" t="s">
        <v>1134</v>
      </c>
      <c r="E31" s="30" t="s">
        <v>1134</v>
      </c>
      <c r="F31" s="30" t="s">
        <v>1134</v>
      </c>
      <c r="G31" s="30" t="s">
        <v>1134</v>
      </c>
      <c r="H31" s="30" t="s">
        <v>1134</v>
      </c>
      <c r="I31" s="30" t="s">
        <v>1134</v>
      </c>
    </row>
    <row r="32" ht="14.25" customHeight="1">
      <c r="A32" s="14" t="s">
        <v>1166</v>
      </c>
      <c r="B32" s="31" t="s">
        <v>141</v>
      </c>
      <c r="C32" s="29" t="str">
        <f>IFERROR(__xludf.DUMMYFUNCTION("JOIN("","",FILTER(Disciplinas!A:A, regexmatch(Disciplinas!C:C, B32)))"),"RV.PRO70,RV.PRO71,RV.QUI720,RV.QUI725,RV.QUI731")</f>
        <v>RV.PRO70,RV.PRO71,RV.QUI720,RV.QUI725,RV.QUI731</v>
      </c>
      <c r="D32" s="30" t="s">
        <v>1134</v>
      </c>
      <c r="E32" s="30" t="s">
        <v>1134</v>
      </c>
      <c r="F32" s="30" t="s">
        <v>1134</v>
      </c>
      <c r="G32" s="30" t="s">
        <v>1134</v>
      </c>
      <c r="H32" s="30" t="s">
        <v>1134</v>
      </c>
      <c r="I32" s="30" t="s">
        <v>1134</v>
      </c>
    </row>
    <row r="33" ht="14.25" customHeight="1">
      <c r="A33" s="14" t="s">
        <v>1167</v>
      </c>
      <c r="B33" s="31" t="s">
        <v>149</v>
      </c>
      <c r="C33" s="29" t="str">
        <f>IFERROR(__xludf.DUMMYFUNCTION("JOIN("","",FILTER(Disciplinas!A:A, regexmatch(Disciplinas!C:C, B33)))"),"RV.EXA809,RV.EXA810,GRAD.CDI.03,RV.MAP001,RV.INF619,RV.EXA723")</f>
        <v>RV.EXA809,RV.EXA810,GRAD.CDI.03,RV.MAP001,RV.INF619,RV.EXA723</v>
      </c>
      <c r="D33" s="30" t="s">
        <v>1134</v>
      </c>
      <c r="E33" s="30" t="s">
        <v>1134</v>
      </c>
      <c r="F33" s="30" t="s">
        <v>1134</v>
      </c>
      <c r="G33" s="30" t="s">
        <v>1134</v>
      </c>
      <c r="H33" s="30" t="s">
        <v>1134</v>
      </c>
      <c r="I33" s="30" t="s">
        <v>1134</v>
      </c>
    </row>
    <row r="34" ht="14.25" customHeight="1">
      <c r="A34" s="14" t="s">
        <v>1168</v>
      </c>
      <c r="B34" s="31" t="s">
        <v>167</v>
      </c>
      <c r="C34" s="29" t="str">
        <f>IFERROR(__xludf.DUMMYFUNCTION("JOIN("","",FILTER(Disciplinas!A:A, regexmatch(Disciplinas!C:C, B34)))"),"RV.PRO72,GRAD.QA.02,CTBIOTRV.3,RV.QUI124,GRAD.QO.02,RV.QUI205")</f>
        <v>RV.PRO72,GRAD.QA.02,CTBIOTRV.3,RV.QUI124,GRAD.QO.02,RV.QUI205</v>
      </c>
      <c r="D34" s="30" t="s">
        <v>1134</v>
      </c>
      <c r="E34" s="30" t="s">
        <v>1134</v>
      </c>
      <c r="F34" s="30" t="s">
        <v>1134</v>
      </c>
      <c r="G34" s="30" t="s">
        <v>1134</v>
      </c>
      <c r="H34" s="30" t="s">
        <v>1134</v>
      </c>
      <c r="I34" s="30" t="s">
        <v>1134</v>
      </c>
    </row>
    <row r="35" ht="14.25" customHeight="1">
      <c r="A35" s="14" t="s">
        <v>1169</v>
      </c>
      <c r="B35" s="31" t="s">
        <v>173</v>
      </c>
      <c r="C35" s="29" t="str">
        <f>IFERROR(__xludf.DUMMYFUNCTION("JOIN("","",FILTER(Disciplinas!A:A, regexmatch(Disciplinas!C:C, B35)))"),"GRAD.ADM.GP-I.08,RV.TCC212,RV.TCC213,RV.TAG005,RV.TAG005,RV.HUM218")</f>
        <v>GRAD.ADM.GP-I.08,RV.TCC212,RV.TCC213,RV.TAG005,RV.TAG005,RV.HUM218</v>
      </c>
      <c r="D35" s="30" t="s">
        <v>1134</v>
      </c>
      <c r="E35" s="30" t="s">
        <v>1134</v>
      </c>
      <c r="F35" s="30" t="s">
        <v>1134</v>
      </c>
      <c r="G35" s="30" t="s">
        <v>1134</v>
      </c>
      <c r="H35" s="30" t="s">
        <v>1134</v>
      </c>
      <c r="I35" s="30" t="s">
        <v>1134</v>
      </c>
    </row>
    <row r="36" ht="14.25" customHeight="1">
      <c r="A36" s="14" t="s">
        <v>1170</v>
      </c>
      <c r="B36" s="31" t="s">
        <v>177</v>
      </c>
      <c r="C36" s="29" t="str">
        <f>IFERROR(__xludf.DUMMYFUNCTION("JOIN("","",FILTER(Disciplinas!A:A, regexmatch(Disciplinas!C:C, B36)))"),"GRAD.EB.02,RV.EXA810,GRAD.BIOESTAT.01,GRAD.EB.02")</f>
        <v>GRAD.EB.02,RV.EXA810,GRAD.BIOESTAT.01,GRAD.EB.02</v>
      </c>
      <c r="D36" s="30" t="s">
        <v>1134</v>
      </c>
      <c r="E36" s="30" t="s">
        <v>1134</v>
      </c>
      <c r="F36" s="30" t="s">
        <v>1134</v>
      </c>
      <c r="G36" s="30" t="s">
        <v>1134</v>
      </c>
      <c r="H36" s="30" t="s">
        <v>1134</v>
      </c>
      <c r="I36" s="30" t="s">
        <v>1134</v>
      </c>
    </row>
    <row r="37" ht="14.25" customHeight="1">
      <c r="A37" s="14" t="s">
        <v>1171</v>
      </c>
      <c r="B37" s="31" t="s">
        <v>180</v>
      </c>
      <c r="C37" s="29" t="str">
        <f>IFERROR(__xludf.DUMMYFUNCTION("JOIN("","",FILTER(Disciplinas!A:A, regexmatch(Disciplinas!C:C, B37)))"),"GRAD.MC.05,GRAD.MC.02,RV.IMP001,CTSTRARV.49,GRAD.MC.02")</f>
        <v>GRAD.MC.05,GRAD.MC.02,RV.IMP001,CTSTRARV.49,GRAD.MC.02</v>
      </c>
      <c r="D37" s="30" t="s">
        <v>1134</v>
      </c>
      <c r="E37" s="30" t="s">
        <v>1134</v>
      </c>
      <c r="F37" s="30" t="s">
        <v>1134</v>
      </c>
      <c r="G37" s="30" t="s">
        <v>1134</v>
      </c>
      <c r="H37" s="30" t="s">
        <v>1134</v>
      </c>
      <c r="I37" s="30" t="s">
        <v>1134</v>
      </c>
    </row>
    <row r="38" ht="14.25" customHeight="1">
      <c r="A38" s="14" t="s">
        <v>1172</v>
      </c>
      <c r="B38" s="31" t="s">
        <v>190</v>
      </c>
      <c r="C38" s="29" t="str">
        <f>IFERROR(__xludf.DUMMYFUNCTION("JOIN("","",FILTER(Disciplinas!A:A, regexmatch(Disciplinas!C:C, B38)))"),"RV.AGN226,RV.TAG008,RV.TAG008,RV.ZOO226")</f>
        <v>RV.AGN226,RV.TAG008,RV.TAG008,RV.ZOO226</v>
      </c>
      <c r="D38" s="30" t="s">
        <v>1134</v>
      </c>
      <c r="E38" s="30" t="s">
        <v>1134</v>
      </c>
      <c r="F38" s="30" t="s">
        <v>1134</v>
      </c>
      <c r="G38" s="30" t="s">
        <v>1134</v>
      </c>
      <c r="H38" s="30" t="s">
        <v>1134</v>
      </c>
      <c r="I38" s="30" t="s">
        <v>1134</v>
      </c>
    </row>
    <row r="39" ht="14.25" customHeight="1">
      <c r="A39" s="14" t="s">
        <v>1173</v>
      </c>
      <c r="B39" s="31" t="s">
        <v>200</v>
      </c>
      <c r="C39" s="29" t="str">
        <f>IFERROR(__xludf.DUMMYFUNCTION("JOIN("","",FILTER(Disciplinas!A:A, regexmatch(Disciplinas!C:C, B39)))"),"RV.EXA224,GRAD.CN.01,RV.EXA722,GRAD.EB.02")</f>
        <v>RV.EXA224,GRAD.CN.01,RV.EXA722,GRAD.EB.02</v>
      </c>
      <c r="D39" s="30" t="s">
        <v>1134</v>
      </c>
      <c r="E39" s="30" t="s">
        <v>1134</v>
      </c>
      <c r="F39" s="30" t="s">
        <v>1134</v>
      </c>
      <c r="G39" s="30" t="s">
        <v>1134</v>
      </c>
      <c r="H39" s="30" t="s">
        <v>1134</v>
      </c>
      <c r="I39" s="30" t="s">
        <v>1134</v>
      </c>
    </row>
    <row r="40" ht="14.25" customHeight="1">
      <c r="A40" s="14" t="s">
        <v>1174</v>
      </c>
      <c r="B40" s="31" t="s">
        <v>204</v>
      </c>
      <c r="C40" s="29" t="str">
        <f>IFERROR(__xludf.DUMMYFUNCTION("JOIN("","",FILTER(Disciplinas!A:A, regexmatch(Disciplinas!C:C, B40)))"),"RV.TAG003,RV.TAG003,RV.TAG002")</f>
        <v>RV.TAG003,RV.TAG003,RV.TAG002</v>
      </c>
      <c r="D40" s="30" t="s">
        <v>1134</v>
      </c>
      <c r="E40" s="30" t="s">
        <v>1134</v>
      </c>
      <c r="F40" s="30" t="s">
        <v>1134</v>
      </c>
      <c r="G40" s="30" t="s">
        <v>1134</v>
      </c>
      <c r="H40" s="30" t="s">
        <v>1134</v>
      </c>
      <c r="I40" s="30" t="s">
        <v>1134</v>
      </c>
    </row>
    <row r="41" ht="14.25" customHeight="1">
      <c r="A41" s="14" t="s">
        <v>1175</v>
      </c>
      <c r="B41" s="31" t="s">
        <v>207</v>
      </c>
      <c r="C41" s="29" t="str">
        <f>IFERROR(__xludf.DUMMYFUNCTION("JOIN("","",FILTER(Disciplinas!A:A, regexmatch(Disciplinas!C:C, B41)))"),"RV.TAG004,RV.TAG004,GRAD.MIA.01,SZOOTEC-RV.14")</f>
        <v>RV.TAG004,RV.TAG004,GRAD.MIA.01,SZOOTEC-RV.14</v>
      </c>
      <c r="D41" s="30" t="s">
        <v>1134</v>
      </c>
      <c r="E41" s="30" t="s">
        <v>1134</v>
      </c>
      <c r="F41" s="30" t="s">
        <v>1134</v>
      </c>
      <c r="G41" s="30" t="s">
        <v>1134</v>
      </c>
      <c r="H41" s="30" t="s">
        <v>1134</v>
      </c>
      <c r="I41" s="30" t="s">
        <v>1134</v>
      </c>
    </row>
    <row r="42" ht="14.25" customHeight="1">
      <c r="A42" s="14" t="s">
        <v>1176</v>
      </c>
      <c r="B42" s="31" t="s">
        <v>212</v>
      </c>
      <c r="C42" s="29" t="str">
        <f>IFERROR(__xludf.DUMMYFUNCTION("JOIN("","",FILTER(Disciplinas!A:A, regexmatch(Disciplinas!C:C, B42)))"),"RV.TAG503,RV.TAG503,GRAD.MMA.01")</f>
        <v>RV.TAG503,RV.TAG503,GRAD.MMA.01</v>
      </c>
      <c r="D42" s="30" t="s">
        <v>1134</v>
      </c>
      <c r="E42" s="30" t="s">
        <v>1134</v>
      </c>
      <c r="F42" s="30" t="s">
        <v>1134</v>
      </c>
      <c r="G42" s="30" t="s">
        <v>1134</v>
      </c>
      <c r="H42" s="30" t="s">
        <v>1134</v>
      </c>
      <c r="I42" s="30" t="s">
        <v>1134</v>
      </c>
    </row>
    <row r="43" ht="14.25" customHeight="1">
      <c r="A43" s="14" t="s">
        <v>1177</v>
      </c>
      <c r="B43" s="31" t="s">
        <v>215</v>
      </c>
      <c r="C43" s="29" t="str">
        <f>IFERROR(__xludf.DUMMYFUNCTION("JOIN("","",FILTER(Disciplinas!A:A, regexmatch(Disciplinas!C:C, B43)))"),"RAGROP-RV.1,RAGROP-RV.1,RV.ENG217")</f>
        <v>RAGROP-RV.1,RAGROP-RV.1,RV.ENG217</v>
      </c>
      <c r="D43" s="30" t="s">
        <v>1134</v>
      </c>
      <c r="E43" s="30" t="s">
        <v>1134</v>
      </c>
      <c r="F43" s="30" t="s">
        <v>1134</v>
      </c>
      <c r="G43" s="30" t="s">
        <v>1134</v>
      </c>
      <c r="H43" s="30" t="s">
        <v>1134</v>
      </c>
      <c r="I43" s="30" t="s">
        <v>1134</v>
      </c>
    </row>
    <row r="44" ht="14.25" customHeight="1">
      <c r="A44" s="14" t="s">
        <v>1178</v>
      </c>
      <c r="B44" s="31" t="s">
        <v>219</v>
      </c>
      <c r="C44" s="29" t="str">
        <f>IFERROR(__xludf.DUMMYFUNCTION("JOIN("","",FILTER(Disciplinas!A:A, regexmatch(Disciplinas!C:C, B44)))"),"RAGROP-RV.6,RAGROP-RV.6,GRAD.DT.02,GRAD.DT.02,RV.T-PL001,GRAD.TOPOG.01,GRAD.GAP.01")</f>
        <v>RAGROP-RV.6,RAGROP-RV.6,GRAD.DT.02,GRAD.DT.02,RV.T-PL001,GRAD.TOPOG.01,GRAD.GAP.01</v>
      </c>
      <c r="D44" s="30" t="s">
        <v>1134</v>
      </c>
      <c r="E44" s="30" t="s">
        <v>1134</v>
      </c>
      <c r="F44" s="30" t="s">
        <v>1134</v>
      </c>
      <c r="G44" s="30" t="s">
        <v>1134</v>
      </c>
      <c r="H44" s="30" t="s">
        <v>1134</v>
      </c>
      <c r="I44" s="30" t="s">
        <v>1134</v>
      </c>
    </row>
    <row r="45" ht="14.25" customHeight="1">
      <c r="A45" s="14" t="s">
        <v>1179</v>
      </c>
      <c r="B45" s="31" t="s">
        <v>222</v>
      </c>
      <c r="C45" s="29" t="str">
        <f>IFERROR(__xludf.DUMMYFUNCTION("JOIN("","",FILTER(Disciplinas!A:A, regexmatch(Disciplinas!C:C, B45)))"),"RV.TAG006,RV.TAG006,SZOOTEC-RV.12")</f>
        <v>RV.TAG006,RV.TAG006,SZOOTEC-RV.12</v>
      </c>
      <c r="D45" s="30" t="s">
        <v>1134</v>
      </c>
      <c r="E45" s="30" t="s">
        <v>1134</v>
      </c>
      <c r="F45" s="30" t="s">
        <v>1134</v>
      </c>
      <c r="G45" s="30" t="s">
        <v>1134</v>
      </c>
      <c r="H45" s="30" t="s">
        <v>1134</v>
      </c>
      <c r="I45" s="30" t="s">
        <v>1134</v>
      </c>
    </row>
    <row r="46" ht="14.25" customHeight="1">
      <c r="A46" s="14" t="s">
        <v>1180</v>
      </c>
      <c r="B46" s="31" t="s">
        <v>225</v>
      </c>
      <c r="C46" s="29" t="str">
        <f>IFERROR(__xludf.DUMMYFUNCTION("JOIN("","",FILTER(Disciplinas!A:A, regexmatch(Disciplinas!C:C, B46)))"),"RV.TAG007,RV.TAG517,RV.AGR225")</f>
        <v>RV.TAG007,RV.TAG517,RV.AGR225</v>
      </c>
      <c r="D46" s="30" t="s">
        <v>1134</v>
      </c>
      <c r="E46" s="30" t="s">
        <v>1134</v>
      </c>
      <c r="F46" s="30" t="s">
        <v>1134</v>
      </c>
      <c r="G46" s="30" t="s">
        <v>1134</v>
      </c>
      <c r="H46" s="30" t="s">
        <v>1134</v>
      </c>
      <c r="I46" s="30" t="s">
        <v>1134</v>
      </c>
    </row>
    <row r="47" ht="14.25" customHeight="1">
      <c r="A47" s="14" t="s">
        <v>1181</v>
      </c>
      <c r="B47" s="31" t="s">
        <v>230</v>
      </c>
      <c r="C47" s="29" t="str">
        <f>IFERROR(__xludf.DUMMYFUNCTION("JOIN("","",FILTER(Disciplinas!A:A, regexmatch(Disciplinas!C:C, B47)))"),"RV.TAG001,RV.TAG001")</f>
        <v>RV.TAG001,RV.TAG001</v>
      </c>
      <c r="D47" s="30" t="s">
        <v>1134</v>
      </c>
      <c r="E47" s="30" t="s">
        <v>1134</v>
      </c>
      <c r="F47" s="30" t="s">
        <v>1134</v>
      </c>
      <c r="G47" s="30" t="s">
        <v>1134</v>
      </c>
      <c r="H47" s="30" t="s">
        <v>1134</v>
      </c>
      <c r="I47" s="30" t="s">
        <v>1134</v>
      </c>
    </row>
    <row r="48" ht="14.25" customHeight="1">
      <c r="A48" s="14" t="s">
        <v>1182</v>
      </c>
      <c r="B48" s="31" t="s">
        <v>234</v>
      </c>
      <c r="C48" s="29" t="str">
        <f>IFERROR(__xludf.DUMMYFUNCTION("JOIN("","",FILTER(Disciplinas!A:A, regexmatch(Disciplinas!C:C, B48)))"),"RV.TAG002,GRAD.CLS.01,RV.AGR202")</f>
        <v>RV.TAG002,GRAD.CLS.01,RV.AGR202</v>
      </c>
      <c r="D48" s="30" t="s">
        <v>1134</v>
      </c>
      <c r="E48" s="30" t="s">
        <v>1134</v>
      </c>
      <c r="F48" s="30" t="s">
        <v>1134</v>
      </c>
      <c r="G48" s="30" t="s">
        <v>1134</v>
      </c>
      <c r="H48" s="30" t="s">
        <v>1134</v>
      </c>
      <c r="I48" s="30" t="s">
        <v>1134</v>
      </c>
    </row>
    <row r="49" ht="14.25" customHeight="1">
      <c r="A49" s="14" t="s">
        <v>1183</v>
      </c>
      <c r="B49" s="31" t="s">
        <v>237</v>
      </c>
      <c r="C49" s="29" t="str">
        <f>IFERROR(__xludf.DUMMYFUNCTION("JOIN("","",FILTER(Disciplinas!A:A, regexmatch(Disciplinas!C:C, B49)))"),"RV.TAG010,RV.INF205,RV.INF205,GRAD.IBPZ.01,GRAD.GENéTICA.01,RV.ZOO202")</f>
        <v>RV.TAG010,RV.INF205,RV.INF205,GRAD.IBPZ.01,GRAD.GENéTICA.01,RV.ZOO202</v>
      </c>
      <c r="D49" s="30" t="s">
        <v>1134</v>
      </c>
      <c r="E49" s="30" t="s">
        <v>1134</v>
      </c>
      <c r="F49" s="30" t="s">
        <v>1134</v>
      </c>
      <c r="G49" s="30" t="s">
        <v>1134</v>
      </c>
      <c r="H49" s="30" t="s">
        <v>1134</v>
      </c>
      <c r="I49" s="30" t="s">
        <v>1134</v>
      </c>
    </row>
    <row r="50" ht="14.25" customHeight="1">
      <c r="A50" s="14" t="s">
        <v>1184</v>
      </c>
      <c r="B50" s="31" t="s">
        <v>240</v>
      </c>
      <c r="C50" s="29" t="str">
        <f>IFERROR(__xludf.DUMMYFUNCTION("JOIN("","",FILTER(Disciplinas!A:A, regexmatch(Disciplinas!C:C, B50)))"),"RV.TAG011,RV.TAG013,RV.TAG011,RV.ZOO235,SZOOTEC-RV.11,RV.EXA201")</f>
        <v>RV.TAG011,RV.TAG013,RV.TAG011,RV.ZOO235,SZOOTEC-RV.11,RV.EXA201</v>
      </c>
      <c r="D50" s="30" t="s">
        <v>1134</v>
      </c>
      <c r="E50" s="30" t="s">
        <v>1134</v>
      </c>
      <c r="F50" s="30" t="s">
        <v>1134</v>
      </c>
      <c r="G50" s="30" t="s">
        <v>1134</v>
      </c>
      <c r="H50" s="30" t="s">
        <v>1134</v>
      </c>
      <c r="I50" s="30" t="s">
        <v>1134</v>
      </c>
    </row>
    <row r="51" ht="14.25" customHeight="1">
      <c r="A51" s="14" t="s">
        <v>1185</v>
      </c>
      <c r="B51" s="31" t="s">
        <v>243</v>
      </c>
      <c r="C51" s="29" t="str">
        <f>IFERROR(__xludf.DUMMYFUNCTION("JOIN("","",FILTER(Disciplinas!A:A, regexmatch(Disciplinas!C:C, B51)))"),"RV.TAG012,RV.TAG012,RV.AGR242,RV.AGR238")</f>
        <v>RV.TAG012,RV.TAG012,RV.AGR242,RV.AGR238</v>
      </c>
      <c r="D51" s="30" t="s">
        <v>1134</v>
      </c>
      <c r="E51" s="30" t="s">
        <v>1134</v>
      </c>
      <c r="F51" s="30" t="s">
        <v>1134</v>
      </c>
      <c r="G51" s="30" t="s">
        <v>1134</v>
      </c>
      <c r="H51" s="30" t="s">
        <v>1134</v>
      </c>
      <c r="I51" s="30" t="s">
        <v>1134</v>
      </c>
    </row>
    <row r="52" ht="14.25" customHeight="1">
      <c r="A52" s="14" t="s">
        <v>1186</v>
      </c>
      <c r="B52" s="31" t="s">
        <v>246</v>
      </c>
      <c r="C52" s="29" t="str">
        <f>IFERROR(__xludf.DUMMYFUNCTION("JOIN("","",FILTER(Disciplinas!A:A, regexmatch(Disciplinas!C:C, B52)))"),"RV.TAG506,RV.TAG506,GRAD.T.02,GRAD.TOPOG.01,GRAD.TOPOG.01,RV.T-AL001")</f>
        <v>RV.TAG506,RV.TAG506,GRAD.T.02,GRAD.TOPOG.01,GRAD.TOPOG.01,RV.T-AL001</v>
      </c>
      <c r="D52" s="30" t="s">
        <v>1134</v>
      </c>
      <c r="E52" s="30" t="s">
        <v>1134</v>
      </c>
      <c r="F52" s="30" t="s">
        <v>1134</v>
      </c>
      <c r="G52" s="30" t="s">
        <v>1134</v>
      </c>
      <c r="H52" s="30" t="s">
        <v>1134</v>
      </c>
      <c r="I52" s="30" t="s">
        <v>1134</v>
      </c>
    </row>
    <row r="53" ht="14.25" customHeight="1">
      <c r="A53" s="14" t="s">
        <v>1187</v>
      </c>
      <c r="B53" s="31" t="s">
        <v>249</v>
      </c>
      <c r="C53" s="29" t="str">
        <f>IFERROR(__xludf.DUMMYFUNCTION("JOIN("","",FILTER(Disciplinas!A:A, regexmatch(Disciplinas!C:C, B53)))"),"RAGROP-RV.4,RAGROP-RV.4,RV.EAL231,RV.TAL03,GRAD.BA.01,RV.EAL213")</f>
        <v>RAGROP-RV.4,RAGROP-RV.4,RV.EAL231,RV.TAL03,GRAD.BA.01,RV.EAL213</v>
      </c>
      <c r="D53" s="30" t="s">
        <v>1134</v>
      </c>
      <c r="E53" s="30" t="s">
        <v>1134</v>
      </c>
      <c r="F53" s="30" t="s">
        <v>1134</v>
      </c>
      <c r="G53" s="30" t="s">
        <v>1134</v>
      </c>
      <c r="H53" s="30" t="s">
        <v>1134</v>
      </c>
      <c r="I53" s="30" t="s">
        <v>1134</v>
      </c>
    </row>
    <row r="54" ht="14.25" customHeight="1">
      <c r="A54" s="14" t="s">
        <v>1188</v>
      </c>
      <c r="B54" s="31" t="s">
        <v>255</v>
      </c>
      <c r="C54" s="29" t="str">
        <f>IFERROR(__xludf.DUMMYFUNCTION("JOIN("","",FILTER(Disciplinas!A:A, regexmatch(Disciplinas!C:C, B54)))"),"RV.TAG014,RV.TAG014,RV.AGR215")</f>
        <v>RV.TAG014,RV.TAG014,RV.AGR215</v>
      </c>
      <c r="D54" s="30" t="s">
        <v>1134</v>
      </c>
      <c r="E54" s="30" t="s">
        <v>1134</v>
      </c>
      <c r="F54" s="30" t="s">
        <v>1134</v>
      </c>
      <c r="G54" s="30" t="s">
        <v>1134</v>
      </c>
      <c r="H54" s="30" t="s">
        <v>1134</v>
      </c>
      <c r="I54" s="30" t="s">
        <v>1134</v>
      </c>
    </row>
    <row r="55" ht="14.25" customHeight="1">
      <c r="A55" s="14" t="s">
        <v>1189</v>
      </c>
      <c r="B55" s="31" t="s">
        <v>258</v>
      </c>
      <c r="C55" s="29" t="str">
        <f>IFERROR(__xludf.DUMMYFUNCTION("JOIN("","",FILTER(Disciplinas!A:A, regexmatch(Disciplinas!C:C, B55)))"),"RV.TAG015,RV.TAG517,RV.TAG015,GRAD.A.25")</f>
        <v>RV.TAG015,RV.TAG517,RV.TAG015,GRAD.A.25</v>
      </c>
      <c r="D55" s="30" t="s">
        <v>1134</v>
      </c>
      <c r="E55" s="30" t="s">
        <v>1134</v>
      </c>
      <c r="F55" s="30" t="s">
        <v>1134</v>
      </c>
      <c r="G55" s="30" t="s">
        <v>1134</v>
      </c>
      <c r="H55" s="30" t="s">
        <v>1134</v>
      </c>
      <c r="I55" s="30" t="s">
        <v>1134</v>
      </c>
    </row>
    <row r="56" ht="14.25" customHeight="1">
      <c r="A56" s="14" t="s">
        <v>1190</v>
      </c>
      <c r="B56" s="31" t="s">
        <v>261</v>
      </c>
      <c r="C56" s="29" t="str">
        <f>IFERROR(__xludf.DUMMYFUNCTION("JOIN("","",FILTER(Disciplinas!A:A, regexmatch(Disciplinas!C:C, B56)))"),"RV.EXA224,RV.EXA722,GRAD.CáLCULO.01,GRAD.CáLCULO.01,CTSTRARV.50")</f>
        <v>RV.EXA224,RV.EXA722,GRAD.CáLCULO.01,GRAD.CáLCULO.01,CTSTRARV.50</v>
      </c>
      <c r="D56" s="30" t="s">
        <v>1134</v>
      </c>
      <c r="E56" s="30" t="s">
        <v>1134</v>
      </c>
      <c r="F56" s="30" t="s">
        <v>1134</v>
      </c>
      <c r="G56" s="30" t="s">
        <v>1134</v>
      </c>
      <c r="H56" s="30" t="s">
        <v>1134</v>
      </c>
      <c r="I56" s="30" t="s">
        <v>1134</v>
      </c>
    </row>
    <row r="57" ht="14.25" customHeight="1">
      <c r="A57" s="14" t="s">
        <v>1191</v>
      </c>
      <c r="B57" s="31" t="s">
        <v>264</v>
      </c>
      <c r="C57" s="29" t="str">
        <f>IFERROR(__xludf.DUMMYFUNCTION("JOIN("","",FILTER(Disciplinas!A:A, regexmatch(Disciplinas!C:C, B57)))"),"RV.TAG007")</f>
        <v>RV.TAG007</v>
      </c>
      <c r="D57" s="30" t="s">
        <v>1134</v>
      </c>
      <c r="E57" s="30" t="s">
        <v>1134</v>
      </c>
      <c r="F57" s="30" t="s">
        <v>1134</v>
      </c>
      <c r="G57" s="30" t="s">
        <v>1134</v>
      </c>
      <c r="H57" s="30" t="s">
        <v>1134</v>
      </c>
      <c r="I57" s="30" t="s">
        <v>1134</v>
      </c>
    </row>
    <row r="58" ht="14.25" customHeight="1">
      <c r="A58" s="14" t="s">
        <v>1192</v>
      </c>
      <c r="B58" s="31" t="s">
        <v>266</v>
      </c>
      <c r="C58" s="29" t="str">
        <f>IFERROR(__xludf.DUMMYFUNCTION("JOIN("","",FILTER(Disciplinas!A:A, regexmatch(Disciplinas!C:C, B58)))"),"RV.TAG010,RV.ZOO213,RV.ZOO223")</f>
        <v>RV.TAG010,RV.ZOO213,RV.ZOO223</v>
      </c>
      <c r="D58" s="30" t="s">
        <v>1134</v>
      </c>
      <c r="E58" s="30" t="s">
        <v>1134</v>
      </c>
      <c r="F58" s="30" t="s">
        <v>1134</v>
      </c>
      <c r="G58" s="30" t="s">
        <v>1134</v>
      </c>
      <c r="H58" s="30" t="s">
        <v>1134</v>
      </c>
      <c r="I58" s="30" t="s">
        <v>1134</v>
      </c>
    </row>
    <row r="59" ht="14.25" customHeight="1">
      <c r="A59" s="14" t="s">
        <v>1193</v>
      </c>
      <c r="B59" s="31" t="s">
        <v>268</v>
      </c>
      <c r="C59" s="29" t="str">
        <f>IFERROR(__xludf.DUMMYFUNCTION("JOIN("","",FILTER(Disciplinas!A:A, regexmatch(Disciplinas!C:C, B59)))"),"RV.TAG013,RV.ZOO263,RV.ZOO217")</f>
        <v>RV.TAG013,RV.ZOO263,RV.ZOO217</v>
      </c>
      <c r="D59" s="30" t="s">
        <v>1134</v>
      </c>
      <c r="E59" s="30" t="s">
        <v>1134</v>
      </c>
      <c r="F59" s="30" t="s">
        <v>1134</v>
      </c>
      <c r="G59" s="30" t="s">
        <v>1134</v>
      </c>
      <c r="H59" s="30" t="s">
        <v>1134</v>
      </c>
      <c r="I59" s="30" t="s">
        <v>1134</v>
      </c>
    </row>
    <row r="60" ht="14.25" customHeight="1">
      <c r="A60" s="14" t="s">
        <v>1194</v>
      </c>
      <c r="B60" s="31" t="s">
        <v>270</v>
      </c>
      <c r="C60" s="29" t="str">
        <f>IFERROR(__xludf.DUMMYFUNCTION("JOIN("","",FILTER(Disciplinas!A:A, regexmatch(Disciplinas!C:C, B60)))"),"GRAD.EB.01")</f>
        <v>GRAD.EB.01</v>
      </c>
      <c r="D60" s="30" t="s">
        <v>1134</v>
      </c>
      <c r="E60" s="30" t="s">
        <v>1134</v>
      </c>
      <c r="F60" s="30" t="s">
        <v>1134</v>
      </c>
      <c r="G60" s="30" t="s">
        <v>1134</v>
      </c>
      <c r="H60" s="30" t="s">
        <v>1134</v>
      </c>
      <c r="I60" s="30" t="s">
        <v>1134</v>
      </c>
    </row>
    <row r="61" ht="14.25" customHeight="1">
      <c r="A61" s="14" t="s">
        <v>1195</v>
      </c>
      <c r="B61" s="31" t="s">
        <v>274</v>
      </c>
      <c r="C61" s="29" t="str">
        <f>IFERROR(__xludf.DUMMYFUNCTION("JOIN("","",FILTER(Disciplinas!A:A, regexmatch(Disciplinas!C:C, B61)))"),"GRAD.F.01,GRAD.FGE-II.01,GRAD.FMB.02")</f>
        <v>GRAD.F.01,GRAD.FGE-II.01,GRAD.FMB.02</v>
      </c>
      <c r="D61" s="30" t="s">
        <v>1134</v>
      </c>
      <c r="E61" s="30" t="s">
        <v>1134</v>
      </c>
      <c r="F61" s="30" t="s">
        <v>1134</v>
      </c>
      <c r="G61" s="30" t="s">
        <v>1134</v>
      </c>
      <c r="H61" s="30" t="s">
        <v>1134</v>
      </c>
      <c r="I61" s="30" t="s">
        <v>1134</v>
      </c>
    </row>
    <row r="62" ht="14.25" customHeight="1">
      <c r="A62" s="14" t="s">
        <v>1196</v>
      </c>
      <c r="B62" s="31" t="s">
        <v>277</v>
      </c>
      <c r="C62" s="29" t="str">
        <f>IFERROR(__xludf.DUMMYFUNCTION("JOIN("","",FILTER(Disciplinas!A:A, regexmatch(Disciplinas!C:C, B62)))"),"GRAD.GMS.01,GRAD.AA.01,GRAD.GMS.02")</f>
        <v>GRAD.GMS.01,GRAD.AA.01,GRAD.GMS.02</v>
      </c>
      <c r="D62" s="30" t="s">
        <v>1134</v>
      </c>
      <c r="E62" s="30" t="s">
        <v>1134</v>
      </c>
      <c r="F62" s="30" t="s">
        <v>1134</v>
      </c>
      <c r="G62" s="30" t="s">
        <v>1134</v>
      </c>
      <c r="H62" s="30" t="s">
        <v>1134</v>
      </c>
      <c r="I62" s="30" t="s">
        <v>1134</v>
      </c>
    </row>
    <row r="63" ht="14.25" customHeight="1">
      <c r="A63" s="14" t="s">
        <v>1197</v>
      </c>
      <c r="B63" s="31" t="s">
        <v>280</v>
      </c>
      <c r="C63" s="29" t="str">
        <f>IFERROR(__xludf.DUMMYFUNCTION("JOIN("","",FILTER(Disciplinas!A:A, regexmatch(Disciplinas!C:C, B63)))"),"GRAD.M.01")</f>
        <v>GRAD.M.01</v>
      </c>
      <c r="D63" s="30" t="s">
        <v>1134</v>
      </c>
      <c r="E63" s="30" t="s">
        <v>1134</v>
      </c>
      <c r="F63" s="30" t="s">
        <v>1134</v>
      </c>
      <c r="G63" s="30" t="s">
        <v>1134</v>
      </c>
      <c r="H63" s="30" t="s">
        <v>1134</v>
      </c>
      <c r="I63" s="30" t="s">
        <v>1134</v>
      </c>
    </row>
    <row r="64" ht="14.25" customHeight="1">
      <c r="A64" s="14" t="s">
        <v>1198</v>
      </c>
      <c r="B64" s="31" t="s">
        <v>283</v>
      </c>
      <c r="C64" s="29" t="str">
        <f>IFERROR(__xludf.DUMMYFUNCTION("JOIN("","",FILTER(Disciplinas!A:A, regexmatch(Disciplinas!C:C, B64)))"),"GRAD.OSV.01,RV.AGR218")</f>
        <v>GRAD.OSV.01,RV.AGR218</v>
      </c>
      <c r="D64" s="30" t="s">
        <v>1134</v>
      </c>
      <c r="E64" s="30" t="s">
        <v>1134</v>
      </c>
      <c r="F64" s="30" t="s">
        <v>1134</v>
      </c>
      <c r="G64" s="30" t="s">
        <v>1134</v>
      </c>
      <c r="H64" s="30" t="s">
        <v>1134</v>
      </c>
      <c r="I64" s="30" t="s">
        <v>1134</v>
      </c>
    </row>
    <row r="65" ht="14.25" customHeight="1">
      <c r="A65" s="14" t="s">
        <v>1199</v>
      </c>
      <c r="B65" s="31" t="s">
        <v>286</v>
      </c>
      <c r="C65" s="29" t="str">
        <f>IFERROR(__xludf.DUMMYFUNCTION("JOIN("","",FILTER(Disciplinas!A:A, regexmatch(Disciplinas!C:C, B65)))"),"GRAD.QO.01,GRAD.QO.02,GRAD.QO.02")</f>
        <v>GRAD.QO.01,GRAD.QO.02,GRAD.QO.02</v>
      </c>
      <c r="D65" s="30" t="s">
        <v>1134</v>
      </c>
      <c r="E65" s="30" t="s">
        <v>1134</v>
      </c>
      <c r="F65" s="30" t="s">
        <v>1134</v>
      </c>
      <c r="G65" s="30" t="s">
        <v>1134</v>
      </c>
      <c r="H65" s="30" t="s">
        <v>1134</v>
      </c>
      <c r="I65" s="30" t="s">
        <v>1134</v>
      </c>
    </row>
    <row r="66" ht="14.25" customHeight="1">
      <c r="A66" s="14" t="s">
        <v>1200</v>
      </c>
      <c r="B66" s="31" t="s">
        <v>534</v>
      </c>
      <c r="C66" s="29" t="str">
        <f>IFERROR(__xludf.DUMMYFUNCTION("JOIN("","",FILTER(Disciplinas!A:A, regexmatch(Disciplinas!C:C, B66)))"),"GRAD.Z.01,GRAD.ZI.01,GRAD.ZV.01")</f>
        <v>GRAD.Z.01,GRAD.ZI.01,GRAD.ZV.01</v>
      </c>
      <c r="D66" s="30" t="s">
        <v>1134</v>
      </c>
      <c r="E66" s="30" t="s">
        <v>1134</v>
      </c>
      <c r="F66" s="30" t="s">
        <v>1134</v>
      </c>
      <c r="G66" s="30" t="s">
        <v>1134</v>
      </c>
      <c r="H66" s="30" t="s">
        <v>1134</v>
      </c>
      <c r="I66" s="30" t="s">
        <v>1134</v>
      </c>
    </row>
    <row r="67" ht="14.25" customHeight="1">
      <c r="A67" s="14" t="s">
        <v>1201</v>
      </c>
      <c r="B67" s="31" t="s">
        <v>295</v>
      </c>
      <c r="C67" s="29" t="str">
        <f>IFERROR(__xludf.DUMMYFUNCTION("JOIN("","",FILTER(Disciplinas!A:A, regexmatch(Disciplinas!C:C, B67)))"),"GRAD.BB.01,GRAD.BIOF.01,CTBIOTRV.24")</f>
        <v>GRAD.BB.01,GRAD.BIOF.01,CTBIOTRV.24</v>
      </c>
      <c r="D67" s="30" t="s">
        <v>1134</v>
      </c>
      <c r="E67" s="30" t="s">
        <v>1134</v>
      </c>
      <c r="F67" s="30" t="s">
        <v>1134</v>
      </c>
      <c r="G67" s="30" t="s">
        <v>1134</v>
      </c>
      <c r="H67" s="30" t="s">
        <v>1134</v>
      </c>
      <c r="I67" s="30" t="s">
        <v>1134</v>
      </c>
    </row>
    <row r="68" ht="14.25" customHeight="1">
      <c r="A68" s="14" t="s">
        <v>1202</v>
      </c>
      <c r="B68" s="31" t="s">
        <v>302</v>
      </c>
      <c r="C68" s="29" t="str">
        <f>IFERROR(__xludf.DUMMYFUNCTION("JOIN("","",FILTER(Disciplinas!A:A, regexmatch(Disciplinas!C:C, B68)))"),"GRAD.FS.02,GRAD.FS.03")</f>
        <v>GRAD.FS.02,GRAD.FS.03</v>
      </c>
      <c r="D68" s="30" t="s">
        <v>1134</v>
      </c>
      <c r="E68" s="30" t="s">
        <v>1134</v>
      </c>
      <c r="F68" s="30" t="s">
        <v>1134</v>
      </c>
      <c r="G68" s="30" t="s">
        <v>1134</v>
      </c>
      <c r="H68" s="30" t="s">
        <v>1134</v>
      </c>
      <c r="I68" s="30" t="s">
        <v>1134</v>
      </c>
    </row>
    <row r="69" ht="14.25" customHeight="1">
      <c r="A69" s="14" t="s">
        <v>1203</v>
      </c>
      <c r="B69" s="31" t="s">
        <v>305</v>
      </c>
      <c r="C69" s="29" t="str">
        <f>IFERROR(__xludf.DUMMYFUNCTION("JOIN("","",FILTER(Disciplinas!A:A, regexmatch(Disciplinas!C:C, B69)))"),"GRAD.G.02,RV.BIO244,GRAD.GENéT.01,RV.BIO201")</f>
        <v>GRAD.G.02,RV.BIO244,GRAD.GENéT.01,RV.BIO201</v>
      </c>
      <c r="D69" s="30" t="s">
        <v>1134</v>
      </c>
      <c r="E69" s="30" t="s">
        <v>1134</v>
      </c>
      <c r="F69" s="30" t="s">
        <v>1134</v>
      </c>
      <c r="G69" s="30" t="s">
        <v>1134</v>
      </c>
      <c r="H69" s="30" t="s">
        <v>1134</v>
      </c>
      <c r="I69" s="30" t="s">
        <v>1134</v>
      </c>
    </row>
    <row r="70" ht="14.25" customHeight="1">
      <c r="A70" s="14" t="s">
        <v>1204</v>
      </c>
      <c r="B70" s="31" t="s">
        <v>312</v>
      </c>
      <c r="C70" s="29" t="str">
        <f>IFERROR(__xludf.DUMMYFUNCTION("JOIN("","",FILTER(Disciplinas!A:A, regexmatch(Disciplinas!C:C, B70)))"),"RV.AGR214,CTBIOTRV.15,RV.AGR424")</f>
        <v>RV.AGR214,CTBIOTRV.15,RV.AGR424</v>
      </c>
      <c r="D70" s="30" t="s">
        <v>1134</v>
      </c>
      <c r="E70" s="30" t="s">
        <v>1134</v>
      </c>
      <c r="F70" s="30" t="s">
        <v>1134</v>
      </c>
      <c r="G70" s="30" t="s">
        <v>1134</v>
      </c>
      <c r="H70" s="30" t="s">
        <v>1134</v>
      </c>
      <c r="I70" s="30" t="s">
        <v>1134</v>
      </c>
    </row>
    <row r="71" ht="14.25" customHeight="1">
      <c r="A71" s="14" t="s">
        <v>1205</v>
      </c>
      <c r="B71" s="31" t="s">
        <v>320</v>
      </c>
      <c r="C71" s="29" t="str">
        <f>IFERROR(__xludf.DUMMYFUNCTION("JOIN("","",FILTER(Disciplinas!A:A, regexmatch(Disciplinas!C:C, B71)))"),"RV.AGR226,RV.AGR209")</f>
        <v>RV.AGR226,RV.AGR209</v>
      </c>
      <c r="D71" s="30" t="s">
        <v>1134</v>
      </c>
      <c r="E71" s="30" t="s">
        <v>1134</v>
      </c>
      <c r="F71" s="30" t="s">
        <v>1134</v>
      </c>
      <c r="G71" s="30" t="s">
        <v>1134</v>
      </c>
      <c r="H71" s="30" t="s">
        <v>1134</v>
      </c>
      <c r="I71" s="30" t="s">
        <v>1134</v>
      </c>
    </row>
    <row r="72" ht="14.25" customHeight="1">
      <c r="A72" s="14" t="s">
        <v>1206</v>
      </c>
      <c r="B72" s="31" t="s">
        <v>325</v>
      </c>
      <c r="C72" s="29" t="str">
        <f>IFERROR(__xludf.DUMMYFUNCTION("JOIN("","",FILTER(Disciplinas!A:A, regexmatch(Disciplinas!C:C, B72)))"),"RV.ENG208,RV.ENG257,CTSTRARV.1,CTSTRARV.36,CTSTRARV.38,CTSTRARV.41,CTSTRARV.43,CTSTRARV.44,SZOOTEC-RV.13")</f>
        <v>RV.ENG208,RV.ENG257,CTSTRARV.1,CTSTRARV.36,CTSTRARV.38,CTSTRARV.41,CTSTRARV.43,CTSTRARV.44,SZOOTEC-RV.13</v>
      </c>
      <c r="D72" s="30" t="s">
        <v>1134</v>
      </c>
      <c r="E72" s="30" t="s">
        <v>1134</v>
      </c>
      <c r="F72" s="30" t="s">
        <v>1134</v>
      </c>
      <c r="G72" s="30" t="s">
        <v>1134</v>
      </c>
      <c r="H72" s="30" t="s">
        <v>1134</v>
      </c>
      <c r="I72" s="30" t="s">
        <v>1134</v>
      </c>
    </row>
    <row r="73" ht="14.25" customHeight="1">
      <c r="A73" s="14" t="s">
        <v>1207</v>
      </c>
      <c r="B73" s="31" t="s">
        <v>373</v>
      </c>
      <c r="C73" s="29" t="str">
        <f>IFERROR(__xludf.DUMMYFUNCTION("JOIN("","",FILTER(Disciplinas!A:A, regexmatch(Disciplinas!C:C, B73)))"),"RV.EAL231,RV.TAL08,GRAD.QA.03,RV.EAL218")</f>
        <v>RV.EAL231,RV.TAL08,GRAD.QA.03,RV.EAL218</v>
      </c>
      <c r="D73" s="30" t="s">
        <v>1134</v>
      </c>
      <c r="E73" s="30" t="s">
        <v>1134</v>
      </c>
      <c r="F73" s="30" t="s">
        <v>1134</v>
      </c>
      <c r="G73" s="30" t="s">
        <v>1134</v>
      </c>
      <c r="H73" s="30" t="s">
        <v>1134</v>
      </c>
      <c r="I73" s="30" t="s">
        <v>1134</v>
      </c>
    </row>
    <row r="74" ht="14.25" customHeight="1">
      <c r="A74" s="14" t="s">
        <v>1208</v>
      </c>
      <c r="B74" s="31" t="s">
        <v>337</v>
      </c>
      <c r="C74" s="29" t="str">
        <f>IFERROR(__xludf.DUMMYFUNCTION("JOIN("","",FILTER(Disciplinas!A:A, regexmatch(Disciplinas!C:C, B74)))"),"RV.ENG230")</f>
        <v>RV.ENG230</v>
      </c>
      <c r="D74" s="30" t="s">
        <v>1134</v>
      </c>
      <c r="E74" s="30" t="s">
        <v>1134</v>
      </c>
      <c r="F74" s="30" t="s">
        <v>1134</v>
      </c>
      <c r="G74" s="30" t="s">
        <v>1134</v>
      </c>
      <c r="H74" s="30" t="s">
        <v>1134</v>
      </c>
      <c r="I74" s="30" t="s">
        <v>1134</v>
      </c>
    </row>
    <row r="75" ht="14.25" customHeight="1">
      <c r="A75" s="14" t="s">
        <v>1209</v>
      </c>
      <c r="B75" s="31" t="s">
        <v>350</v>
      </c>
      <c r="C75" s="29" t="str">
        <f>IFERROR(__xludf.DUMMYFUNCTION("JOIN("","",FILTER(Disciplinas!A:A, regexmatch(Disciplinas!C:C, B75)))"),"RV.AGR224")</f>
        <v>RV.AGR224</v>
      </c>
      <c r="D75" s="30" t="s">
        <v>1134</v>
      </c>
      <c r="E75" s="30" t="s">
        <v>1134</v>
      </c>
      <c r="F75" s="30" t="s">
        <v>1134</v>
      </c>
      <c r="G75" s="30" t="s">
        <v>1134</v>
      </c>
      <c r="H75" s="30" t="s">
        <v>1134</v>
      </c>
      <c r="I75" s="30" t="s">
        <v>1134</v>
      </c>
    </row>
    <row r="76" ht="14.25" customHeight="1">
      <c r="A76" s="14" t="s">
        <v>1210</v>
      </c>
      <c r="B76" s="31" t="s">
        <v>353</v>
      </c>
      <c r="C76" s="29" t="str">
        <f>IFERROR(__xludf.DUMMYFUNCTION("JOIN("","",FILTER(Disciplinas!A:A, regexmatch(Disciplinas!C:C, B76)))"),"RV.AGR234,RV.GAM217")</f>
        <v>RV.AGR234,RV.GAM217</v>
      </c>
      <c r="D76" s="30" t="s">
        <v>1134</v>
      </c>
      <c r="E76" s="30" t="s">
        <v>1134</v>
      </c>
      <c r="F76" s="30" t="s">
        <v>1134</v>
      </c>
      <c r="G76" s="30" t="s">
        <v>1134</v>
      </c>
      <c r="H76" s="30" t="s">
        <v>1134</v>
      </c>
      <c r="I76" s="30" t="s">
        <v>1134</v>
      </c>
    </row>
    <row r="77" ht="14.25" customHeight="1">
      <c r="A77" s="14" t="s">
        <v>1211</v>
      </c>
      <c r="B77" s="31" t="s">
        <v>358</v>
      </c>
      <c r="C77" s="29" t="str">
        <f>IFERROR(__xludf.DUMMYFUNCTION("JOIN("","",FILTER(Disciplinas!A:A, regexmatch(Disciplinas!C:C, B77)))"),"RV.GAM239,GRAD.EG.03,GRAD.EG.01,GRAD.HIDROLOG.01,GRAD.EG.01")</f>
        <v>RV.GAM239,GRAD.EG.03,GRAD.EG.01,GRAD.HIDROLOG.01,GRAD.EG.01</v>
      </c>
      <c r="D77" s="30" t="s">
        <v>1134</v>
      </c>
      <c r="E77" s="30" t="s">
        <v>1134</v>
      </c>
      <c r="F77" s="30" t="s">
        <v>1134</v>
      </c>
      <c r="G77" s="30" t="s">
        <v>1134</v>
      </c>
      <c r="H77" s="30" t="s">
        <v>1134</v>
      </c>
      <c r="I77" s="30" t="s">
        <v>1134</v>
      </c>
    </row>
    <row r="78" ht="14.25" customHeight="1">
      <c r="A78" s="14" t="s">
        <v>1212</v>
      </c>
      <c r="B78" s="31" t="s">
        <v>359</v>
      </c>
      <c r="C78" s="29" t="str">
        <f>IFERROR(__xludf.DUMMYFUNCTION("JOIN("","",FILTER(Disciplinas!A:A, regexmatch(Disciplinas!C:C, B78)))"),"RV.ENG208,SZOOTEC-RV.13,SZOOTEC-RV.14")</f>
        <v>RV.ENG208,SZOOTEC-RV.13,SZOOTEC-RV.14</v>
      </c>
      <c r="D78" s="30" t="s">
        <v>1134</v>
      </c>
      <c r="E78" s="30" t="s">
        <v>1134</v>
      </c>
      <c r="F78" s="30" t="s">
        <v>1134</v>
      </c>
      <c r="G78" s="30" t="s">
        <v>1134</v>
      </c>
      <c r="H78" s="30" t="s">
        <v>1134</v>
      </c>
      <c r="I78" s="30" t="s">
        <v>1134</v>
      </c>
    </row>
    <row r="79" ht="14.25" customHeight="1">
      <c r="A79" s="14" t="s">
        <v>1213</v>
      </c>
      <c r="B79" s="31" t="s">
        <v>365</v>
      </c>
      <c r="C79" s="29" t="str">
        <f>IFERROR(__xludf.DUMMYFUNCTION("JOIN("","",FILTER(Disciplinas!A:A, regexmatch(Disciplinas!C:C, B79)))"),"RV.QAP428,GRAD.QA.02,RV.QUI735,GRAD.PAQG.01")</f>
        <v>RV.QAP428,GRAD.QA.02,RV.QUI735,GRAD.PAQG.01</v>
      </c>
      <c r="D79" s="30" t="s">
        <v>1134</v>
      </c>
      <c r="E79" s="30" t="s">
        <v>1134</v>
      </c>
      <c r="F79" s="30" t="s">
        <v>1134</v>
      </c>
      <c r="G79" s="30" t="s">
        <v>1134</v>
      </c>
      <c r="H79" s="30" t="s">
        <v>1134</v>
      </c>
      <c r="I79" s="30" t="s">
        <v>1134</v>
      </c>
    </row>
    <row r="80" ht="14.25" customHeight="1">
      <c r="A80" s="14" t="s">
        <v>1214</v>
      </c>
      <c r="B80" s="31" t="s">
        <v>368</v>
      </c>
      <c r="C80" s="29" t="str">
        <f>IFERROR(__xludf.DUMMYFUNCTION("JOIN("","",FILTER(Disciplinas!A:A, regexmatch(Disciplinas!C:C, B80)))"),"RV.TAL06,CTBIOTRV.20")</f>
        <v>RV.TAL06,CTBIOTRV.20</v>
      </c>
      <c r="D80" s="30" t="s">
        <v>1134</v>
      </c>
      <c r="E80" s="30" t="s">
        <v>1134</v>
      </c>
      <c r="F80" s="30" t="s">
        <v>1134</v>
      </c>
      <c r="G80" s="30" t="s">
        <v>1134</v>
      </c>
      <c r="H80" s="30" t="s">
        <v>1134</v>
      </c>
      <c r="I80" s="30" t="s">
        <v>1134</v>
      </c>
    </row>
    <row r="81" ht="14.25" customHeight="1">
      <c r="A81" s="14" t="s">
        <v>1215</v>
      </c>
      <c r="B81" s="31" t="s">
        <v>371</v>
      </c>
      <c r="C81" s="29" t="str">
        <f>IFERROR(__xludf.DUMMYFUNCTION("JOIN("","",FILTER(Disciplinas!A:A, regexmatch(Disciplinas!C:C, B81)))"),"RV.TAL07,RVTAL.82,RV.TAL14")</f>
        <v>RV.TAL07,RVTAL.82,RV.TAL14</v>
      </c>
      <c r="D81" s="30" t="s">
        <v>1134</v>
      </c>
      <c r="E81" s="30" t="s">
        <v>1134</v>
      </c>
      <c r="F81" s="30" t="s">
        <v>1134</v>
      </c>
      <c r="G81" s="30" t="s">
        <v>1134</v>
      </c>
      <c r="H81" s="30" t="s">
        <v>1134</v>
      </c>
      <c r="I81" s="30" t="s">
        <v>1134</v>
      </c>
    </row>
    <row r="82" ht="14.25" customHeight="1">
      <c r="A82" s="14" t="s">
        <v>1216</v>
      </c>
      <c r="B82" s="31" t="s">
        <v>378</v>
      </c>
      <c r="C82" s="29" t="str">
        <f>IFERROR(__xludf.DUMMYFUNCTION("JOIN("","",FILTER(Disciplinas!A:A, regexmatch(Disciplinas!C:C, B82)))"),"RV.TAL81,RV.TAL85,RV.TAL87,GRAD.BA.01,RV.QUI723,RV.TAL717,CTSTRARV.45")</f>
        <v>RV.TAL81,RV.TAL85,RV.TAL87,GRAD.BA.01,RV.QUI723,RV.TAL717,CTSTRARV.45</v>
      </c>
      <c r="D82" s="30" t="s">
        <v>1134</v>
      </c>
      <c r="E82" s="30" t="s">
        <v>1134</v>
      </c>
      <c r="F82" s="30" t="s">
        <v>1134</v>
      </c>
      <c r="G82" s="30" t="s">
        <v>1134</v>
      </c>
      <c r="H82" s="30" t="s">
        <v>1134</v>
      </c>
      <c r="I82" s="30" t="s">
        <v>1134</v>
      </c>
    </row>
    <row r="83" ht="14.25" customHeight="1">
      <c r="A83" s="14" t="s">
        <v>1217</v>
      </c>
      <c r="B83" s="31" t="s">
        <v>382</v>
      </c>
      <c r="C83" s="29" t="str">
        <f>IFERROR(__xludf.DUMMYFUNCTION("JOIN("","",FILTER(Disciplinas!A:A, regexmatch(Disciplinas!C:C, B83)))"),"RV.TAL11,RV.TAL16,RV.TAL17")</f>
        <v>RV.TAL11,RV.TAL16,RV.TAL17</v>
      </c>
      <c r="D83" s="30" t="s">
        <v>1134</v>
      </c>
      <c r="E83" s="30" t="s">
        <v>1134</v>
      </c>
      <c r="F83" s="30" t="s">
        <v>1134</v>
      </c>
      <c r="G83" s="30" t="s">
        <v>1134</v>
      </c>
      <c r="H83" s="30" t="s">
        <v>1134</v>
      </c>
      <c r="I83" s="30" t="s">
        <v>1134</v>
      </c>
    </row>
    <row r="84" ht="14.25" customHeight="1">
      <c r="A84" s="14" t="s">
        <v>1218</v>
      </c>
      <c r="B84" s="31" t="s">
        <v>385</v>
      </c>
      <c r="C84" s="29" t="str">
        <f>IFERROR(__xludf.DUMMYFUNCTION("JOIN("","",FILTER(Disciplinas!A:A, regexmatch(Disciplinas!C:C, B84)))"),"RV.TAL12,RV.TAL02,RV.TAL13,RV.TAL15,CTBIOTRV.5")</f>
        <v>RV.TAL12,RV.TAL02,RV.TAL13,RV.TAL15,CTBIOTRV.5</v>
      </c>
      <c r="D84" s="30" t="s">
        <v>1134</v>
      </c>
      <c r="E84" s="30" t="s">
        <v>1134</v>
      </c>
      <c r="F84" s="30" t="s">
        <v>1134</v>
      </c>
      <c r="G84" s="30" t="s">
        <v>1134</v>
      </c>
      <c r="H84" s="30" t="s">
        <v>1134</v>
      </c>
      <c r="I84" s="30" t="s">
        <v>1134</v>
      </c>
    </row>
    <row r="85" ht="14.25" customHeight="1">
      <c r="A85" s="14" t="s">
        <v>1219</v>
      </c>
      <c r="B85" s="31" t="s">
        <v>388</v>
      </c>
      <c r="C85" s="29" t="str">
        <f>IFERROR(__xludf.DUMMYFUNCTION("JOIN("","",FILTER(Disciplinas!A:A, regexmatch(Disciplinas!C:C, B85)))"),"RV.TAL712,RV.TAL717,GRAD.MICROBIOL.01,RV.EAL214")</f>
        <v>RV.TAL712,RV.TAL717,GRAD.MICROBIOL.01,RV.EAL214</v>
      </c>
      <c r="D85" s="30" t="s">
        <v>1134</v>
      </c>
      <c r="E85" s="30" t="s">
        <v>1134</v>
      </c>
      <c r="F85" s="30" t="s">
        <v>1134</v>
      </c>
      <c r="G85" s="30" t="s">
        <v>1134</v>
      </c>
      <c r="H85" s="30" t="s">
        <v>1134</v>
      </c>
      <c r="I85" s="30" t="s">
        <v>1134</v>
      </c>
    </row>
    <row r="86" ht="14.25" customHeight="1">
      <c r="A86" s="14" t="s">
        <v>1220</v>
      </c>
      <c r="B86" s="31" t="s">
        <v>398</v>
      </c>
      <c r="C86" s="29" t="str">
        <f>IFERROR(__xludf.DUMMYFUNCTION("JOIN("","",FILTER(Disciplinas!A:A, regexmatch(Disciplinas!C:C, B86)))"),"RV.TAL727,RV.EAL222,RV.TAL727,CTBIOTRV.14,CTBIOTRV.17,RV.TAL727")</f>
        <v>RV.TAL727,RV.EAL222,RV.TAL727,CTBIOTRV.14,CTBIOTRV.17,RV.TAL727</v>
      </c>
      <c r="D86" s="30" t="s">
        <v>1134</v>
      </c>
      <c r="E86" s="30" t="s">
        <v>1134</v>
      </c>
      <c r="F86" s="30" t="s">
        <v>1134</v>
      </c>
      <c r="G86" s="30" t="s">
        <v>1134</v>
      </c>
      <c r="H86" s="30" t="s">
        <v>1134</v>
      </c>
      <c r="I86" s="30" t="s">
        <v>1134</v>
      </c>
    </row>
    <row r="87" ht="14.25" customHeight="1">
      <c r="A87" s="14" t="s">
        <v>1221</v>
      </c>
      <c r="B87" s="31" t="s">
        <v>418</v>
      </c>
      <c r="C87" s="29" t="str">
        <f>IFERROR(__xludf.DUMMYFUNCTION("JOIN("","",FILTER(Disciplinas!A:A, regexmatch(Disciplinas!C:C, B87)))"),"GRAD.CDI.04,GRAD.CN.01,GRAD.CDI.04,GRAD.CDI.04")</f>
        <v>GRAD.CDI.04,GRAD.CN.01,GRAD.CDI.04,GRAD.CDI.04</v>
      </c>
      <c r="D87" s="30" t="s">
        <v>1134</v>
      </c>
      <c r="E87" s="30" t="s">
        <v>1134</v>
      </c>
      <c r="F87" s="30" t="s">
        <v>1134</v>
      </c>
      <c r="G87" s="30" t="s">
        <v>1134</v>
      </c>
      <c r="H87" s="30" t="s">
        <v>1134</v>
      </c>
      <c r="I87" s="30" t="s">
        <v>1134</v>
      </c>
    </row>
    <row r="88" ht="14.25" customHeight="1">
      <c r="A88" s="14" t="s">
        <v>1222</v>
      </c>
      <c r="B88" s="31" t="s">
        <v>424</v>
      </c>
      <c r="C88" s="29" t="str">
        <f>IFERROR(__xludf.DUMMYFUNCTION("JOIN("","",FILTER(Disciplinas!A:A, regexmatch(Disciplinas!C:C, B88)))"),"GRAD.FOTB.01,GRAD.FíSICA II.01,RV.EXA222")</f>
        <v>GRAD.FOTB.01,GRAD.FíSICA II.01,RV.EXA222</v>
      </c>
      <c r="D88" s="30" t="s">
        <v>1134</v>
      </c>
      <c r="E88" s="30" t="s">
        <v>1134</v>
      </c>
      <c r="F88" s="30" t="s">
        <v>1134</v>
      </c>
      <c r="G88" s="30" t="s">
        <v>1134</v>
      </c>
      <c r="H88" s="30" t="s">
        <v>1134</v>
      </c>
      <c r="I88" s="30" t="s">
        <v>1134</v>
      </c>
    </row>
    <row r="89" ht="14.25" customHeight="1">
      <c r="A89" s="14" t="s">
        <v>1223</v>
      </c>
      <c r="B89" s="31" t="s">
        <v>429</v>
      </c>
      <c r="C89" s="29" t="str">
        <f>IFERROR(__xludf.DUMMYFUNCTION("JOIN("","",FILTER(Disciplinas!A:A, regexmatch(Disciplinas!C:C, B89)))"),"GRAD.QO.02,GRAD.QO.02,RV.QUI726")</f>
        <v>GRAD.QO.02,GRAD.QO.02,RV.QUI726</v>
      </c>
      <c r="D89" s="30" t="s">
        <v>1134</v>
      </c>
      <c r="E89" s="30" t="s">
        <v>1134</v>
      </c>
      <c r="F89" s="30" t="s">
        <v>1134</v>
      </c>
      <c r="G89" s="30" t="s">
        <v>1134</v>
      </c>
      <c r="H89" s="30" t="s">
        <v>1134</v>
      </c>
      <c r="I89" s="30" t="s">
        <v>1134</v>
      </c>
    </row>
    <row r="90" ht="14.25" customHeight="1">
      <c r="A90" s="14" t="s">
        <v>1224</v>
      </c>
      <c r="B90" s="31" t="s">
        <v>438</v>
      </c>
      <c r="C90" s="29" t="str">
        <f>IFERROR(__xludf.DUMMYFUNCTION("JOIN("","",FILTER(Disciplinas!A:A, regexmatch(Disciplinas!C:C, B90)))"),"GRAD.FQ.02,GRAD.FQ.01")</f>
        <v>GRAD.FQ.02,GRAD.FQ.01</v>
      </c>
      <c r="D90" s="30" t="s">
        <v>1134</v>
      </c>
      <c r="E90" s="30" t="s">
        <v>1134</v>
      </c>
      <c r="F90" s="30" t="s">
        <v>1134</v>
      </c>
      <c r="G90" s="30" t="s">
        <v>1134</v>
      </c>
      <c r="H90" s="30" t="s">
        <v>1134</v>
      </c>
      <c r="I90" s="30" t="s">
        <v>1134</v>
      </c>
    </row>
    <row r="91" ht="14.25" customHeight="1">
      <c r="A91" s="14" t="s">
        <v>1225</v>
      </c>
      <c r="B91" s="31" t="s">
        <v>441</v>
      </c>
      <c r="C91" s="29" t="str">
        <f>IFERROR(__xludf.DUMMYFUNCTION("JOIN("","",FILTER(Disciplinas!A:A, regexmatch(Disciplinas!C:C, B91)))"),"GRAD.FT.01,GRAD..MV.01,RV.DTC001")</f>
        <v>GRAD.FT.01,GRAD..MV.01,RV.DTC001</v>
      </c>
      <c r="D91" s="30" t="s">
        <v>1134</v>
      </c>
      <c r="E91" s="30" t="s">
        <v>1134</v>
      </c>
      <c r="F91" s="30" t="s">
        <v>1134</v>
      </c>
      <c r="G91" s="30" t="s">
        <v>1134</v>
      </c>
      <c r="H91" s="30" t="s">
        <v>1134</v>
      </c>
      <c r="I91" s="30" t="s">
        <v>1134</v>
      </c>
    </row>
    <row r="92" ht="14.25" customHeight="1">
      <c r="A92" s="14" t="s">
        <v>1226</v>
      </c>
      <c r="B92" s="31" t="s">
        <v>447</v>
      </c>
      <c r="C92" s="29" t="str">
        <f>IFERROR(__xludf.DUMMYFUNCTION("JOIN("","",FILTER(Disciplinas!A:A, regexmatch(Disciplinas!C:C, B92)))"),"RV.EAL205,RV.ENG209,RV.EAL221,RV.EAL204")</f>
        <v>RV.EAL205,RV.ENG209,RV.EAL221,RV.EAL204</v>
      </c>
      <c r="D92" s="30" t="s">
        <v>1134</v>
      </c>
      <c r="E92" s="30" t="s">
        <v>1134</v>
      </c>
      <c r="F92" s="30" t="s">
        <v>1134</v>
      </c>
      <c r="G92" s="30" t="s">
        <v>1134</v>
      </c>
      <c r="H92" s="30" t="s">
        <v>1134</v>
      </c>
      <c r="I92" s="30" t="s">
        <v>1134</v>
      </c>
    </row>
    <row r="93" ht="14.25" customHeight="1">
      <c r="A93" s="14" t="s">
        <v>1227</v>
      </c>
      <c r="B93" s="31" t="s">
        <v>456</v>
      </c>
      <c r="C93" s="29" t="str">
        <f>IFERROR(__xludf.DUMMYFUNCTION("JOIN("","",FILTER(Disciplinas!A:A, regexmatch(Disciplinas!C:C, B93)))"),"RV.ENG211,RV.ENG240,RV.ENG245,RV.SE-II001,CTEDIFRV.26")</f>
        <v>RV.ENG211,RV.ENG240,RV.ENG245,RV.SE-II001,CTEDIFRV.26</v>
      </c>
      <c r="D93" s="30" t="s">
        <v>1134</v>
      </c>
      <c r="E93" s="30" t="s">
        <v>1134</v>
      </c>
      <c r="F93" s="30" t="s">
        <v>1134</v>
      </c>
      <c r="G93" s="30" t="s">
        <v>1134</v>
      </c>
      <c r="H93" s="30" t="s">
        <v>1134</v>
      </c>
      <c r="I93" s="30" t="s">
        <v>1134</v>
      </c>
    </row>
    <row r="94" ht="14.25" customHeight="1">
      <c r="A94" s="14" t="s">
        <v>1228</v>
      </c>
      <c r="B94" s="31" t="s">
        <v>462</v>
      </c>
      <c r="C94" s="29" t="str">
        <f>IFERROR(__xludf.DUMMYFUNCTION("JOIN("","",FILTER(Disciplinas!A:A, regexmatch(Disciplinas!C:C, B94)))"),"RV.EAL219,RV.EAL228")</f>
        <v>RV.EAL219,RV.EAL228</v>
      </c>
      <c r="D94" s="30" t="s">
        <v>1134</v>
      </c>
      <c r="E94" s="30" t="s">
        <v>1134</v>
      </c>
      <c r="F94" s="30" t="s">
        <v>1134</v>
      </c>
      <c r="G94" s="30" t="s">
        <v>1134</v>
      </c>
      <c r="H94" s="30" t="s">
        <v>1134</v>
      </c>
      <c r="I94" s="30" t="s">
        <v>1134</v>
      </c>
    </row>
    <row r="95" ht="14.25" customHeight="1">
      <c r="A95" s="14" t="s">
        <v>1229</v>
      </c>
      <c r="B95" s="31" t="s">
        <v>469</v>
      </c>
      <c r="C95" s="29" t="str">
        <f>IFERROR(__xludf.DUMMYFUNCTION("JOIN("","",FILTER(Disciplinas!A:A, regexmatch(Disciplinas!C:C, B95)))"),"RV.EAL230,GRAD.SD.01,RV.EAL230,RV.IEC001")</f>
        <v>RV.EAL230,GRAD.SD.01,RV.EAL230,RV.IEC001</v>
      </c>
      <c r="D95" s="30" t="s">
        <v>1134</v>
      </c>
      <c r="E95" s="30" t="s">
        <v>1134</v>
      </c>
      <c r="F95" s="30" t="s">
        <v>1134</v>
      </c>
      <c r="G95" s="30" t="s">
        <v>1134</v>
      </c>
      <c r="H95" s="30" t="s">
        <v>1134</v>
      </c>
      <c r="I95" s="30" t="s">
        <v>1134</v>
      </c>
    </row>
    <row r="96" ht="14.25" customHeight="1">
      <c r="A96" s="14" t="s">
        <v>1230</v>
      </c>
      <c r="B96" s="31" t="s">
        <v>525</v>
      </c>
      <c r="C96" s="29" t="str">
        <f>IFERROR(__xludf.DUMMYFUNCTION("JOIN("","",FILTER(Disciplinas!A:A, regexmatch(Disciplinas!C:C, B96)))"),"GRAD.AV.03,GRAD.BB.02,RV.BIO238,CTBIOTRV.1")</f>
        <v>GRAD.AV.03,GRAD.BB.02,RV.BIO238,CTBIOTRV.1</v>
      </c>
      <c r="D96" s="30" t="s">
        <v>1134</v>
      </c>
      <c r="E96" s="30" t="s">
        <v>1134</v>
      </c>
      <c r="F96" s="30" t="s">
        <v>1134</v>
      </c>
      <c r="G96" s="30" t="s">
        <v>1134</v>
      </c>
      <c r="H96" s="30" t="s">
        <v>1134</v>
      </c>
      <c r="I96" s="30" t="s">
        <v>1134</v>
      </c>
    </row>
    <row r="97" ht="14.25" customHeight="1">
      <c r="A97" s="14" t="s">
        <v>1231</v>
      </c>
      <c r="B97" s="31" t="s">
        <v>479</v>
      </c>
      <c r="C97" s="29" t="str">
        <f>IFERROR(__xludf.DUMMYFUNCTION("JOIN("","",FILTER(Disciplinas!A:A, regexmatch(Disciplinas!C:C, B97)))"),"GRAD.FSHE.01,RV.EDU217,GRAD.FSHE.01,RV.HUM223,RV.EDU208,RV.EDU210")</f>
        <v>GRAD.FSHE.01,RV.EDU217,GRAD.FSHE.01,RV.HUM223,RV.EDU208,RV.EDU210</v>
      </c>
      <c r="D97" s="30" t="s">
        <v>1134</v>
      </c>
      <c r="E97" s="30" t="s">
        <v>1134</v>
      </c>
      <c r="F97" s="30" t="s">
        <v>1134</v>
      </c>
      <c r="G97" s="30" t="s">
        <v>1134</v>
      </c>
      <c r="H97" s="30" t="s">
        <v>1134</v>
      </c>
      <c r="I97" s="30" t="s">
        <v>1134</v>
      </c>
    </row>
    <row r="98" ht="14.25" customHeight="1">
      <c r="A98" s="14" t="s">
        <v>1232</v>
      </c>
      <c r="B98" s="31" t="s">
        <v>482</v>
      </c>
      <c r="C98" s="29" t="str">
        <f>IFERROR(__xludf.DUMMYFUNCTION("JOIN("","",FILTER(Disciplinas!A:A, regexmatch(Disciplinas!C:C, B98)))"),"GRAD.HISTOLOG.01,RV.BIO353,RV.BIO318,GRAD.HISTOL.01,CTBIOTRV.21")</f>
        <v>GRAD.HISTOLOG.01,RV.BIO353,RV.BIO318,GRAD.HISTOL.01,CTBIOTRV.21</v>
      </c>
      <c r="D98" s="30" t="s">
        <v>1134</v>
      </c>
      <c r="E98" s="30" t="s">
        <v>1134</v>
      </c>
      <c r="F98" s="30" t="s">
        <v>1134</v>
      </c>
      <c r="G98" s="30" t="s">
        <v>1134</v>
      </c>
      <c r="H98" s="30" t="s">
        <v>1134</v>
      </c>
      <c r="I98" s="30" t="s">
        <v>1134</v>
      </c>
    </row>
    <row r="99" ht="14.25" customHeight="1">
      <c r="A99" s="14" t="s">
        <v>1233</v>
      </c>
      <c r="B99" s="31" t="s">
        <v>485</v>
      </c>
      <c r="C99" s="29" t="str">
        <f>IFERROR(__xludf.DUMMYFUNCTION("JOIN("","",FILTER(Disciplinas!A:A, regexmatch(Disciplinas!C:C, B99)))"),"GRAD.Z.01,GRAD.ZI-I.01,GRAD.EPC.01,RV.BIO316,GRAD.ZOOLOGIA.01")</f>
        <v>GRAD.Z.01,GRAD.ZI-I.01,GRAD.EPC.01,RV.BIO316,GRAD.ZOOLOGIA.01</v>
      </c>
      <c r="D99" s="30" t="s">
        <v>1134</v>
      </c>
      <c r="E99" s="30" t="s">
        <v>1134</v>
      </c>
      <c r="F99" s="30" t="s">
        <v>1134</v>
      </c>
      <c r="G99" s="30" t="s">
        <v>1134</v>
      </c>
      <c r="H99" s="30" t="s">
        <v>1134</v>
      </c>
      <c r="I99" s="30" t="s">
        <v>1134</v>
      </c>
    </row>
    <row r="100" ht="14.25" customHeight="1">
      <c r="A100" s="14" t="s">
        <v>1234</v>
      </c>
      <c r="B100" s="31" t="s">
        <v>488</v>
      </c>
      <c r="C100" s="29" t="str">
        <f>IFERROR(__xludf.DUMMYFUNCTION("JOIN("","",FILTER(Disciplinas!A:A, regexmatch(Disciplinas!C:C, B100)))"),"GRAD. ZV.01,RV.BIO347,RV.BIO239")</f>
        <v>GRAD. ZV.01,RV.BIO347,RV.BIO239</v>
      </c>
      <c r="D100" s="30" t="s">
        <v>1134</v>
      </c>
      <c r="E100" s="30" t="s">
        <v>1134</v>
      </c>
      <c r="F100" s="30" t="s">
        <v>1134</v>
      </c>
      <c r="G100" s="30" t="s">
        <v>1134</v>
      </c>
      <c r="H100" s="30" t="s">
        <v>1134</v>
      </c>
      <c r="I100" s="30" t="s">
        <v>1134</v>
      </c>
    </row>
    <row r="101" ht="14.25" customHeight="1">
      <c r="A101" s="14" t="s">
        <v>1235</v>
      </c>
      <c r="B101" s="31" t="s">
        <v>492</v>
      </c>
      <c r="C101" s="29" t="str">
        <f>IFERROR(__xludf.DUMMYFUNCTION("JOIN("","",FILTER(Disciplinas!A:A, regexmatch(Disciplinas!C:C, B101)))"),"GRAD.BABP.01,RV.BIO354,GRAD.BABP.01,GRAD.MOV.01")</f>
        <v>GRAD.BABP.01,RV.BIO354,GRAD.BABP.01,GRAD.MOV.01</v>
      </c>
      <c r="D101" s="30" t="s">
        <v>1134</v>
      </c>
      <c r="E101" s="30" t="s">
        <v>1134</v>
      </c>
      <c r="F101" s="30" t="s">
        <v>1134</v>
      </c>
      <c r="G101" s="30" t="s">
        <v>1134</v>
      </c>
      <c r="H101" s="30" t="s">
        <v>1134</v>
      </c>
      <c r="I101" s="30" t="s">
        <v>1134</v>
      </c>
    </row>
    <row r="102" ht="14.25" customHeight="1">
      <c r="A102" s="14" t="s">
        <v>1236</v>
      </c>
      <c r="B102" s="31" t="s">
        <v>495</v>
      </c>
      <c r="C102" s="29" t="str">
        <f>IFERROR(__xludf.DUMMYFUNCTION("JOIN("","",FILTER(Disciplinas!A:A, regexmatch(Disciplinas!C:C, B102)))"),"GRAD.DIDáT.01,GRAD.DIDáT.01")</f>
        <v>GRAD.DIDáT.01,GRAD.DIDáT.01</v>
      </c>
      <c r="D102" s="30" t="s">
        <v>1134</v>
      </c>
      <c r="E102" s="30" t="s">
        <v>1134</v>
      </c>
      <c r="F102" s="30" t="s">
        <v>1134</v>
      </c>
      <c r="G102" s="30" t="s">
        <v>1134</v>
      </c>
      <c r="H102" s="30" t="s">
        <v>1134</v>
      </c>
      <c r="I102" s="30" t="s">
        <v>1134</v>
      </c>
    </row>
    <row r="103" ht="14.25" customHeight="1">
      <c r="A103" s="14" t="s">
        <v>1237</v>
      </c>
      <c r="B103" s="31" t="s">
        <v>500</v>
      </c>
      <c r="C103" s="29" t="str">
        <f>IFERROR(__xludf.DUMMYFUNCTION("JOIN("","",FILTER(Disciplinas!A:A, regexmatch(Disciplinas!C:C, B103)))"),"GRAD.FV.05,CTBIOTRV.26,GRAD.FV.03")</f>
        <v>GRAD.FV.05,CTBIOTRV.26,GRAD.FV.03</v>
      </c>
      <c r="D103" s="30" t="s">
        <v>1134</v>
      </c>
      <c r="E103" s="30" t="s">
        <v>1134</v>
      </c>
      <c r="F103" s="30" t="s">
        <v>1134</v>
      </c>
      <c r="G103" s="30" t="s">
        <v>1134</v>
      </c>
      <c r="H103" s="30" t="s">
        <v>1134</v>
      </c>
      <c r="I103" s="30" t="s">
        <v>1134</v>
      </c>
    </row>
    <row r="104" ht="14.25" customHeight="1">
      <c r="A104" s="14" t="s">
        <v>1238</v>
      </c>
      <c r="B104" s="31" t="s">
        <v>503</v>
      </c>
      <c r="C104" s="29" t="str">
        <f>IFERROR(__xludf.DUMMYFUNCTION("JOIN("","",FILTER(Disciplinas!A:A, regexmatch(Disciplinas!C:C, B104)))"),"RV.BIO352")</f>
        <v>RV.BIO352</v>
      </c>
      <c r="D104" s="30" t="s">
        <v>1134</v>
      </c>
      <c r="E104" s="30" t="s">
        <v>1134</v>
      </c>
      <c r="F104" s="30" t="s">
        <v>1134</v>
      </c>
      <c r="G104" s="30" t="s">
        <v>1134</v>
      </c>
      <c r="H104" s="30" t="s">
        <v>1134</v>
      </c>
      <c r="I104" s="30" t="s">
        <v>1134</v>
      </c>
    </row>
    <row r="105" ht="14.25" customHeight="1">
      <c r="A105" s="14" t="s">
        <v>1239</v>
      </c>
      <c r="B105" s="31" t="s">
        <v>791</v>
      </c>
      <c r="C105" s="29" t="str">
        <f>IFERROR(__xludf.DUMMYFUNCTION("JOIN("","",FILTER(Disciplinas!A:A, regexmatch(Disciplinas!C:C, B105)))"),"RV.BIO353,GRAD.PS.02,RV.EAM209,CTSTRARV.44")</f>
        <v>RV.BIO353,GRAD.PS.02,RV.EAM209,CTSTRARV.44</v>
      </c>
      <c r="D105" s="30" t="s">
        <v>1134</v>
      </c>
      <c r="E105" s="30" t="s">
        <v>1134</v>
      </c>
      <c r="F105" s="30" t="s">
        <v>1134</v>
      </c>
      <c r="G105" s="30" t="s">
        <v>1134</v>
      </c>
      <c r="H105" s="30" t="s">
        <v>1134</v>
      </c>
      <c r="I105" s="30" t="s">
        <v>1134</v>
      </c>
    </row>
    <row r="106" ht="14.25" customHeight="1">
      <c r="A106" s="14" t="s">
        <v>1240</v>
      </c>
      <c r="B106" s="31" t="s">
        <v>512</v>
      </c>
      <c r="C106" s="29" t="str">
        <f>IFERROR(__xludf.DUMMYFUNCTION("JOIN("","",FILTER(Disciplinas!A:A, regexmatch(Disciplinas!C:C, B106)))"),"RV.BIO355,RV.BIO206,RV.TAL607")</f>
        <v>RV.BIO355,RV.BIO206,RV.TAL607</v>
      </c>
      <c r="D106" s="30" t="s">
        <v>1134</v>
      </c>
      <c r="E106" s="30" t="s">
        <v>1134</v>
      </c>
      <c r="F106" s="30" t="s">
        <v>1134</v>
      </c>
      <c r="G106" s="30" t="s">
        <v>1134</v>
      </c>
      <c r="H106" s="30" t="s">
        <v>1134</v>
      </c>
      <c r="I106" s="30" t="s">
        <v>1134</v>
      </c>
    </row>
    <row r="107" ht="14.25" customHeight="1">
      <c r="A107" s="14" t="s">
        <v>1241</v>
      </c>
      <c r="B107" s="31" t="s">
        <v>522</v>
      </c>
      <c r="C107" s="29" t="str">
        <f>IFERROR(__xludf.DUMMYFUNCTION("JOIN("","",FILTER(Disciplinas!A:A, regexmatch(Disciplinas!C:C, B107)))"),"RV.GAM240,RV.GAM235,GRAD.MASU.02,RV.EAM212,RV.GAM235,RV.MAS001")</f>
        <v>RV.GAM240,RV.GAM235,GRAD.MASU.02,RV.EAM212,RV.GAM235,RV.MAS001</v>
      </c>
      <c r="D107" s="30" t="s">
        <v>1134</v>
      </c>
      <c r="E107" s="30" t="s">
        <v>1134</v>
      </c>
      <c r="F107" s="30" t="s">
        <v>1134</v>
      </c>
      <c r="G107" s="30" t="s">
        <v>1134</v>
      </c>
      <c r="H107" s="30" t="s">
        <v>1134</v>
      </c>
      <c r="I107" s="30" t="s">
        <v>1134</v>
      </c>
    </row>
    <row r="108" ht="14.25" customHeight="1">
      <c r="A108" s="14" t="s">
        <v>1242</v>
      </c>
      <c r="B108" s="31" t="s">
        <v>542</v>
      </c>
      <c r="C108" s="29" t="str">
        <f>IFERROR(__xludf.DUMMYFUNCTION("JOIN("","",FILTER(Disciplinas!A:A, regexmatch(Disciplinas!C:C, B108)))"),"GRAD.LA.01,RV.GAM224,GRAD.LA.03,GRAD.LA.01,RV.GAM220,RV.GAM232,CTSTRARV.32,CTSTRARV.19")</f>
        <v>GRAD.LA.01,RV.GAM224,GRAD.LA.03,GRAD.LA.01,RV.GAM220,RV.GAM232,CTSTRARV.32,CTSTRARV.19</v>
      </c>
      <c r="D108" s="30" t="s">
        <v>1134</v>
      </c>
      <c r="E108" s="30" t="s">
        <v>1134</v>
      </c>
      <c r="F108" s="30" t="s">
        <v>1134</v>
      </c>
      <c r="G108" s="30" t="s">
        <v>1134</v>
      </c>
      <c r="H108" s="30" t="s">
        <v>1134</v>
      </c>
      <c r="I108" s="30" t="s">
        <v>1134</v>
      </c>
    </row>
    <row r="109" ht="14.25" customHeight="1">
      <c r="A109" s="14" t="s">
        <v>1243</v>
      </c>
      <c r="B109" s="31" t="s">
        <v>551</v>
      </c>
      <c r="C109" s="29" t="str">
        <f>IFERROR(__xludf.DUMMYFUNCTION("JOIN("","",FILTER(Disciplinas!A:A, regexmatch(Disciplinas!C:C, B109)))"),"RV.BIO213,CTBIOTRV.18,GRAD.FV.03")</f>
        <v>RV.BIO213,CTBIOTRV.18,GRAD.FV.03</v>
      </c>
      <c r="D109" s="30" t="s">
        <v>1134</v>
      </c>
      <c r="E109" s="30" t="s">
        <v>1134</v>
      </c>
      <c r="F109" s="30" t="s">
        <v>1134</v>
      </c>
      <c r="G109" s="30" t="s">
        <v>1134</v>
      </c>
      <c r="H109" s="30" t="s">
        <v>1134</v>
      </c>
      <c r="I109" s="30" t="s">
        <v>1134</v>
      </c>
    </row>
    <row r="110" ht="14.25" customHeight="1">
      <c r="A110" s="14" t="s">
        <v>1244</v>
      </c>
      <c r="B110" s="31" t="s">
        <v>559</v>
      </c>
      <c r="C110" s="29" t="str">
        <f>IFERROR(__xludf.DUMMYFUNCTION("JOIN("","",FILTER(Disciplinas!A:A, regexmatch(Disciplinas!C:C, B110)))"),"RV.EAM203,RV.EAM212,RV.EAM208,RV.PFL001,RV.QUI733,CTSTRARV.35")</f>
        <v>RV.EAM203,RV.EAM212,RV.EAM208,RV.PFL001,RV.QUI733,CTSTRARV.35</v>
      </c>
      <c r="D110" s="30" t="s">
        <v>1134</v>
      </c>
      <c r="E110" s="30" t="s">
        <v>1134</v>
      </c>
      <c r="F110" s="30" t="s">
        <v>1134</v>
      </c>
      <c r="G110" s="30" t="s">
        <v>1134</v>
      </c>
      <c r="H110" s="30" t="s">
        <v>1134</v>
      </c>
      <c r="I110" s="30" t="s">
        <v>1134</v>
      </c>
    </row>
    <row r="111" ht="14.25" customHeight="1">
      <c r="A111" s="14" t="s">
        <v>1245</v>
      </c>
      <c r="B111" s="31" t="s">
        <v>569</v>
      </c>
      <c r="C111" s="29" t="str">
        <f>IFERROR(__xludf.DUMMYFUNCTION("JOIN("","",FILTER(Disciplinas!A:A, regexmatch(Disciplinas!C:C, B111)))"),"GRAD.NMP.01")</f>
        <v>GRAD.NMP.01</v>
      </c>
      <c r="D111" s="30" t="s">
        <v>1134</v>
      </c>
      <c r="E111" s="30" t="s">
        <v>1134</v>
      </c>
      <c r="F111" s="30" t="s">
        <v>1134</v>
      </c>
      <c r="G111" s="30" t="s">
        <v>1134</v>
      </c>
      <c r="H111" s="30" t="s">
        <v>1134</v>
      </c>
      <c r="I111" s="30" t="s">
        <v>1134</v>
      </c>
    </row>
    <row r="112" ht="14.25" customHeight="1">
      <c r="A112" s="14" t="s">
        <v>1246</v>
      </c>
      <c r="B112" s="31" t="s">
        <v>576</v>
      </c>
      <c r="C112" s="29" t="str">
        <f>IFERROR(__xludf.DUMMYFUNCTION("JOIN("","",FILTER(Disciplinas!A:A, regexmatch(Disciplinas!C:C, B112)))"),"CTBIOTRV.19,CTBIOTRV.22,CTBIOTRV.13")</f>
        <v>CTBIOTRV.19,CTBIOTRV.22,CTBIOTRV.13</v>
      </c>
      <c r="D112" s="30" t="s">
        <v>1134</v>
      </c>
      <c r="E112" s="30" t="s">
        <v>1134</v>
      </c>
      <c r="F112" s="30" t="s">
        <v>1134</v>
      </c>
      <c r="G112" s="30" t="s">
        <v>1134</v>
      </c>
      <c r="H112" s="30" t="s">
        <v>1134</v>
      </c>
      <c r="I112" s="30" t="s">
        <v>1134</v>
      </c>
    </row>
    <row r="113" ht="14.25" customHeight="1">
      <c r="A113" s="14" t="s">
        <v>1247</v>
      </c>
      <c r="B113" s="31" t="s">
        <v>608</v>
      </c>
      <c r="C113" s="29" t="str">
        <f>IFERROR(__xludf.DUMMYFUNCTION("JOIN("","",FILTER(Disciplinas!A:A, regexmatch(Disciplinas!C:C, B113)))"),"CTBIOTRV.16,RV.QUI124,GRAD.FQIE.01,GRAD.FQIE.01,RV.QUI239")</f>
        <v>CTBIOTRV.16,RV.QUI124,GRAD.FQIE.01,GRAD.FQIE.01,RV.QUI239</v>
      </c>
      <c r="D113" s="30" t="s">
        <v>1134</v>
      </c>
      <c r="E113" s="30" t="s">
        <v>1134</v>
      </c>
      <c r="F113" s="30" t="s">
        <v>1134</v>
      </c>
      <c r="G113" s="30" t="s">
        <v>1134</v>
      </c>
      <c r="H113" s="30" t="s">
        <v>1134</v>
      </c>
      <c r="I113" s="30" t="s">
        <v>1134</v>
      </c>
    </row>
    <row r="114" ht="14.25" customHeight="1">
      <c r="A114" s="14" t="s">
        <v>1248</v>
      </c>
      <c r="B114" s="31" t="s">
        <v>616</v>
      </c>
      <c r="C114" s="29" t="str">
        <f>IFERROR(__xludf.DUMMYFUNCTION("JOIN("","",FILTER(Disciplinas!A:A, regexmatch(Disciplinas!C:C, B114)))"),"GRAD.GAAL.01,GRAD.MD.01,GRAD.PO.01,GRAD.SEDO.01")</f>
        <v>GRAD.GAAL.01,GRAD.MD.01,GRAD.PO.01,GRAD.SEDO.01</v>
      </c>
      <c r="D114" s="30" t="s">
        <v>1134</v>
      </c>
      <c r="E114" s="30" t="s">
        <v>1134</v>
      </c>
      <c r="F114" s="30" t="s">
        <v>1134</v>
      </c>
      <c r="G114" s="30" t="s">
        <v>1134</v>
      </c>
      <c r="H114" s="30" t="s">
        <v>1134</v>
      </c>
      <c r="I114" s="30" t="s">
        <v>1134</v>
      </c>
    </row>
    <row r="115" ht="14.25" customHeight="1">
      <c r="A115" s="14" t="s">
        <v>1249</v>
      </c>
      <c r="B115" s="31" t="s">
        <v>619</v>
      </c>
      <c r="C115" s="29" t="str">
        <f>IFERROR(__xludf.DUMMYFUNCTION("JOIN("","",FILTER(Disciplinas!A:A, regexmatch(Disciplinas!C:C, B115)))"),"GRAD.LTP.01,GRAD.ED.01,RV.INF88")</f>
        <v>GRAD.LTP.01,GRAD.ED.01,RV.INF88</v>
      </c>
      <c r="D115" s="30" t="s">
        <v>1134</v>
      </c>
      <c r="E115" s="30" t="s">
        <v>1134</v>
      </c>
      <c r="F115" s="30" t="s">
        <v>1134</v>
      </c>
      <c r="G115" s="30" t="s">
        <v>1134</v>
      </c>
      <c r="H115" s="30" t="s">
        <v>1134</v>
      </c>
      <c r="I115" s="30" t="s">
        <v>1134</v>
      </c>
    </row>
    <row r="116" ht="14.25" customHeight="1">
      <c r="A116" s="14" t="s">
        <v>1250</v>
      </c>
      <c r="B116" s="31" t="s">
        <v>622</v>
      </c>
      <c r="C116" s="29" t="str">
        <f>IFERROR(__xludf.DUMMYFUNCTION("JOIN("","",FILTER(Disciplinas!A:A, regexmatch(Disciplinas!C:C, B116)))"),"GRAD.MCCC.01,GRAD.BD.01,RV.BCC037,RV.INF96,RV.INF97")</f>
        <v>GRAD.MCCC.01,GRAD.BD.01,RV.BCC037,RV.INF96,RV.INF97</v>
      </c>
      <c r="D116" s="30" t="s">
        <v>1134</v>
      </c>
      <c r="E116" s="30" t="s">
        <v>1134</v>
      </c>
      <c r="F116" s="30" t="s">
        <v>1134</v>
      </c>
      <c r="G116" s="30" t="s">
        <v>1134</v>
      </c>
      <c r="H116" s="30" t="s">
        <v>1134</v>
      </c>
      <c r="I116" s="30" t="s">
        <v>1134</v>
      </c>
    </row>
    <row r="117" ht="14.25" customHeight="1">
      <c r="A117" s="14" t="s">
        <v>1251</v>
      </c>
      <c r="B117" s="31" t="s">
        <v>629</v>
      </c>
      <c r="C117" s="29" t="str">
        <f>IFERROR(__xludf.DUMMYFUNCTION("JOIN("","",FILTER(Disciplinas!A:A, regexmatch(Disciplinas!C:C, B117)))"),"GRAD.ANAPROJALG.01,GRAD.PLP.01,GRAD.METCOMP.01")</f>
        <v>GRAD.ANAPROJALG.01,GRAD.PLP.01,GRAD.METCOMP.01</v>
      </c>
      <c r="D117" s="30" t="s">
        <v>1134</v>
      </c>
      <c r="E117" s="30" t="s">
        <v>1134</v>
      </c>
      <c r="F117" s="30" t="s">
        <v>1134</v>
      </c>
      <c r="G117" s="30" t="s">
        <v>1134</v>
      </c>
      <c r="H117" s="30" t="s">
        <v>1134</v>
      </c>
      <c r="I117" s="30" t="s">
        <v>1134</v>
      </c>
    </row>
    <row r="118" ht="14.25" customHeight="1">
      <c r="A118" s="14" t="s">
        <v>1252</v>
      </c>
      <c r="B118" s="31" t="s">
        <v>635</v>
      </c>
      <c r="C118" s="29" t="str">
        <f>IFERROR(__xludf.DUMMYFUNCTION("JOIN("","",FILTER(Disciplinas!A:A, regexmatch(Disciplinas!C:C, B118)))"),"GRAD.ED.02,RV.BCC024,RV.INF99,RV.INF94")</f>
        <v>GRAD.ED.02,RV.BCC024,RV.INF99,RV.INF94</v>
      </c>
      <c r="D118" s="30" t="s">
        <v>1134</v>
      </c>
      <c r="E118" s="30" t="s">
        <v>1134</v>
      </c>
      <c r="F118" s="30" t="s">
        <v>1134</v>
      </c>
      <c r="G118" s="30" t="s">
        <v>1134</v>
      </c>
      <c r="H118" s="30" t="s">
        <v>1134</v>
      </c>
      <c r="I118" s="30" t="s">
        <v>1134</v>
      </c>
    </row>
    <row r="119" ht="14.25" customHeight="1">
      <c r="A119" s="14" t="s">
        <v>1253</v>
      </c>
      <c r="B119" s="31" t="s">
        <v>640</v>
      </c>
      <c r="C119" s="29" t="str">
        <f>IFERROR(__xludf.DUMMYFUNCTION("JOIN("","",FILTER(Disciplinas!A:A, regexmatch(Disciplinas!C:C, B119)))"),"GRAD.PLP.02,GRAD.EE.02,RV.BCCP14,RV.INF100,RV.INF63")</f>
        <v>GRAD.PLP.02,GRAD.EE.02,RV.BCCP14,RV.INF100,RV.INF63</v>
      </c>
      <c r="D119" s="30" t="s">
        <v>1134</v>
      </c>
      <c r="E119" s="30" t="s">
        <v>1134</v>
      </c>
      <c r="F119" s="30" t="s">
        <v>1134</v>
      </c>
      <c r="G119" s="30" t="s">
        <v>1134</v>
      </c>
      <c r="H119" s="30" t="s">
        <v>1134</v>
      </c>
      <c r="I119" s="30" t="s">
        <v>1134</v>
      </c>
    </row>
    <row r="120" ht="14.25" customHeight="1">
      <c r="A120" s="14" t="s">
        <v>1254</v>
      </c>
      <c r="B120" s="31" t="s">
        <v>645</v>
      </c>
      <c r="C120" s="29" t="str">
        <f>IFERROR(__xludf.DUMMYFUNCTION("JOIN("","",FILTER(Disciplinas!A:A, regexmatch(Disciplinas!C:C, B120)))"),"GRAD.RC.01,RV.BCC021,RV.INF610,RV.INF91")</f>
        <v>GRAD.RC.01,RV.BCC021,RV.INF610,RV.INF91</v>
      </c>
      <c r="D120" s="30" t="s">
        <v>1134</v>
      </c>
      <c r="E120" s="30" t="s">
        <v>1134</v>
      </c>
      <c r="F120" s="30" t="s">
        <v>1134</v>
      </c>
      <c r="G120" s="30" t="s">
        <v>1134</v>
      </c>
      <c r="H120" s="30" t="s">
        <v>1134</v>
      </c>
      <c r="I120" s="30" t="s">
        <v>1134</v>
      </c>
    </row>
    <row r="121" ht="14.25" customHeight="1">
      <c r="A121" s="14" t="s">
        <v>1255</v>
      </c>
      <c r="B121" s="31" t="s">
        <v>653</v>
      </c>
      <c r="C121" s="29" t="str">
        <f>IFERROR(__xludf.DUMMYFUNCTION("JOIN("","",FILTER(Disciplinas!A:A, regexmatch(Disciplinas!C:C, B121)))"),"RV.BCC023,RV.BCC038,RV.BCC032,RV.INF60")</f>
        <v>RV.BCC023,RV.BCC038,RV.BCC032,RV.INF60</v>
      </c>
      <c r="D121" s="30" t="s">
        <v>1134</v>
      </c>
      <c r="E121" s="30" t="s">
        <v>1134</v>
      </c>
      <c r="F121" s="30" t="s">
        <v>1134</v>
      </c>
      <c r="G121" s="30" t="s">
        <v>1134</v>
      </c>
      <c r="H121" s="30" t="s">
        <v>1134</v>
      </c>
      <c r="I121" s="30" t="s">
        <v>1134</v>
      </c>
    </row>
    <row r="122" ht="14.25" customHeight="1">
      <c r="A122" s="14" t="s">
        <v>1256</v>
      </c>
      <c r="B122" s="31" t="s">
        <v>662</v>
      </c>
      <c r="C122" s="29" t="str">
        <f>IFERROR(__xludf.DUMMYFUNCTION("JOIN("","",FILTER(Disciplinas!A:A, regexmatch(Disciplinas!C:C, B122)))"),"RV.BCC030,RV.INF92,RV.INF64,RV.INF85")</f>
        <v>RV.BCC030,RV.INF92,RV.INF64,RV.INF85</v>
      </c>
      <c r="D122" s="30" t="s">
        <v>1134</v>
      </c>
      <c r="E122" s="30" t="s">
        <v>1134</v>
      </c>
      <c r="F122" s="30" t="s">
        <v>1134</v>
      </c>
      <c r="G122" s="30" t="s">
        <v>1134</v>
      </c>
      <c r="H122" s="30" t="s">
        <v>1134</v>
      </c>
      <c r="I122" s="30" t="s">
        <v>1134</v>
      </c>
    </row>
    <row r="123" ht="14.25" customHeight="1">
      <c r="A123" s="14" t="s">
        <v>1257</v>
      </c>
      <c r="B123" s="31" t="s">
        <v>670</v>
      </c>
      <c r="C123" s="29" t="str">
        <f>IFERROR(__xludf.DUMMYFUNCTION("JOIN("","",FILTER(Disciplinas!A:A, regexmatch(Disciplinas!C:C, B123)))"),"RV.BCCP16,RV.INF618,RV.INF74,RV.INF61")</f>
        <v>RV.BCCP16,RV.INF618,RV.INF74,RV.INF61</v>
      </c>
      <c r="D123" s="30" t="s">
        <v>1134</v>
      </c>
      <c r="E123" s="30" t="s">
        <v>1134</v>
      </c>
      <c r="F123" s="30" t="s">
        <v>1134</v>
      </c>
      <c r="G123" s="30" t="s">
        <v>1134</v>
      </c>
      <c r="H123" s="30" t="s">
        <v>1134</v>
      </c>
      <c r="I123" s="30" t="s">
        <v>1134</v>
      </c>
    </row>
    <row r="124" ht="14.25" customHeight="1">
      <c r="A124" s="14" t="s">
        <v>1258</v>
      </c>
      <c r="B124" s="31" t="s">
        <v>680</v>
      </c>
      <c r="C124" s="29" t="str">
        <f>IFERROR(__xludf.DUMMYFUNCTION("JOIN("","",FILTER(Disciplinas!A:A, regexmatch(Disciplinas!C:C, B124)))"),"GRAD.PROJARQ.01,RV.PAI001,RV.PA-II001")</f>
        <v>GRAD.PROJARQ.01,RV.PAI001,RV.PA-II001</v>
      </c>
      <c r="D124" s="30" t="s">
        <v>1134</v>
      </c>
      <c r="E124" s="30" t="s">
        <v>1134</v>
      </c>
      <c r="F124" s="30" t="s">
        <v>1134</v>
      </c>
      <c r="G124" s="30" t="s">
        <v>1134</v>
      </c>
      <c r="H124" s="30" t="s">
        <v>1134</v>
      </c>
      <c r="I124" s="30" t="s">
        <v>1134</v>
      </c>
    </row>
    <row r="125" ht="14.25" customHeight="1">
      <c r="A125" s="14" t="s">
        <v>1259</v>
      </c>
      <c r="B125" s="31" t="s">
        <v>688</v>
      </c>
      <c r="C125" s="29" t="str">
        <f>IFERROR(__xludf.DUMMYFUNCTION("JOIN("","",FILTER(Disciplinas!A:A, regexmatch(Disciplinas!C:C, B125)))"),"GRAD.ICEM.01,RV.ENG248,RV.MCI001")</f>
        <v>GRAD.ICEM.01,RV.ENG248,RV.MCI001</v>
      </c>
      <c r="D125" s="30" t="s">
        <v>1134</v>
      </c>
      <c r="E125" s="30" t="s">
        <v>1134</v>
      </c>
      <c r="F125" s="30" t="s">
        <v>1134</v>
      </c>
      <c r="G125" s="30" t="s">
        <v>1134</v>
      </c>
      <c r="H125" s="30" t="s">
        <v>1134</v>
      </c>
      <c r="I125" s="30" t="s">
        <v>1134</v>
      </c>
    </row>
    <row r="126" ht="14.25" customHeight="1">
      <c r="A126" s="14" t="s">
        <v>1260</v>
      </c>
      <c r="B126" s="31" t="s">
        <v>691</v>
      </c>
      <c r="C126" s="29" t="str">
        <f>IFERROR(__xludf.DUMMYFUNCTION("JOIN("","",FILTER(Disciplinas!A:A, regexmatch(Disciplinas!C:C, B126)))"),"GRAD.IEP.01,RV.ENG243,RV.ENG212,GRAD.ER.01")</f>
        <v>GRAD.IEP.01,RV.ENG243,RV.ENG212,GRAD.ER.01</v>
      </c>
      <c r="D126" s="30" t="s">
        <v>1134</v>
      </c>
      <c r="E126" s="30" t="s">
        <v>1134</v>
      </c>
      <c r="F126" s="30" t="s">
        <v>1134</v>
      </c>
      <c r="G126" s="30" t="s">
        <v>1134</v>
      </c>
      <c r="H126" s="30" t="s">
        <v>1134</v>
      </c>
      <c r="I126" s="30" t="s">
        <v>1134</v>
      </c>
    </row>
    <row r="127" ht="14.25" customHeight="1">
      <c r="A127" s="14" t="s">
        <v>1261</v>
      </c>
      <c r="B127" s="31" t="s">
        <v>695</v>
      </c>
      <c r="C127" s="29" t="str">
        <f>IFERROR(__xludf.DUMMYFUNCTION("JOIN("","",FILTER(Disciplinas!A:A, regexmatch(Disciplinas!C:C, B127)))"),"GRAD.MCC- I.01,RV.MCC001")</f>
        <v>GRAD.MCC- I.01,RV.MCC001</v>
      </c>
      <c r="D127" s="30" t="s">
        <v>1134</v>
      </c>
      <c r="E127" s="30" t="s">
        <v>1134</v>
      </c>
      <c r="F127" s="30" t="s">
        <v>1134</v>
      </c>
      <c r="G127" s="30" t="s">
        <v>1134</v>
      </c>
      <c r="H127" s="30" t="s">
        <v>1134</v>
      </c>
      <c r="I127" s="30" t="s">
        <v>1134</v>
      </c>
    </row>
    <row r="128" ht="14.25" customHeight="1">
      <c r="A128" s="14" t="s">
        <v>1262</v>
      </c>
      <c r="B128" s="31" t="s">
        <v>703</v>
      </c>
      <c r="C128" s="29" t="str">
        <f>IFERROR(__xludf.DUMMYFUNCTION("JOIN("","",FILTER(Disciplinas!A:A, regexmatch(Disciplinas!C:C, B128)))"),"RV.ENG224,RV.ENG224")</f>
        <v>RV.ENG224,RV.ENG224</v>
      </c>
      <c r="D128" s="30" t="s">
        <v>1134</v>
      </c>
      <c r="E128" s="30" t="s">
        <v>1134</v>
      </c>
      <c r="F128" s="30" t="s">
        <v>1134</v>
      </c>
      <c r="G128" s="30" t="s">
        <v>1134</v>
      </c>
      <c r="H128" s="30" t="s">
        <v>1134</v>
      </c>
      <c r="I128" s="30" t="s">
        <v>1134</v>
      </c>
    </row>
    <row r="129" ht="14.25" customHeight="1">
      <c r="A129" s="14" t="s">
        <v>1263</v>
      </c>
      <c r="B129" s="31" t="s">
        <v>708</v>
      </c>
      <c r="C129" s="29" t="str">
        <f>IFERROR(__xludf.DUMMYFUNCTION("JOIN("","",FILTER(Disciplinas!A:A, regexmatch(Disciplinas!C:C, B129)))"),"RV.ENG241,RV.ENG242,RV.ENG261,RV.FDC001")</f>
        <v>RV.ENG241,RV.ENG242,RV.ENG261,RV.FDC001</v>
      </c>
      <c r="D129" s="30" t="s">
        <v>1134</v>
      </c>
      <c r="E129" s="30" t="s">
        <v>1134</v>
      </c>
      <c r="F129" s="30" t="s">
        <v>1134</v>
      </c>
      <c r="G129" s="30" t="s">
        <v>1134</v>
      </c>
      <c r="H129" s="30" t="s">
        <v>1134</v>
      </c>
      <c r="I129" s="30" t="s">
        <v>1134</v>
      </c>
    </row>
    <row r="130" ht="14.25" customHeight="1">
      <c r="A130" s="14" t="s">
        <v>1264</v>
      </c>
      <c r="B130" s="31" t="s">
        <v>714</v>
      </c>
      <c r="C130" s="29" t="str">
        <f>IFERROR(__xludf.DUMMYFUNCTION("JOIN("","",FILTER(Disciplinas!A:A, regexmatch(Disciplinas!C:C, B130)))"),"GRAD.TAA.01,RV.EAM207,GRAD.GRS.02,RV.GAM209,RV.EAM211,CTSTRARV.46")</f>
        <v>GRAD.TAA.01,RV.EAM207,GRAD.GRS.02,RV.GAM209,RV.EAM211,CTSTRARV.46</v>
      </c>
      <c r="D130" s="30" t="s">
        <v>1134</v>
      </c>
      <c r="E130" s="30" t="s">
        <v>1134</v>
      </c>
      <c r="F130" s="30" t="s">
        <v>1134</v>
      </c>
      <c r="G130" s="30" t="s">
        <v>1134</v>
      </c>
      <c r="H130" s="30" t="s">
        <v>1134</v>
      </c>
      <c r="I130" s="30" t="s">
        <v>1134</v>
      </c>
    </row>
    <row r="131" ht="14.25" customHeight="1">
      <c r="A131" s="14" t="s">
        <v>1265</v>
      </c>
      <c r="B131" s="31" t="s">
        <v>718</v>
      </c>
      <c r="C131" s="29" t="str">
        <f>IFERROR(__xludf.DUMMYFUNCTION("JOIN("","",FILTER(Disciplinas!A:A, regexmatch(Disciplinas!C:C, B131)))"),"RV.EAM206,RV.EAM206,RV.GAM208,RV.GAM236")</f>
        <v>RV.EAM206,RV.EAM206,RV.GAM208,RV.GAM236</v>
      </c>
      <c r="D131" s="30" t="s">
        <v>1134</v>
      </c>
      <c r="E131" s="30" t="s">
        <v>1134</v>
      </c>
      <c r="F131" s="30" t="s">
        <v>1134</v>
      </c>
      <c r="G131" s="30" t="s">
        <v>1134</v>
      </c>
      <c r="H131" s="30" t="s">
        <v>1134</v>
      </c>
      <c r="I131" s="30" t="s">
        <v>1134</v>
      </c>
    </row>
    <row r="132" ht="14.25" customHeight="1">
      <c r="A132" s="14" t="s">
        <v>1266</v>
      </c>
      <c r="B132" s="31" t="s">
        <v>723</v>
      </c>
      <c r="C132" s="29" t="str">
        <f>IFERROR(__xludf.DUMMYFUNCTION("JOIN("","",FILTER(Disciplinas!A:A, regexmatch(Disciplinas!C:C, B132)))"),"RV.ENG249,RV.ENG236,RV.MSL001,RV.SE-I001,RV.GOT001,CTEDIFRV.21,CTEDIFRV.30,CTSTRARV.37")</f>
        <v>RV.ENG249,RV.ENG236,RV.MSL001,RV.SE-I001,RV.GOT001,CTEDIFRV.21,CTEDIFRV.30,CTSTRARV.37</v>
      </c>
      <c r="D132" s="30" t="s">
        <v>1134</v>
      </c>
      <c r="E132" s="30" t="s">
        <v>1134</v>
      </c>
      <c r="F132" s="30" t="s">
        <v>1134</v>
      </c>
      <c r="G132" s="30" t="s">
        <v>1134</v>
      </c>
      <c r="H132" s="30" t="s">
        <v>1134</v>
      </c>
      <c r="I132" s="30" t="s">
        <v>1134</v>
      </c>
    </row>
    <row r="133" ht="14.25" customHeight="1">
      <c r="A133" s="14" t="s">
        <v>1267</v>
      </c>
      <c r="B133" s="31" t="s">
        <v>739</v>
      </c>
      <c r="C133" s="29" t="str">
        <f>IFERROR(__xludf.DUMMYFUNCTION("JOIN("","",FILTER(Disciplinas!A:A, regexmatch(Disciplinas!C:C, B133)))"),"RV.ENG256,RV.PHD001,RV.TC-I001,RV.SOT001,RV.TC-II001,CTEDIFRV.20,CTEDIFRV.22,CTEDIFRV.25,CTEDIFRV.32,CTSTRARV.42")</f>
        <v>RV.ENG256,RV.PHD001,RV.TC-I001,RV.SOT001,RV.TC-II001,CTEDIFRV.20,CTEDIFRV.22,CTEDIFRV.25,CTEDIFRV.32,CTSTRARV.42</v>
      </c>
      <c r="D133" s="30" t="s">
        <v>1134</v>
      </c>
      <c r="E133" s="30" t="s">
        <v>1134</v>
      </c>
      <c r="F133" s="30" t="s">
        <v>1134</v>
      </c>
      <c r="G133" s="30" t="s">
        <v>1134</v>
      </c>
      <c r="H133" s="30" t="s">
        <v>1134</v>
      </c>
      <c r="I133" s="30" t="s">
        <v>1134</v>
      </c>
    </row>
    <row r="134" ht="14.25" customHeight="1">
      <c r="A134" s="14" t="s">
        <v>1268</v>
      </c>
      <c r="B134" s="31" t="s">
        <v>744</v>
      </c>
      <c r="C134" s="29" t="str">
        <f>IFERROR(__xludf.DUMMYFUNCTION("JOIN("","",FILTER(Disciplinas!A:A, regexmatch(Disciplinas!C:C, B134)))"),"RV.CON001,RV.CON002,RV.CON004,RV.CON007,RV.CON111")</f>
        <v>RV.CON001,RV.CON002,RV.CON004,RV.CON007,RV.CON111</v>
      </c>
      <c r="D134" s="30" t="s">
        <v>1134</v>
      </c>
      <c r="E134" s="30" t="s">
        <v>1134</v>
      </c>
      <c r="F134" s="30" t="s">
        <v>1134</v>
      </c>
      <c r="G134" s="30" t="s">
        <v>1134</v>
      </c>
      <c r="H134" s="30" t="s">
        <v>1134</v>
      </c>
      <c r="I134" s="30" t="s">
        <v>1134</v>
      </c>
    </row>
    <row r="135" ht="14.25" customHeight="1">
      <c r="A135" s="14" t="s">
        <v>1269</v>
      </c>
      <c r="B135" s="31" t="s">
        <v>1270</v>
      </c>
      <c r="C135" s="29" t="str">
        <f>IFERROR(__xludf.DUMMYFUNCTION("JOIN("","",FILTER(Disciplinas!A:A, regexmatch(Disciplinas!C:C, B135)))"),"RV.CON817,RV.CON817,RV.CON816,RV.CON816,RV.CON002,RV.ADM12,RV.CON006,RV.CONT102")</f>
        <v>RV.CON817,RV.CON817,RV.CON816,RV.CON816,RV.CON002,RV.ADM12,RV.CON006,RV.CONT102</v>
      </c>
      <c r="D135" s="30" t="s">
        <v>1134</v>
      </c>
      <c r="E135" s="30" t="s">
        <v>1134</v>
      </c>
      <c r="F135" s="30" t="s">
        <v>1134</v>
      </c>
      <c r="G135" s="30" t="s">
        <v>1134</v>
      </c>
      <c r="H135" s="30" t="s">
        <v>1134</v>
      </c>
      <c r="I135" s="30" t="s">
        <v>1134</v>
      </c>
    </row>
    <row r="136" ht="14.25" customHeight="1">
      <c r="A136" s="14" t="s">
        <v>1271</v>
      </c>
      <c r="B136" s="31" t="s">
        <v>750</v>
      </c>
      <c r="C136" s="29" t="str">
        <f>IFERROR(__xludf.DUMMYFUNCTION("JOIN("","",FILTER(Disciplinas!A:A, regexmatch(Disciplinas!C:C, B136)))"),"RV.CON003,RV.ADM12,RV.CON005,RV.CON100,RV.CON817")</f>
        <v>RV.CON003,RV.ADM12,RV.CON005,RV.CON100,RV.CON817</v>
      </c>
      <c r="D136" s="30" t="s">
        <v>1134</v>
      </c>
      <c r="E136" s="30" t="s">
        <v>1134</v>
      </c>
      <c r="F136" s="30" t="s">
        <v>1134</v>
      </c>
      <c r="G136" s="30" t="s">
        <v>1134</v>
      </c>
      <c r="H136" s="30" t="s">
        <v>1134</v>
      </c>
      <c r="I136" s="30" t="s">
        <v>1134</v>
      </c>
    </row>
    <row r="137" ht="14.25" customHeight="1">
      <c r="A137" s="14" t="s">
        <v>1272</v>
      </c>
      <c r="B137" s="31" t="s">
        <v>762</v>
      </c>
      <c r="C137" s="29" t="str">
        <f>IFERROR(__xludf.DUMMYFUNCTION("JOIN("","",FILTER(Disciplinas!A:A, regexmatch(Disciplinas!C:C, B137)))"),"RV.CON107,RV.CON008,RV.CONT102")</f>
        <v>RV.CON107,RV.CON008,RV.CONT102</v>
      </c>
      <c r="D137" s="30" t="s">
        <v>1134</v>
      </c>
      <c r="E137" s="30" t="s">
        <v>1134</v>
      </c>
      <c r="F137" s="30" t="s">
        <v>1134</v>
      </c>
      <c r="G137" s="30" t="s">
        <v>1134</v>
      </c>
      <c r="H137" s="30" t="s">
        <v>1134</v>
      </c>
      <c r="I137" s="30" t="s">
        <v>1134</v>
      </c>
    </row>
    <row r="138" ht="14.25" customHeight="1">
      <c r="A138" s="14" t="s">
        <v>1273</v>
      </c>
      <c r="B138" s="31" t="s">
        <v>776</v>
      </c>
      <c r="C138" s="29" t="str">
        <f>IFERROR(__xludf.DUMMYFUNCTION("JOIN("","",FILTER(Disciplinas!A:A, regexmatch(Disciplinas!C:C, B138)))"),"GRAD.EE.02,GRAD.EE.02")</f>
        <v>GRAD.EE.02,GRAD.EE.02</v>
      </c>
      <c r="D138" s="30" t="s">
        <v>1134</v>
      </c>
      <c r="E138" s="30" t="s">
        <v>1134</v>
      </c>
      <c r="F138" s="30" t="s">
        <v>1134</v>
      </c>
      <c r="G138" s="30" t="s">
        <v>1134</v>
      </c>
      <c r="H138" s="30" t="s">
        <v>1134</v>
      </c>
      <c r="I138" s="30" t="s">
        <v>1134</v>
      </c>
    </row>
    <row r="139" ht="14.25" customHeight="1">
      <c r="A139" s="14" t="s">
        <v>1274</v>
      </c>
      <c r="B139" s="31" t="s">
        <v>782</v>
      </c>
      <c r="C139" s="29" t="str">
        <f>IFERROR(__xludf.DUMMYFUNCTION("JOIN("","",FILTER(Disciplinas!A:A, regexmatch(Disciplinas!C:C, B139)))"),"GRAD.QAAI.01,RV.QUI235")</f>
        <v>GRAD.QAAI.01,RV.QUI235</v>
      </c>
      <c r="D139" s="30" t="s">
        <v>1134</v>
      </c>
      <c r="E139" s="30" t="s">
        <v>1134</v>
      </c>
      <c r="F139" s="30" t="s">
        <v>1134</v>
      </c>
      <c r="G139" s="30" t="s">
        <v>1134</v>
      </c>
      <c r="H139" s="30" t="s">
        <v>1134</v>
      </c>
      <c r="I139" s="30" t="s">
        <v>1134</v>
      </c>
    </row>
    <row r="140" ht="14.25" customHeight="1">
      <c r="A140" s="14" t="s">
        <v>1275</v>
      </c>
      <c r="B140" s="31" t="s">
        <v>788</v>
      </c>
      <c r="C140" s="29" t="str">
        <f>IFERROR(__xludf.DUMMYFUNCTION("JOIN("","",FILTER(Disciplinas!A:A, regexmatch(Disciplinas!C:C, B140)))"),"GRAD.POLAGU.01,RV.GAM203,GRAD.GEOPROCESS.01")</f>
        <v>GRAD.POLAGU.01,RV.GAM203,GRAD.GEOPROCESS.01</v>
      </c>
      <c r="D140" s="30" t="s">
        <v>1134</v>
      </c>
      <c r="E140" s="30" t="s">
        <v>1134</v>
      </c>
      <c r="F140" s="30" t="s">
        <v>1134</v>
      </c>
      <c r="G140" s="30" t="s">
        <v>1134</v>
      </c>
      <c r="H140" s="30" t="s">
        <v>1134</v>
      </c>
      <c r="I140" s="30" t="s">
        <v>1134</v>
      </c>
    </row>
    <row r="141" ht="14.25" customHeight="1">
      <c r="A141" s="14" t="s">
        <v>1276</v>
      </c>
      <c r="B141" s="31" t="s">
        <v>926</v>
      </c>
      <c r="C141" s="29" t="str">
        <f>IFERROR(__xludf.DUMMYFUNCTION("JOIN("","",FILTER(Disciplinas!A:A, regexmatch(Disciplinas!C:C, B141)))"),"RV.QUI736,RV.QUI737,GRAD.QAAI.01")</f>
        <v>RV.QUI736,RV.QUI737,GRAD.QAAI.01</v>
      </c>
      <c r="D141" s="30" t="s">
        <v>1134</v>
      </c>
      <c r="E141" s="30" t="s">
        <v>1134</v>
      </c>
      <c r="F141" s="30" t="s">
        <v>1134</v>
      </c>
      <c r="G141" s="30" t="s">
        <v>1134</v>
      </c>
      <c r="H141" s="30" t="s">
        <v>1134</v>
      </c>
      <c r="I141" s="30" t="s">
        <v>1134</v>
      </c>
    </row>
    <row r="142" ht="14.25" customHeight="1">
      <c r="A142" s="14" t="s">
        <v>1277</v>
      </c>
      <c r="B142" s="31" t="s">
        <v>944</v>
      </c>
      <c r="C142" s="29" t="str">
        <f>IFERROR(__xludf.DUMMYFUNCTION("JOIN("","",FILTER(Disciplinas!A:A, regexmatch(Disciplinas!C:C, B142)))"),"RV.QUI728,GRAD.PAQAQ.01,GRAD.QAQ.03")</f>
        <v>RV.QUI728,GRAD.PAQAQ.01,GRAD.QAQ.03</v>
      </c>
      <c r="D142" s="30" t="s">
        <v>1134</v>
      </c>
      <c r="E142" s="30" t="s">
        <v>1134</v>
      </c>
      <c r="F142" s="30" t="s">
        <v>1134</v>
      </c>
      <c r="G142" s="30" t="s">
        <v>1134</v>
      </c>
      <c r="H142" s="30" t="s">
        <v>1134</v>
      </c>
      <c r="I142" s="30" t="s">
        <v>1134</v>
      </c>
    </row>
    <row r="143" ht="14.25" customHeight="1">
      <c r="A143" s="14" t="s">
        <v>1278</v>
      </c>
      <c r="B143" s="31" t="s">
        <v>947</v>
      </c>
      <c r="C143" s="29" t="str">
        <f>IFERROR(__xludf.DUMMYFUNCTION("JOIN("","",FILTER(Disciplinas!A:A, regexmatch(Disciplinas!C:C, B143)))"),"RV.QUI729,GRAD.QG-II.01,RV.QUI220,RV.QUI254,RV.QUI228")</f>
        <v>RV.QUI729,GRAD.QG-II.01,RV.QUI220,RV.QUI254,RV.QUI228</v>
      </c>
      <c r="D143" s="30" t="s">
        <v>1134</v>
      </c>
      <c r="E143" s="30" t="s">
        <v>1134</v>
      </c>
      <c r="F143" s="30" t="s">
        <v>1134</v>
      </c>
      <c r="G143" s="30" t="s">
        <v>1134</v>
      </c>
      <c r="H143" s="30" t="s">
        <v>1134</v>
      </c>
      <c r="I143" s="30" t="s">
        <v>1134</v>
      </c>
    </row>
    <row r="144" ht="14.25" customHeight="1">
      <c r="A144" s="14" t="s">
        <v>1279</v>
      </c>
      <c r="B144" s="31" t="s">
        <v>950</v>
      </c>
      <c r="C144" s="29" t="str">
        <f>IFERROR(__xludf.DUMMYFUNCTION("JOIN("","",FILTER(Disciplinas!A:A, regexmatch(Disciplinas!C:C, B144)))"),"RV.QUI730,RV.QUI230,GRAD.QG.01")</f>
        <v>RV.QUI730,RV.QUI230,GRAD.QG.01</v>
      </c>
      <c r="D144" s="30" t="s">
        <v>1134</v>
      </c>
      <c r="E144" s="30" t="s">
        <v>1134</v>
      </c>
      <c r="F144" s="30" t="s">
        <v>1134</v>
      </c>
      <c r="G144" s="30" t="s">
        <v>1134</v>
      </c>
      <c r="H144" s="30" t="s">
        <v>1134</v>
      </c>
      <c r="I144" s="30" t="s">
        <v>1134</v>
      </c>
    </row>
    <row r="145" ht="14.25" customHeight="1">
      <c r="A145" s="14" t="s">
        <v>1280</v>
      </c>
      <c r="B145" s="31" t="s">
        <v>1090</v>
      </c>
      <c r="C145" s="29" t="str">
        <f>IFERROR(__xludf.DUMMYFUNCTION("JOIN("","",FILTER(Disciplinas!A:A, regexmatch(Disciplinas!C:C, B145)))"),"GRAD.FA.02,SZOOTEC-RV.11,RV.ZOO225")</f>
        <v>GRAD.FA.02,SZOOTEC-RV.11,RV.ZOO225</v>
      </c>
      <c r="D145" s="30" t="s">
        <v>1134</v>
      </c>
      <c r="E145" s="30" t="s">
        <v>1134</v>
      </c>
      <c r="F145" s="30" t="s">
        <v>1134</v>
      </c>
      <c r="G145" s="30" t="s">
        <v>1134</v>
      </c>
      <c r="H145" s="30" t="s">
        <v>1134</v>
      </c>
      <c r="I145" s="30" t="s">
        <v>1134</v>
      </c>
    </row>
    <row r="146" ht="14.25" customHeight="1">
      <c r="A146" s="14" t="s">
        <v>1281</v>
      </c>
      <c r="B146" s="31" t="s">
        <v>1282</v>
      </c>
      <c r="C146" s="29" t="str">
        <f>IFERROR(__xludf.DUMMYFUNCTION("JOIN("","",FILTER(Disciplinas!A:A, regexmatch(Disciplinas!C:C, B146)))"),"#N/A")</f>
        <v>#N/A</v>
      </c>
      <c r="D146" s="30" t="s">
        <v>1134</v>
      </c>
      <c r="E146" s="30" t="s">
        <v>1134</v>
      </c>
      <c r="F146" s="30" t="s">
        <v>1134</v>
      </c>
      <c r="G146" s="30" t="s">
        <v>1134</v>
      </c>
      <c r="H146" s="30" t="s">
        <v>1134</v>
      </c>
      <c r="I146" s="30" t="s">
        <v>1134</v>
      </c>
    </row>
    <row r="147" ht="14.25" customHeight="1">
      <c r="A147" s="14" t="s">
        <v>1283</v>
      </c>
      <c r="B147" s="31" t="s">
        <v>1284</v>
      </c>
      <c r="C147" s="29" t="str">
        <f>IFERROR(__xludf.DUMMYFUNCTION("JOIN("","",FILTER(Disciplinas!A:A, regexmatch(Disciplinas!C:C, B147)))"),"#N/A")</f>
        <v>#N/A</v>
      </c>
      <c r="D147" s="30" t="s">
        <v>1134</v>
      </c>
      <c r="E147" s="30" t="s">
        <v>1134</v>
      </c>
      <c r="F147" s="30" t="s">
        <v>1134</v>
      </c>
      <c r="G147" s="30" t="s">
        <v>1134</v>
      </c>
      <c r="H147" s="30" t="s">
        <v>1134</v>
      </c>
      <c r="I147" s="30" t="s">
        <v>1134</v>
      </c>
    </row>
    <row r="148" ht="14.25" customHeight="1">
      <c r="A148" s="14" t="s">
        <v>1285</v>
      </c>
      <c r="B148" s="31" t="s">
        <v>1286</v>
      </c>
      <c r="C148" s="29" t="str">
        <f>IFERROR(__xludf.DUMMYFUNCTION("JOIN("","",FILTER(Disciplinas!A:A, regexmatch(Disciplinas!C:C, B148)))"),"#N/A")</f>
        <v>#N/A</v>
      </c>
      <c r="D148" s="30" t="s">
        <v>1134</v>
      </c>
      <c r="E148" s="30" t="s">
        <v>1134</v>
      </c>
      <c r="F148" s="30" t="s">
        <v>1134</v>
      </c>
      <c r="G148" s="30" t="s">
        <v>1134</v>
      </c>
      <c r="H148" s="30" t="s">
        <v>1134</v>
      </c>
      <c r="I148" s="30" t="s">
        <v>1134</v>
      </c>
    </row>
    <row r="149" ht="15.75" customHeight="1">
      <c r="A149" s="14" t="s">
        <v>1287</v>
      </c>
      <c r="B149" s="32" t="s">
        <v>1288</v>
      </c>
      <c r="C149" s="29" t="str">
        <f>IFERROR(__xludf.DUMMYFUNCTION("JOIN("","",FILTER(Disciplinas!A:A, regexmatch(Disciplinas!C:C, B149)))"),"#N/A")</f>
        <v>#N/A</v>
      </c>
      <c r="D149" s="30" t="s">
        <v>1134</v>
      </c>
      <c r="E149" s="30" t="s">
        <v>1134</v>
      </c>
      <c r="F149" s="30" t="s">
        <v>1134</v>
      </c>
      <c r="G149" s="30" t="s">
        <v>1134</v>
      </c>
      <c r="H149" s="30" t="s">
        <v>1134</v>
      </c>
      <c r="I149" s="30" t="s">
        <v>1134</v>
      </c>
    </row>
    <row r="150" ht="15.75" customHeight="1">
      <c r="A150" s="14" t="s">
        <v>1289</v>
      </c>
      <c r="B150" s="32" t="s">
        <v>1290</v>
      </c>
      <c r="C150" s="29" t="str">
        <f>IFERROR(__xludf.DUMMYFUNCTION("JOIN("","",FILTER(Disciplinas!A:A, regexmatch(Disciplinas!C:C, B150)))"),"#N/A")</f>
        <v>#N/A</v>
      </c>
      <c r="D150" s="30" t="s">
        <v>1134</v>
      </c>
      <c r="E150" s="30" t="s">
        <v>1134</v>
      </c>
      <c r="F150" s="30" t="s">
        <v>1134</v>
      </c>
      <c r="G150" s="30" t="s">
        <v>1134</v>
      </c>
      <c r="H150" s="30" t="s">
        <v>1134</v>
      </c>
      <c r="I150" s="30" t="s">
        <v>1134</v>
      </c>
    </row>
    <row r="151" ht="15.75" customHeight="1">
      <c r="A151" s="14" t="s">
        <v>1291</v>
      </c>
      <c r="B151" s="32" t="s">
        <v>1292</v>
      </c>
      <c r="C151" s="29" t="str">
        <f>IFERROR(__xludf.DUMMYFUNCTION("JOIN("","",FILTER(Disciplinas!A:A, regexmatch(Disciplinas!C:C, B151)))"),"#N/A")</f>
        <v>#N/A</v>
      </c>
      <c r="D151" s="30" t="s">
        <v>1134</v>
      </c>
      <c r="E151" s="30" t="s">
        <v>1134</v>
      </c>
      <c r="F151" s="30" t="s">
        <v>1134</v>
      </c>
      <c r="G151" s="30" t="s">
        <v>1134</v>
      </c>
      <c r="H151" s="30" t="s">
        <v>1134</v>
      </c>
      <c r="I151" s="30" t="s">
        <v>1134</v>
      </c>
    </row>
    <row r="152" ht="15.75" customHeight="1">
      <c r="A152" s="14" t="s">
        <v>1293</v>
      </c>
      <c r="B152" s="32" t="s">
        <v>1294</v>
      </c>
      <c r="C152" s="29" t="str">
        <f>IFERROR(__xludf.DUMMYFUNCTION("JOIN("","",FILTER(Disciplinas!A:A, regexmatch(Disciplinas!C:C, B152)))"),"#N/A")</f>
        <v>#N/A</v>
      </c>
      <c r="D152" s="30" t="s">
        <v>1134</v>
      </c>
      <c r="E152" s="30" t="s">
        <v>1134</v>
      </c>
      <c r="F152" s="30" t="s">
        <v>1134</v>
      </c>
      <c r="G152" s="30" t="s">
        <v>1134</v>
      </c>
      <c r="H152" s="30" t="s">
        <v>1134</v>
      </c>
      <c r="I152" s="30" t="s">
        <v>1134</v>
      </c>
    </row>
    <row r="153" ht="15.75" customHeight="1">
      <c r="A153" s="14" t="s">
        <v>1295</v>
      </c>
      <c r="B153" s="32" t="s">
        <v>1296</v>
      </c>
      <c r="C153" s="29" t="str">
        <f>IFERROR(__xludf.DUMMYFUNCTION("JOIN("","",FILTER(Disciplinas!A:A, regexmatch(Disciplinas!C:C, B153)))"),"#N/A")</f>
        <v>#N/A</v>
      </c>
      <c r="D153" s="30" t="s">
        <v>1134</v>
      </c>
      <c r="E153" s="30" t="s">
        <v>1134</v>
      </c>
      <c r="F153" s="30" t="s">
        <v>1134</v>
      </c>
      <c r="G153" s="30" t="s">
        <v>1134</v>
      </c>
      <c r="H153" s="30" t="s">
        <v>1134</v>
      </c>
      <c r="I153" s="30" t="s">
        <v>1134</v>
      </c>
    </row>
    <row r="154" ht="15.75" customHeight="1">
      <c r="A154" s="14" t="s">
        <v>1297</v>
      </c>
      <c r="B154" s="32" t="s">
        <v>1298</v>
      </c>
      <c r="C154" s="29" t="str">
        <f>IFERROR(__xludf.DUMMYFUNCTION("JOIN("","",FILTER(Disciplinas!A:A, regexmatch(Disciplinas!C:C, B154)))"),"#N/A")</f>
        <v>#N/A</v>
      </c>
      <c r="D154" s="30" t="s">
        <v>1134</v>
      </c>
      <c r="E154" s="30" t="s">
        <v>1134</v>
      </c>
      <c r="F154" s="30" t="s">
        <v>1134</v>
      </c>
      <c r="G154" s="30" t="s">
        <v>1134</v>
      </c>
      <c r="H154" s="30" t="s">
        <v>1134</v>
      </c>
      <c r="I154" s="30" t="s">
        <v>1134</v>
      </c>
    </row>
    <row r="155" ht="15.75" customHeight="1">
      <c r="A155" s="14" t="s">
        <v>1299</v>
      </c>
      <c r="B155" s="32" t="s">
        <v>1300</v>
      </c>
      <c r="C155" s="29" t="str">
        <f>IFERROR(__xludf.DUMMYFUNCTION("JOIN("","",FILTER(Disciplinas!A:A, regexmatch(Disciplinas!C:C, B155)))"),"#N/A")</f>
        <v>#N/A</v>
      </c>
      <c r="D155" s="30" t="s">
        <v>1134</v>
      </c>
      <c r="E155" s="30" t="s">
        <v>1134</v>
      </c>
      <c r="F155" s="30" t="s">
        <v>1134</v>
      </c>
      <c r="G155" s="30" t="s">
        <v>1134</v>
      </c>
      <c r="H155" s="30" t="s">
        <v>1134</v>
      </c>
      <c r="I155" s="30" t="s">
        <v>1134</v>
      </c>
    </row>
    <row r="156" ht="15.75" customHeight="1">
      <c r="A156" s="14" t="s">
        <v>1301</v>
      </c>
      <c r="B156" s="32" t="s">
        <v>1302</v>
      </c>
      <c r="C156" s="29" t="str">
        <f>IFERROR(__xludf.DUMMYFUNCTION("JOIN("","",FILTER(Disciplinas!A:A, regexmatch(Disciplinas!C:C, B156)))"),"#N/A")</f>
        <v>#N/A</v>
      </c>
      <c r="D156" s="30" t="s">
        <v>1134</v>
      </c>
      <c r="E156" s="30" t="s">
        <v>1134</v>
      </c>
      <c r="F156" s="30" t="s">
        <v>1134</v>
      </c>
      <c r="G156" s="30" t="s">
        <v>1134</v>
      </c>
      <c r="H156" s="30" t="s">
        <v>1134</v>
      </c>
      <c r="I156" s="30" t="s">
        <v>1134</v>
      </c>
    </row>
    <row r="157" ht="15.75" customHeight="1">
      <c r="A157" s="14" t="s">
        <v>1303</v>
      </c>
      <c r="B157" s="32" t="s">
        <v>1304</v>
      </c>
      <c r="C157" s="29" t="str">
        <f>IFERROR(__xludf.DUMMYFUNCTION("JOIN("","",FILTER(Disciplinas!A:A, regexmatch(Disciplinas!C:C, B157)))"),"#N/A")</f>
        <v>#N/A</v>
      </c>
      <c r="D157" s="30" t="s">
        <v>1134</v>
      </c>
      <c r="E157" s="30" t="s">
        <v>1134</v>
      </c>
      <c r="F157" s="30" t="s">
        <v>1134</v>
      </c>
      <c r="G157" s="30" t="s">
        <v>1134</v>
      </c>
      <c r="H157" s="30" t="s">
        <v>1134</v>
      </c>
      <c r="I157" s="30" t="s">
        <v>1134</v>
      </c>
    </row>
    <row r="158" ht="15.75" customHeight="1">
      <c r="A158" s="14" t="s">
        <v>1305</v>
      </c>
      <c r="B158" s="32" t="s">
        <v>1306</v>
      </c>
      <c r="C158" s="29" t="str">
        <f>IFERROR(__xludf.DUMMYFUNCTION("JOIN("","",FILTER(Disciplinas!A:A, regexmatch(Disciplinas!C:C, B158)))"),"GRAD.AV.03,RV.BIO201")</f>
        <v>GRAD.AV.03,RV.BIO201</v>
      </c>
      <c r="D158" s="30" t="s">
        <v>1134</v>
      </c>
      <c r="E158" s="30" t="s">
        <v>1134</v>
      </c>
      <c r="F158" s="30" t="s">
        <v>1134</v>
      </c>
      <c r="G158" s="30" t="s">
        <v>1134</v>
      </c>
      <c r="H158" s="30" t="s">
        <v>1134</v>
      </c>
      <c r="I158" s="30" t="s">
        <v>1134</v>
      </c>
    </row>
    <row r="159" ht="15.75" customHeight="1">
      <c r="A159" s="14" t="s">
        <v>1307</v>
      </c>
      <c r="B159" s="32" t="s">
        <v>1308</v>
      </c>
      <c r="C159" s="29" t="str">
        <f>IFERROR(__xludf.DUMMYFUNCTION("JOIN("","",FILTER(Disciplinas!A:A, regexmatch(Disciplinas!C:C, B159)))"),"#N/A")</f>
        <v>#N/A</v>
      </c>
      <c r="D159" s="30" t="s">
        <v>1134</v>
      </c>
      <c r="E159" s="30" t="s">
        <v>1134</v>
      </c>
      <c r="F159" s="30" t="s">
        <v>1134</v>
      </c>
      <c r="G159" s="30" t="s">
        <v>1134</v>
      </c>
      <c r="H159" s="30" t="s">
        <v>1134</v>
      </c>
      <c r="I159" s="30" t="s">
        <v>1134</v>
      </c>
    </row>
    <row r="160" ht="15.75" customHeight="1">
      <c r="A160" s="14" t="s">
        <v>1309</v>
      </c>
      <c r="B160" s="32" t="s">
        <v>1310</v>
      </c>
      <c r="C160" s="29" t="str">
        <f>IFERROR(__xludf.DUMMYFUNCTION("JOIN("","",FILTER(Disciplinas!A:A, regexmatch(Disciplinas!C:C, B160)))"),"#N/A")</f>
        <v>#N/A</v>
      </c>
      <c r="D160" s="30" t="s">
        <v>1134</v>
      </c>
      <c r="E160" s="30" t="s">
        <v>1134</v>
      </c>
      <c r="F160" s="30" t="s">
        <v>1134</v>
      </c>
      <c r="G160" s="30" t="s">
        <v>1134</v>
      </c>
      <c r="H160" s="30" t="s">
        <v>1134</v>
      </c>
      <c r="I160" s="30" t="s">
        <v>1134</v>
      </c>
    </row>
    <row r="161" ht="15.75" customHeight="1">
      <c r="A161" s="14" t="s">
        <v>1311</v>
      </c>
      <c r="B161" s="32" t="s">
        <v>1312</v>
      </c>
      <c r="C161" s="29" t="str">
        <f>IFERROR(__xludf.DUMMYFUNCTION("JOIN("","",FILTER(Disciplinas!A:A, regexmatch(Disciplinas!C:C, B161)))"),"RV.HUM824,RV.HUM824,RV.HUM823,RV.HUM824,CTSTRARV.2,CTSTRARV.33,CTSTRARV.39")</f>
        <v>RV.HUM824,RV.HUM824,RV.HUM823,RV.HUM824,CTSTRARV.2,CTSTRARV.33,CTSTRARV.39</v>
      </c>
      <c r="D161" s="30" t="s">
        <v>1134</v>
      </c>
      <c r="E161" s="30" t="s">
        <v>1134</v>
      </c>
      <c r="F161" s="30" t="s">
        <v>1134</v>
      </c>
      <c r="G161" s="30" t="s">
        <v>1134</v>
      </c>
      <c r="H161" s="30" t="s">
        <v>1134</v>
      </c>
      <c r="I161" s="30" t="s">
        <v>1134</v>
      </c>
    </row>
    <row r="162" ht="15.75" customHeight="1">
      <c r="A162" s="14" t="s">
        <v>1313</v>
      </c>
      <c r="B162" s="32" t="s">
        <v>1314</v>
      </c>
      <c r="C162" s="29" t="str">
        <f>IFERROR(__xludf.DUMMYFUNCTION("JOIN("","",FILTER(Disciplinas!A:A, regexmatch(Disciplinas!C:C, B162)))"),"#N/A")</f>
        <v>#N/A</v>
      </c>
      <c r="D162" s="30" t="s">
        <v>1134</v>
      </c>
      <c r="E162" s="30" t="s">
        <v>1134</v>
      </c>
      <c r="F162" s="30" t="s">
        <v>1134</v>
      </c>
      <c r="G162" s="30" t="s">
        <v>1134</v>
      </c>
      <c r="H162" s="30" t="s">
        <v>1134</v>
      </c>
      <c r="I162" s="30" t="s">
        <v>1134</v>
      </c>
    </row>
    <row r="163" ht="15.75" customHeight="1">
      <c r="A163" s="14" t="s">
        <v>1315</v>
      </c>
      <c r="B163" s="32" t="s">
        <v>1316</v>
      </c>
      <c r="C163" s="29" t="str">
        <f>IFERROR(__xludf.DUMMYFUNCTION("JOIN("","",FILTER(Disciplinas!A:A, regexmatch(Disciplinas!C:C, B163)))"),"#N/A")</f>
        <v>#N/A</v>
      </c>
      <c r="D163" s="30" t="s">
        <v>1134</v>
      </c>
      <c r="E163" s="30" t="s">
        <v>1134</v>
      </c>
      <c r="F163" s="30" t="s">
        <v>1134</v>
      </c>
      <c r="G163" s="30" t="s">
        <v>1134</v>
      </c>
      <c r="H163" s="30" t="s">
        <v>1134</v>
      </c>
      <c r="I163" s="30" t="s">
        <v>1134</v>
      </c>
    </row>
    <row r="164" ht="15.75" customHeight="1">
      <c r="A164" s="14" t="s">
        <v>1317</v>
      </c>
      <c r="B164" s="32" t="s">
        <v>1318</v>
      </c>
      <c r="C164" s="29" t="str">
        <f>IFERROR(__xludf.DUMMYFUNCTION("JOIN("","",FILTER(Disciplinas!A:A, regexmatch(Disciplinas!C:C, B164)))"),"#N/A")</f>
        <v>#N/A</v>
      </c>
      <c r="D164" s="30" t="s">
        <v>1134</v>
      </c>
      <c r="E164" s="30" t="s">
        <v>1134</v>
      </c>
      <c r="F164" s="30" t="s">
        <v>1134</v>
      </c>
      <c r="G164" s="30" t="s">
        <v>1134</v>
      </c>
      <c r="H164" s="30" t="s">
        <v>1134</v>
      </c>
      <c r="I164" s="30" t="s">
        <v>1134</v>
      </c>
    </row>
    <row r="165" ht="15.75" customHeight="1">
      <c r="A165" s="14" t="s">
        <v>1319</v>
      </c>
      <c r="B165" s="32" t="s">
        <v>237</v>
      </c>
      <c r="C165" s="29" t="str">
        <f>IFERROR(__xludf.DUMMYFUNCTION("JOIN("","",FILTER(Disciplinas!A:A, regexmatch(Disciplinas!C:C, B165)))"),"RV.TAG010,RV.INF205,RV.INF205,GRAD.IBPZ.01,GRAD.GENéTICA.01,RV.ZOO202")</f>
        <v>RV.TAG010,RV.INF205,RV.INF205,GRAD.IBPZ.01,GRAD.GENéTICA.01,RV.ZOO202</v>
      </c>
      <c r="D165" s="30" t="s">
        <v>1134</v>
      </c>
      <c r="E165" s="30" t="s">
        <v>1134</v>
      </c>
      <c r="F165" s="30" t="s">
        <v>1134</v>
      </c>
      <c r="G165" s="30" t="s">
        <v>1134</v>
      </c>
      <c r="H165" s="30" t="s">
        <v>1134</v>
      </c>
      <c r="I165" s="30" t="s">
        <v>1134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0.29"/>
    <col customWidth="1" min="3" max="3" width="11.71"/>
    <col customWidth="1" min="4" max="4" width="109.0"/>
    <col customWidth="1" min="5" max="10" width="8.86"/>
    <col customWidth="1" min="11" max="26" width="9.0"/>
  </cols>
  <sheetData>
    <row r="1" ht="14.25" customHeight="1">
      <c r="A1" s="25" t="s">
        <v>0</v>
      </c>
      <c r="B1" s="26" t="s">
        <v>1320</v>
      </c>
      <c r="C1" s="26" t="s">
        <v>1321</v>
      </c>
      <c r="D1" s="27" t="s">
        <v>1322</v>
      </c>
      <c r="E1" s="28" t="s">
        <v>8</v>
      </c>
      <c r="F1" s="28" t="s">
        <v>9</v>
      </c>
      <c r="G1" s="28" t="s">
        <v>10</v>
      </c>
      <c r="H1" s="28" t="s">
        <v>11</v>
      </c>
      <c r="I1" s="28" t="s">
        <v>12</v>
      </c>
      <c r="J1" s="28" t="s">
        <v>13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4.25" customHeight="1">
      <c r="A2" s="34" t="s">
        <v>1323</v>
      </c>
      <c r="B2" s="35" t="s">
        <v>1324</v>
      </c>
      <c r="C2" s="35" t="s">
        <v>1325</v>
      </c>
      <c r="D2" s="29" t="str">
        <f>IFERROR(__xludf.DUMMYFUNCTION("JOIN("","",FILTER(Turmas!A:A,Turmas!B:B=B2))"),"20192.02ADM20N.2N")</f>
        <v>20192.02ADM20N.2N</v>
      </c>
      <c r="E2" s="30" t="s">
        <v>1326</v>
      </c>
      <c r="F2" s="30" t="s">
        <v>1326</v>
      </c>
      <c r="G2" s="30" t="s">
        <v>1326</v>
      </c>
      <c r="H2" s="30" t="s">
        <v>1326</v>
      </c>
      <c r="I2" s="30" t="s">
        <v>1326</v>
      </c>
      <c r="J2" s="30" t="s">
        <v>1327</v>
      </c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4.25" customHeight="1">
      <c r="A3" s="36" t="s">
        <v>1328</v>
      </c>
      <c r="B3" s="35" t="s">
        <v>1329</v>
      </c>
      <c r="C3" s="37" t="s">
        <v>1330</v>
      </c>
      <c r="D3" s="29" t="str">
        <f>IFERROR(__xludf.DUMMYFUNCTION("JOIN("","",FILTER(Turmas!A:A,Turmas!B:B=B3))"),"20192.02AGN21N.6N")</f>
        <v>20192.02AGN21N.6N</v>
      </c>
      <c r="E3" s="30" t="s">
        <v>1331</v>
      </c>
      <c r="F3" s="30" t="s">
        <v>1331</v>
      </c>
      <c r="G3" s="30" t="s">
        <v>1331</v>
      </c>
      <c r="H3" s="30" t="s">
        <v>1331</v>
      </c>
      <c r="I3" s="30" t="s">
        <v>1331</v>
      </c>
      <c r="J3" s="30" t="s">
        <v>1134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4.25" customHeight="1">
      <c r="A4" s="34" t="s">
        <v>1332</v>
      </c>
      <c r="B4" s="35" t="s">
        <v>1333</v>
      </c>
      <c r="C4" s="35" t="s">
        <v>1325</v>
      </c>
      <c r="D4" s="29" t="str">
        <f>IFERROR(__xludf.DUMMYFUNCTION("JOIN("","",FILTER(Turmas!A:A,Turmas!B:B=B4))"),"20192.02AGR20I.2M,20192.02AGR20I.4V,20192.02AGR20I.6M,20192.02AGR20I.8V,20192.02AGR20I.ESPECIAL,20192.02AGR20I.FERIAS")</f>
        <v>20192.02AGR20I.2M,20192.02AGR20I.4V,20192.02AGR20I.6M,20192.02AGR20I.8V,20192.02AGR20I.ESPECIAL,20192.02AGR20I.FERIAS</v>
      </c>
      <c r="E4" s="30" t="s">
        <v>1326</v>
      </c>
      <c r="F4" s="30" t="s">
        <v>1326</v>
      </c>
      <c r="G4" s="30" t="s">
        <v>1326</v>
      </c>
      <c r="H4" s="30" t="s">
        <v>1326</v>
      </c>
      <c r="I4" s="30" t="s">
        <v>1326</v>
      </c>
      <c r="J4" s="30" t="s">
        <v>1327</v>
      </c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4.25" customHeight="1">
      <c r="A5" s="34" t="s">
        <v>1334</v>
      </c>
      <c r="B5" s="35" t="s">
        <v>1335</v>
      </c>
      <c r="C5" s="37" t="s">
        <v>1325</v>
      </c>
      <c r="D5" s="29" t="str">
        <f>IFERROR(__xludf.DUMMYFUNCTION("JOIN("","",FILTER(Turmas!A:A,Turmas!B:B=B5))"),"20192.02CDC20I.2M,20192.02CDC20I.4V,20192.02CDC20I.6M,20192.02CDC20I.8V,20192.02CDC20I.ESPECIAL")</f>
        <v>20192.02CDC20I.2M,20192.02CDC20I.4V,20192.02CDC20I.6M,20192.02CDC20I.8V,20192.02CDC20I.ESPECIAL</v>
      </c>
      <c r="E5" s="30" t="s">
        <v>1326</v>
      </c>
      <c r="F5" s="30" t="s">
        <v>1326</v>
      </c>
      <c r="G5" s="30" t="s">
        <v>1326</v>
      </c>
      <c r="H5" s="30" t="s">
        <v>1326</v>
      </c>
      <c r="I5" s="30" t="s">
        <v>1326</v>
      </c>
      <c r="J5" s="30" t="s">
        <v>1327</v>
      </c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4.25" customHeight="1">
      <c r="A6" s="34" t="s">
        <v>1336</v>
      </c>
      <c r="B6" s="35" t="s">
        <v>1337</v>
      </c>
      <c r="C6" s="35" t="s">
        <v>1325</v>
      </c>
      <c r="D6" s="29" t="str">
        <f>IFERROR(__xludf.DUMMYFUNCTION("JOIN("","",FILTER(Turmas!A:A,Turmas!B:B=B6))"),"20192.02BIO23I.2M,20192.02BIO23I.4V,20192.02BIO23I.6M,20192.02BIO23I.8V,20192.02BIO23I.ESPECIAL")</f>
        <v>20192.02BIO23I.2M,20192.02BIO23I.4V,20192.02BIO23I.6M,20192.02BIO23I.8V,20192.02BIO23I.ESPECIAL</v>
      </c>
      <c r="E6" s="30" t="s">
        <v>1326</v>
      </c>
      <c r="F6" s="30" t="s">
        <v>1326</v>
      </c>
      <c r="G6" s="30" t="s">
        <v>1326</v>
      </c>
      <c r="H6" s="30" t="s">
        <v>1326</v>
      </c>
      <c r="I6" s="30" t="s">
        <v>1326</v>
      </c>
      <c r="J6" s="30" t="s">
        <v>1327</v>
      </c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4.25" customHeight="1">
      <c r="A7" s="36" t="s">
        <v>1338</v>
      </c>
      <c r="B7" s="35" t="s">
        <v>1339</v>
      </c>
      <c r="C7" s="37" t="s">
        <v>1340</v>
      </c>
      <c r="D7" s="29" t="str">
        <f>IFERROR(__xludf.DUMMYFUNCTION("JOIN("","",FILTER(Turmas!A:A,Turmas!B:B=B7))"),"20192.02BIO22N.2N,20192.02BIO22N.4N,20192.02BIO22N.6N,20192.02BIO22N.8N")</f>
        <v>20192.02BIO22N.2N,20192.02BIO22N.4N,20192.02BIO22N.6N,20192.02BIO22N.8N</v>
      </c>
      <c r="E7" s="30" t="s">
        <v>1331</v>
      </c>
      <c r="F7" s="30" t="s">
        <v>1331</v>
      </c>
      <c r="G7" s="30" t="s">
        <v>1331</v>
      </c>
      <c r="H7" s="30" t="s">
        <v>1331</v>
      </c>
      <c r="I7" s="30" t="s">
        <v>1331</v>
      </c>
      <c r="J7" s="30" t="s">
        <v>1134</v>
      </c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4.25" customHeight="1">
      <c r="A8" s="34" t="s">
        <v>1341</v>
      </c>
      <c r="B8" s="35" t="s">
        <v>1342</v>
      </c>
      <c r="C8" s="35" t="s">
        <v>1325</v>
      </c>
      <c r="D8" s="29" t="str">
        <f>IFERROR(__xludf.DUMMYFUNCTION("JOIN("","",FILTER(Turmas!A:A,Turmas!B:B=B8))"),"20192.02EAM20I.2M,20192.02EAM20I.4V,20192.02EAM20I.6M,20192.02EAM20I.8V,20192.02EAM20I.ESPECIAL")</f>
        <v>20192.02EAM20I.2M,20192.02EAM20I.4V,20192.02EAM20I.6M,20192.02EAM20I.8V,20192.02EAM20I.ESPECIAL</v>
      </c>
      <c r="E8" s="30" t="s">
        <v>1326</v>
      </c>
      <c r="F8" s="30" t="s">
        <v>1326</v>
      </c>
      <c r="G8" s="30" t="s">
        <v>1326</v>
      </c>
      <c r="H8" s="30" t="s">
        <v>1326</v>
      </c>
      <c r="I8" s="30" t="s">
        <v>1326</v>
      </c>
      <c r="J8" s="30" t="s">
        <v>1327</v>
      </c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4.25" customHeight="1">
      <c r="A9" s="34" t="s">
        <v>1343</v>
      </c>
      <c r="B9" s="35" t="s">
        <v>1344</v>
      </c>
      <c r="C9" s="37" t="s">
        <v>1325</v>
      </c>
      <c r="D9" s="29" t="str">
        <f>IFERROR(__xludf.DUMMYFUNCTION("JOIN("","",FILTER(Turmas!A:A,Turmas!B:B=B9))"),"20192.02ALI20I.2M,20192.02ALI20I.4V,20192.02ALI20I.6M,20192.02ALI20I.8V,20192.02ALI20I.ESPECIAL")</f>
        <v>20192.02ALI20I.2M,20192.02ALI20I.4V,20192.02ALI20I.6M,20192.02ALI20I.8V,20192.02ALI20I.ESPECIAL</v>
      </c>
      <c r="E9" s="30" t="s">
        <v>1326</v>
      </c>
      <c r="F9" s="30" t="s">
        <v>1326</v>
      </c>
      <c r="G9" s="30" t="s">
        <v>1326</v>
      </c>
      <c r="H9" s="30" t="s">
        <v>1326</v>
      </c>
      <c r="I9" s="30" t="s">
        <v>1326</v>
      </c>
      <c r="J9" s="30" t="s">
        <v>1327</v>
      </c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4.25" customHeight="1">
      <c r="A10" s="34" t="s">
        <v>1345</v>
      </c>
      <c r="B10" s="35" t="s">
        <v>1346</v>
      </c>
      <c r="C10" s="35" t="s">
        <v>1325</v>
      </c>
      <c r="D10" s="29" t="str">
        <f>IFERROR(__xludf.DUMMYFUNCTION("JOIN("","",FILTER(Turmas!A:A,Turmas!B:B=B10))"),"20192.02CIV20I.2M,20192.02CIV20I.4V,20192.02CIV20I.6M,20192.02CIV20I.8V,20192.02CIV20I.ESPECIAL")</f>
        <v>20192.02CIV20I.2M,20192.02CIV20I.4V,20192.02CIV20I.6M,20192.02CIV20I.8V,20192.02CIV20I.ESPECIAL</v>
      </c>
      <c r="E10" s="30" t="s">
        <v>1326</v>
      </c>
      <c r="F10" s="30" t="s">
        <v>1326</v>
      </c>
      <c r="G10" s="30" t="s">
        <v>1326</v>
      </c>
      <c r="H10" s="30" t="s">
        <v>1326</v>
      </c>
      <c r="I10" s="30" t="s">
        <v>1326</v>
      </c>
      <c r="J10" s="30" t="s">
        <v>1327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4.25" customHeight="1">
      <c r="A11" s="34" t="s">
        <v>1347</v>
      </c>
      <c r="B11" s="35" t="s">
        <v>1348</v>
      </c>
      <c r="C11" s="37" t="s">
        <v>1325</v>
      </c>
      <c r="D11" s="29" t="str">
        <f>IFERROR(__xludf.DUMMYFUNCTION("JOIN("","",FILTER(Turmas!A:A,Turmas!B:B=B11))"),"#N/A")</f>
        <v>#N/A</v>
      </c>
      <c r="E11" s="30" t="s">
        <v>1326</v>
      </c>
      <c r="F11" s="30" t="s">
        <v>1326</v>
      </c>
      <c r="G11" s="30" t="s">
        <v>1326</v>
      </c>
      <c r="H11" s="30" t="s">
        <v>1326</v>
      </c>
      <c r="I11" s="30" t="s">
        <v>1326</v>
      </c>
      <c r="J11" s="30" t="s">
        <v>1327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4.25" customHeight="1">
      <c r="A12" s="38" t="s">
        <v>1349</v>
      </c>
      <c r="B12" s="35" t="s">
        <v>1350</v>
      </c>
      <c r="C12" s="39" t="s">
        <v>1340</v>
      </c>
      <c r="D12" s="29" t="str">
        <f>IFERROR(__xludf.DUMMYFUNCTION("JOIN("","",FILTER(Turmas!A:A,Turmas!B:B=B12))"),"20192.02QUI22N.2N,20192.02QUI22N.4N,20192.02QUI22N.6N,20192.02QUI22N.8N,20192.02QUI22N.ESPECIAL,20192.02QUI22N.FERIAS")</f>
        <v>20192.02QUI22N.2N,20192.02QUI22N.4N,20192.02QUI22N.6N,20192.02QUI22N.8N,20192.02QUI22N.ESPECIAL,20192.02QUI22N.FERIAS</v>
      </c>
      <c r="E12" s="30" t="s">
        <v>1331</v>
      </c>
      <c r="F12" s="30" t="s">
        <v>1331</v>
      </c>
      <c r="G12" s="30" t="s">
        <v>1331</v>
      </c>
      <c r="H12" s="30" t="s">
        <v>1331</v>
      </c>
      <c r="I12" s="30" t="s">
        <v>1331</v>
      </c>
      <c r="J12" s="30" t="s">
        <v>1134</v>
      </c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4.25" customHeight="1">
      <c r="A13" s="36" t="s">
        <v>1351</v>
      </c>
      <c r="B13" s="35" t="s">
        <v>1352</v>
      </c>
      <c r="C13" s="37" t="s">
        <v>1330</v>
      </c>
      <c r="D13" s="29" t="str">
        <f>IFERROR(__xludf.DUMMYFUNCTION("JOIN("","",FILTER(Turmas!A:A,Turmas!B:B=B13))"),"20192.02SAM21N.2N,20192.02SAM21N.4N,20192.02SAM21N.6N,20192.02SAM21N.ESPECIAL")</f>
        <v>20192.02SAM21N.2N,20192.02SAM21N.4N,20192.02SAM21N.6N,20192.02SAM21N.ESPECIAL</v>
      </c>
      <c r="E13" s="30" t="s">
        <v>1331</v>
      </c>
      <c r="F13" s="30" t="s">
        <v>1331</v>
      </c>
      <c r="G13" s="30" t="s">
        <v>1331</v>
      </c>
      <c r="H13" s="30" t="s">
        <v>1331</v>
      </c>
      <c r="I13" s="30" t="s">
        <v>1331</v>
      </c>
      <c r="J13" s="30" t="s">
        <v>1134</v>
      </c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4.25" customHeight="1">
      <c r="A14" s="36" t="s">
        <v>1353</v>
      </c>
      <c r="B14" s="35" t="s">
        <v>1354</v>
      </c>
      <c r="C14" s="40" t="s">
        <v>1325</v>
      </c>
      <c r="D14" s="29" t="str">
        <f>IFERROR(__xludf.DUMMYFUNCTION("JOIN("","",FILTER(Turmas!A:A,Turmas!B:B=B14))"),"20192.02ZOO20I.2M,20192.02ZOO20I.4V,20192.02ZOO20I.6M,20192.02ZOO20I.8V,20192.02ZOO20I.ESPECIAL")</f>
        <v>20192.02ZOO20I.2M,20192.02ZOO20I.4V,20192.02ZOO20I.6M,20192.02ZOO20I.8V,20192.02ZOO20I.ESPECIAL</v>
      </c>
      <c r="E14" s="30" t="s">
        <v>1326</v>
      </c>
      <c r="F14" s="30" t="s">
        <v>1326</v>
      </c>
      <c r="G14" s="30" t="s">
        <v>1326</v>
      </c>
      <c r="H14" s="30" t="s">
        <v>1326</v>
      </c>
      <c r="I14" s="30" t="s">
        <v>1326</v>
      </c>
      <c r="J14" s="30" t="s">
        <v>1327</v>
      </c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4.25" customHeight="1">
      <c r="A15" s="34" t="s">
        <v>1355</v>
      </c>
      <c r="B15" s="35" t="s">
        <v>1356</v>
      </c>
      <c r="C15" s="35" t="s">
        <v>1357</v>
      </c>
      <c r="D15" s="29" t="str">
        <f>IFERROR(__xludf.DUMMYFUNCTION("JOIN("","",FILTER(Turmas!A:A,Turmas!B:B=B15))"),"20192.02ADI11N.1N,20192.02ADI11N.2N,20192.02ADM12N.2N,20192.02ADM12N.3N,20192.02ADM12N.4N,20192.02ADM12N.5N,20192.02ADM12N.6N,20192.02ADM12N.7N")</f>
        <v>20192.02ADI11N.1N,20192.02ADI11N.2N,20192.02ADM12N.2N,20192.02ADM12N.3N,20192.02ADM12N.4N,20192.02ADM12N.5N,20192.02ADM12N.6N,20192.02ADM12N.7N</v>
      </c>
      <c r="E15" s="30" t="s">
        <v>1134</v>
      </c>
      <c r="F15" s="30" t="s">
        <v>1134</v>
      </c>
      <c r="G15" s="30" t="s">
        <v>1134</v>
      </c>
      <c r="H15" s="30" t="s">
        <v>1134</v>
      </c>
      <c r="I15" s="30" t="s">
        <v>1134</v>
      </c>
      <c r="J15" s="30" t="s">
        <v>1134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4.25" customHeight="1">
      <c r="A16" s="34" t="s">
        <v>1358</v>
      </c>
      <c r="B16" s="41" t="s">
        <v>1359</v>
      </c>
      <c r="C16" s="35" t="s">
        <v>1357</v>
      </c>
      <c r="D16" s="29" t="str">
        <f>IFERROR(__xludf.DUMMYFUNCTION("JOIN("","",FILTER(Turmas!A:A,Turmas!B:B=B16))"),"20192.02AGP11M.1M,20192.02AGP11M.2M,20192.02AGP11M.3M,20192.02AGP11M.4M,20192.02AGP11V.1V,20192.02AGP11V.2V,20192.02AGP11V.3V,20192.02AGP11V.4V")</f>
        <v>20192.02AGP11M.1M,20192.02AGP11M.2M,20192.02AGP11M.3M,20192.02AGP11M.4M,20192.02AGP11V.1V,20192.02AGP11V.2V,20192.02AGP11V.3V,20192.02AGP11V.4V</v>
      </c>
      <c r="E16" s="30" t="s">
        <v>1326</v>
      </c>
      <c r="F16" s="30" t="s">
        <v>1326</v>
      </c>
      <c r="G16" s="30" t="s">
        <v>1326</v>
      </c>
      <c r="H16" s="30" t="s">
        <v>1326</v>
      </c>
      <c r="I16" s="30" t="s">
        <v>1326</v>
      </c>
      <c r="J16" s="30" t="s">
        <v>1327</v>
      </c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4.25" customHeight="1">
      <c r="A17" s="34" t="s">
        <v>1360</v>
      </c>
      <c r="B17" s="41" t="s">
        <v>1361</v>
      </c>
      <c r="C17" s="35" t="s">
        <v>1357</v>
      </c>
      <c r="D17" s="29" t="str">
        <f>IFERROR(__xludf.DUMMYFUNCTION("JOIN("","",FILTER(Turmas!A:A,Turmas!B:B=B17))"),"20192.02ALI11N.1N,20192.02ALI11N.2N,20192.02ALI11N.3N,20192.02ALI11N.4N")</f>
        <v>20192.02ALI11N.1N,20192.02ALI11N.2N,20192.02ALI11N.3N,20192.02ALI11N.4N</v>
      </c>
      <c r="E17" s="30" t="s">
        <v>1331</v>
      </c>
      <c r="F17" s="30" t="s">
        <v>1331</v>
      </c>
      <c r="G17" s="30" t="s">
        <v>1331</v>
      </c>
      <c r="H17" s="30" t="s">
        <v>1331</v>
      </c>
      <c r="I17" s="30" t="s">
        <v>1331</v>
      </c>
      <c r="J17" s="30" t="s">
        <v>1134</v>
      </c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4.25" customHeight="1">
      <c r="A18" s="34" t="s">
        <v>1362</v>
      </c>
      <c r="B18" s="41" t="s">
        <v>1363</v>
      </c>
      <c r="C18" s="35" t="s">
        <v>1357</v>
      </c>
      <c r="D18" s="29" t="str">
        <f>IFERROR(__xludf.DUMMYFUNCTION("JOIN("","",FILTER(Turmas!A:A,Turmas!B:B=B18))"),"20192.02BTC11N.1N,20192.02BTC11N.2N,20192.02BTC11N.3N,20192.02BTC11N.4N")</f>
        <v>20192.02BTC11N.1N,20192.02BTC11N.2N,20192.02BTC11N.3N,20192.02BTC11N.4N</v>
      </c>
      <c r="E18" s="30" t="s">
        <v>1331</v>
      </c>
      <c r="F18" s="30" t="s">
        <v>1331</v>
      </c>
      <c r="G18" s="30" t="s">
        <v>1331</v>
      </c>
      <c r="H18" s="30" t="s">
        <v>1331</v>
      </c>
      <c r="I18" s="30" t="s">
        <v>1331</v>
      </c>
      <c r="J18" s="30" t="s">
        <v>1134</v>
      </c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4.25" customHeight="1">
      <c r="A19" s="34" t="s">
        <v>1364</v>
      </c>
      <c r="B19" s="41" t="s">
        <v>1365</v>
      </c>
      <c r="C19" s="35" t="s">
        <v>1357</v>
      </c>
      <c r="D19" s="29" t="str">
        <f>IFERROR(__xludf.DUMMYFUNCTION("JOIN("","",FILTER(Turmas!A:A,Turmas!B:B=B19))"),"20192.02COT11N.1N,20192.02COT11N.2N,20192.02COT11N.3N")</f>
        <v>20192.02COT11N.1N,20192.02COT11N.2N,20192.02COT11N.3N</v>
      </c>
      <c r="E19" s="30" t="s">
        <v>1331</v>
      </c>
      <c r="F19" s="30" t="s">
        <v>1331</v>
      </c>
      <c r="G19" s="30" t="s">
        <v>1331</v>
      </c>
      <c r="H19" s="30" t="s">
        <v>1331</v>
      </c>
      <c r="I19" s="30" t="s">
        <v>1331</v>
      </c>
      <c r="J19" s="30" t="s">
        <v>1134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4.25" customHeight="1">
      <c r="A20" s="34" t="s">
        <v>1366</v>
      </c>
      <c r="B20" s="41" t="s">
        <v>1367</v>
      </c>
      <c r="C20" s="35" t="s">
        <v>1357</v>
      </c>
      <c r="D20" s="29" t="str">
        <f>IFERROR(__xludf.DUMMYFUNCTION("JOIN("","",FILTER(Turmas!A:A,Turmas!B:B=B20))"),"20192.02EDI11N.1N,20192.02EDI11N.2N,20192.02EDI11N.3N,20192.02EDI11N.4N,20192.02EDI12N.6N,20192.02EDI12N.7N")</f>
        <v>20192.02EDI11N.1N,20192.02EDI11N.2N,20192.02EDI11N.3N,20192.02EDI11N.4N,20192.02EDI12N.6N,20192.02EDI12N.7N</v>
      </c>
      <c r="E20" s="30" t="s">
        <v>1331</v>
      </c>
      <c r="F20" s="30" t="s">
        <v>1331</v>
      </c>
      <c r="G20" s="30" t="s">
        <v>1331</v>
      </c>
      <c r="H20" s="30" t="s">
        <v>1331</v>
      </c>
      <c r="I20" s="30" t="s">
        <v>1331</v>
      </c>
      <c r="J20" s="30" t="s">
        <v>1134</v>
      </c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4.25" customHeight="1">
      <c r="A21" s="34" t="s">
        <v>1368</v>
      </c>
      <c r="B21" s="41" t="s">
        <v>1369</v>
      </c>
      <c r="C21" s="35" t="s">
        <v>1357</v>
      </c>
      <c r="D21" s="29" t="str">
        <f>IFERROR(__xludf.DUMMYFUNCTION("JOIN("","",FILTER(Turmas!A:A,Turmas!B:B=B21))"),"20192.02INF11N.1N.-,20192.02INF11N.2N.-,20192.02INF11N.3N.-,20192.02INF11N.4N.-")</f>
        <v>20192.02INF11N.1N.-,20192.02INF11N.2N.-,20192.02INF11N.3N.-,20192.02INF11N.4N.-</v>
      </c>
      <c r="E21" s="30" t="s">
        <v>1331</v>
      </c>
      <c r="F21" s="30" t="s">
        <v>1331</v>
      </c>
      <c r="G21" s="30" t="s">
        <v>1331</v>
      </c>
      <c r="H21" s="30" t="s">
        <v>1331</v>
      </c>
      <c r="I21" s="30" t="s">
        <v>1331</v>
      </c>
      <c r="J21" s="30" t="s">
        <v>1134</v>
      </c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4.25" customHeight="1">
      <c r="A22" s="34" t="s">
        <v>1370</v>
      </c>
      <c r="B22" s="41" t="s">
        <v>1371</v>
      </c>
      <c r="C22" s="35" t="s">
        <v>1357</v>
      </c>
      <c r="D22" s="29" t="str">
        <f>IFERROR(__xludf.DUMMYFUNCTION("JOIN("","",FILTER(Turmas!A:A,Turmas!B:B=B22))"),"20192.02QUI10N.1N,20192.02QUI10N.2N,20192.02QUI10N.3N")</f>
        <v>20192.02QUI10N.1N,20192.02QUI10N.2N,20192.02QUI10N.3N</v>
      </c>
      <c r="E22" s="30" t="s">
        <v>1331</v>
      </c>
      <c r="F22" s="30" t="s">
        <v>1331</v>
      </c>
      <c r="G22" s="30" t="s">
        <v>1331</v>
      </c>
      <c r="H22" s="30" t="s">
        <v>1331</v>
      </c>
      <c r="I22" s="30" t="s">
        <v>1331</v>
      </c>
      <c r="J22" s="30" t="s">
        <v>1134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4.25" customHeight="1">
      <c r="A23" s="34" t="s">
        <v>1372</v>
      </c>
      <c r="B23" s="41" t="s">
        <v>1373</v>
      </c>
      <c r="C23" s="35" t="s">
        <v>1357</v>
      </c>
      <c r="D23" s="29" t="str">
        <f>IFERROR(__xludf.DUMMYFUNCTION("JOIN("","",FILTER(Turmas!A:A,Turmas!B:B=B23))"),"20192.02SGT11N.1N,20192.02SGT11N.2N,20192.02SGT11N.3N,20192.02SGT11N.4N")</f>
        <v>20192.02SGT11N.1N,20192.02SGT11N.2N,20192.02SGT11N.3N,20192.02SGT11N.4N</v>
      </c>
      <c r="E23" s="30" t="s">
        <v>1331</v>
      </c>
      <c r="F23" s="30" t="s">
        <v>1331</v>
      </c>
      <c r="G23" s="30" t="s">
        <v>1331</v>
      </c>
      <c r="H23" s="30" t="s">
        <v>1331</v>
      </c>
      <c r="I23" s="30" t="s">
        <v>1331</v>
      </c>
      <c r="J23" s="30" t="s">
        <v>1134</v>
      </c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4.25" customHeight="1">
      <c r="A24" s="34" t="s">
        <v>1374</v>
      </c>
      <c r="B24" s="35" t="s">
        <v>1375</v>
      </c>
      <c r="C24" s="35" t="s">
        <v>1376</v>
      </c>
      <c r="D24" s="29" t="str">
        <f>IFERROR(__xludf.DUMMYFUNCTION("JOIN("","",FILTER(Turmas!A:A,Turmas!B:B=B24))"),"20192.02ADM112.1V,20192.02ADM112.2V,20192.02ADM112.3V,20192.02ADM11N.1N,20192.02ADM11N.2N,20192.02ADM11N.3N")</f>
        <v>20192.02ADM112.1V,20192.02ADM112.2V,20192.02ADM112.3V,20192.02ADM11N.1N,20192.02ADM11N.2N,20192.02ADM11N.3N</v>
      </c>
      <c r="E24" s="30" t="s">
        <v>1331</v>
      </c>
      <c r="F24" s="30" t="s">
        <v>1331</v>
      </c>
      <c r="G24" s="30" t="s">
        <v>1331</v>
      </c>
      <c r="H24" s="30" t="s">
        <v>1331</v>
      </c>
      <c r="I24" s="30" t="s">
        <v>1331</v>
      </c>
      <c r="J24" s="30" t="s">
        <v>1134</v>
      </c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4.25" customHeight="1">
      <c r="A25" s="34" t="s">
        <v>1377</v>
      </c>
      <c r="B25" s="35" t="s">
        <v>1378</v>
      </c>
      <c r="C25" s="35" t="s">
        <v>1376</v>
      </c>
      <c r="D25" s="29" t="str">
        <f>IFERROR(__xludf.DUMMYFUNCTION("JOIN("","",FILTER(Turmas!A:A,Turmas!B:B=B25))"),"#N/A")</f>
        <v>#N/A</v>
      </c>
      <c r="E25" s="30" t="s">
        <v>1331</v>
      </c>
      <c r="F25" s="30" t="s">
        <v>1331</v>
      </c>
      <c r="G25" s="30" t="s">
        <v>1331</v>
      </c>
      <c r="H25" s="30" t="s">
        <v>1331</v>
      </c>
      <c r="I25" s="30" t="s">
        <v>1331</v>
      </c>
      <c r="J25" s="30" t="s">
        <v>1134</v>
      </c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4.25" customHeight="1">
      <c r="A26" s="34" t="s">
        <v>1379</v>
      </c>
      <c r="B26" s="35" t="s">
        <v>1380</v>
      </c>
      <c r="C26" s="35" t="s">
        <v>1325</v>
      </c>
      <c r="D26" s="29" t="str">
        <f>IFERROR(__xludf.DUMMYFUNCTION("JOIN("","",FILTER(Turmas!A:A,Turmas!B:B=B26))"),"#N/A")</f>
        <v>#N/A</v>
      </c>
      <c r="E26" s="30" t="s">
        <v>1134</v>
      </c>
      <c r="F26" s="30" t="s">
        <v>1134</v>
      </c>
      <c r="G26" s="30" t="s">
        <v>1134</v>
      </c>
      <c r="H26" s="30" t="s">
        <v>1134</v>
      </c>
      <c r="I26" s="30" t="s">
        <v>1134</v>
      </c>
      <c r="J26" s="30" t="s">
        <v>1134</v>
      </c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3.29"/>
    <col customWidth="1" min="3" max="3" width="9.86"/>
    <col customWidth="1" min="4" max="4" width="84.86"/>
    <col customWidth="1" min="5" max="10" width="8.86"/>
    <col customWidth="1" min="11" max="25" width="9.0"/>
  </cols>
  <sheetData>
    <row r="1" ht="14.25" customHeight="1">
      <c r="A1" s="42" t="s">
        <v>0</v>
      </c>
      <c r="B1" s="43" t="s">
        <v>1381</v>
      </c>
      <c r="C1" s="44" t="s">
        <v>1382</v>
      </c>
      <c r="D1" s="45" t="s">
        <v>1</v>
      </c>
      <c r="E1" s="28" t="s">
        <v>8</v>
      </c>
      <c r="F1" s="28" t="s">
        <v>9</v>
      </c>
      <c r="G1" s="28" t="s">
        <v>10</v>
      </c>
      <c r="H1" s="28" t="s">
        <v>11</v>
      </c>
      <c r="I1" s="28" t="s">
        <v>12</v>
      </c>
      <c r="J1" s="28" t="s">
        <v>13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</row>
    <row r="2" ht="14.25" customHeight="1">
      <c r="A2" s="47" t="s">
        <v>17</v>
      </c>
      <c r="B2" s="48" t="s">
        <v>1356</v>
      </c>
      <c r="C2" s="13" t="s">
        <v>1383</v>
      </c>
      <c r="D2" s="49" t="str">
        <f>IFERROR(__xludf.DUMMYFUNCTION("JOIN("","",FILTER(Disciplinas!A:A, regexmatch(Disciplinas!D:D, A2)))"),"RV.ADM01,RV.ADM02,RV.ADM03,RV.ADM04,RV.ADM401,RV.EXA808,RV.HUM824")</f>
        <v>RV.ADM01,RV.ADM02,RV.ADM03,RV.ADM04,RV.ADM401,RV.EXA808,RV.HUM824</v>
      </c>
      <c r="E2" s="30" t="str">
        <f t="shared" ref="E2:E103" si="1">ifs(C2 = "Manhã", "7-16", C2 = "Tarde", "1-6,13-16", C2 = "Noite", "1-12", C2 = "Integral", "13-16")</f>
        <v>1-12</v>
      </c>
      <c r="F2" s="30" t="str">
        <f t="shared" ref="F2:F103" si="2">ifs(C2 = "Manhã", "7-16", C2 = "Tarde", "1-6,13-16", C2 = "Noite", "1-12", C2 = "Integral", "13-16")</f>
        <v>1-12</v>
      </c>
      <c r="G2" s="30" t="str">
        <f t="shared" ref="G2:G103" si="3">ifs(C2 = "Manhã", "7-16", C2 = "Tarde", "1-6,13-16", C2 = "Noite", "1-12", C2 = "Integral", "13-16")</f>
        <v>1-12</v>
      </c>
      <c r="H2" s="30" t="str">
        <f t="shared" ref="H2:H103" si="4">ifs(C2 = "Manhã", "7-16", C2 = "Tarde", "1-6,13-16", C2 = "Noite", "1-12", C2 = "Integral", "13-16")</f>
        <v>1-12</v>
      </c>
      <c r="I2" s="30" t="str">
        <f t="shared" ref="I2:I103" si="5">ifs(C2 = "Manhã", "7-16", C2 = "Tarde", "1-6,13-16", C2 = "Noite", "1-12", C2 = "Integral", "13-16")</f>
        <v>1-12</v>
      </c>
      <c r="J2" s="30" t="str">
        <f t="shared" ref="J2:J103" si="6">ifs(C2 = "Manhã", "1-16", C2 = "Tarde", "1-16", C2 = "Noite", "12-16", C2 = "Integral", "1-16")</f>
        <v>12-16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</row>
    <row r="3" ht="14.25" customHeight="1">
      <c r="A3" s="50" t="s">
        <v>34</v>
      </c>
      <c r="B3" s="48" t="s">
        <v>1356</v>
      </c>
      <c r="C3" s="13" t="s">
        <v>1383</v>
      </c>
      <c r="D3" s="49" t="str">
        <f>IFERROR(__xludf.DUMMYFUNCTION("JOIN("","",FILTER(Disciplinas!A:A, regexmatch(Disciplinas!D:D, A3)))"),"RV.ADM05,RV.ADM06,RV.ADM07,RV.ADM08,RV.ADM405,RV.CON817,RV.EXA810")</f>
        <v>RV.ADM05,RV.ADM06,RV.ADM07,RV.ADM08,RV.ADM405,RV.CON817,RV.EXA810</v>
      </c>
      <c r="E3" s="30" t="str">
        <f t="shared" si="1"/>
        <v>1-12</v>
      </c>
      <c r="F3" s="30" t="str">
        <f t="shared" si="2"/>
        <v>1-12</v>
      </c>
      <c r="G3" s="30" t="str">
        <f t="shared" si="3"/>
        <v>1-12</v>
      </c>
      <c r="H3" s="30" t="str">
        <f t="shared" si="4"/>
        <v>1-12</v>
      </c>
      <c r="I3" s="30" t="str">
        <f t="shared" si="5"/>
        <v>1-12</v>
      </c>
      <c r="J3" s="30" t="str">
        <f t="shared" si="6"/>
        <v>12-16</v>
      </c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ht="14.25" customHeight="1">
      <c r="A4" s="47" t="s">
        <v>48</v>
      </c>
      <c r="B4" s="48" t="s">
        <v>1375</v>
      </c>
      <c r="C4" s="13" t="s">
        <v>1384</v>
      </c>
      <c r="D4" s="49" t="str">
        <f>IFERROR(__xludf.DUMMYFUNCTION("JOIN("","",FILTER(Disciplinas!A:A, regexmatch(Disciplinas!D:D, A4)))"),"RV.ADM01,RV.ADM02,RV.ADM03,RV.ADM04,RV.ADM401,RV.EXA808,RV.HUM824")</f>
        <v>RV.ADM01,RV.ADM02,RV.ADM03,RV.ADM04,RV.ADM401,RV.EXA808,RV.HUM824</v>
      </c>
      <c r="E4" s="30" t="str">
        <f t="shared" si="1"/>
        <v>1-6,13-16</v>
      </c>
      <c r="F4" s="30" t="str">
        <f t="shared" si="2"/>
        <v>1-6,13-16</v>
      </c>
      <c r="G4" s="30" t="str">
        <f t="shared" si="3"/>
        <v>1-6,13-16</v>
      </c>
      <c r="H4" s="30" t="str">
        <f t="shared" si="4"/>
        <v>1-6,13-16</v>
      </c>
      <c r="I4" s="30" t="str">
        <f t="shared" si="5"/>
        <v>1-6,13-16</v>
      </c>
      <c r="J4" s="30" t="str">
        <f t="shared" si="6"/>
        <v>1-16</v>
      </c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</row>
    <row r="5" ht="14.25" customHeight="1">
      <c r="A5" s="51" t="s">
        <v>56</v>
      </c>
      <c r="B5" s="48" t="s">
        <v>1375</v>
      </c>
      <c r="C5" s="13" t="s">
        <v>1384</v>
      </c>
      <c r="D5" s="49" t="str">
        <f>IFERROR(__xludf.DUMMYFUNCTION("JOIN("","",FILTER(Disciplinas!A:A, regexmatch(Disciplinas!D:D, A5)))"),"RV.ADM05,RV.ADM06,RV.ADM07,RV.ADM08,RV.ADM405,RV.CON817,RV.EXA810")</f>
        <v>RV.ADM05,RV.ADM06,RV.ADM07,RV.ADM08,RV.ADM405,RV.CON817,RV.EXA810</v>
      </c>
      <c r="E5" s="30" t="str">
        <f t="shared" si="1"/>
        <v>1-6,13-16</v>
      </c>
      <c r="F5" s="30" t="str">
        <f t="shared" si="2"/>
        <v>1-6,13-16</v>
      </c>
      <c r="G5" s="30" t="str">
        <f t="shared" si="3"/>
        <v>1-6,13-16</v>
      </c>
      <c r="H5" s="30" t="str">
        <f t="shared" si="4"/>
        <v>1-6,13-16</v>
      </c>
      <c r="I5" s="30" t="str">
        <f t="shared" si="5"/>
        <v>1-6,13-16</v>
      </c>
      <c r="J5" s="30" t="str">
        <f t="shared" si="6"/>
        <v>1-16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</row>
    <row r="6" ht="14.25" customHeight="1">
      <c r="A6" s="52" t="s">
        <v>65</v>
      </c>
      <c r="B6" s="48" t="s">
        <v>1375</v>
      </c>
      <c r="C6" s="13" t="s">
        <v>1384</v>
      </c>
      <c r="D6" s="49" t="str">
        <f>IFERROR(__xludf.DUMMYFUNCTION("JOIN("","",FILTER(Disciplinas!A:A, regexmatch(Disciplinas!D:D, A6)))"),"RV.ADM09,RV.ADM10,RV.ADM11,RV.ADM413,RV.ADM811,TADMRV33")</f>
        <v>RV.ADM09,RV.ADM10,RV.ADM11,RV.ADM413,RV.ADM811,TADMRV33</v>
      </c>
      <c r="E6" s="30" t="str">
        <f t="shared" si="1"/>
        <v>1-6,13-16</v>
      </c>
      <c r="F6" s="30" t="str">
        <f t="shared" si="2"/>
        <v>1-6,13-16</v>
      </c>
      <c r="G6" s="30" t="str">
        <f t="shared" si="3"/>
        <v>1-6,13-16</v>
      </c>
      <c r="H6" s="30" t="str">
        <f t="shared" si="4"/>
        <v>1-6,13-16</v>
      </c>
      <c r="I6" s="30" t="str">
        <f t="shared" si="5"/>
        <v>1-6,13-16</v>
      </c>
      <c r="J6" s="30" t="str">
        <f t="shared" si="6"/>
        <v>1-16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</row>
    <row r="7" ht="14.25" customHeight="1">
      <c r="A7" s="47" t="s">
        <v>79</v>
      </c>
      <c r="B7" s="48" t="s">
        <v>1375</v>
      </c>
      <c r="C7" s="53" t="s">
        <v>1383</v>
      </c>
      <c r="D7" s="49" t="str">
        <f>IFERROR(__xludf.DUMMYFUNCTION("JOIN("","",FILTER(Disciplinas!A:A, regexmatch(Disciplinas!D:D, A7)))"),"RV.ADM01,RV.ADM02,RV.ADM03,RV.ADM04,RV.ADM401,RV.EXA808,RV.HUM824")</f>
        <v>RV.ADM01,RV.ADM02,RV.ADM03,RV.ADM04,RV.ADM401,RV.EXA808,RV.HUM824</v>
      </c>
      <c r="E7" s="30" t="str">
        <f t="shared" si="1"/>
        <v>1-12</v>
      </c>
      <c r="F7" s="30" t="str">
        <f t="shared" si="2"/>
        <v>1-12</v>
      </c>
      <c r="G7" s="30" t="str">
        <f t="shared" si="3"/>
        <v>1-12</v>
      </c>
      <c r="H7" s="30" t="str">
        <f t="shared" si="4"/>
        <v>1-12</v>
      </c>
      <c r="I7" s="30" t="str">
        <f t="shared" si="5"/>
        <v>1-12</v>
      </c>
      <c r="J7" s="30" t="str">
        <f t="shared" si="6"/>
        <v>12-16</v>
      </c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ht="14.25" customHeight="1">
      <c r="A8" s="51" t="s">
        <v>81</v>
      </c>
      <c r="B8" s="48" t="s">
        <v>1375</v>
      </c>
      <c r="C8" s="53" t="s">
        <v>1383</v>
      </c>
      <c r="D8" s="49" t="str">
        <f>IFERROR(__xludf.DUMMYFUNCTION("JOIN("","",FILTER(Disciplinas!A:A, regexmatch(Disciplinas!D:D, A8)))"),"RV.ADM05,RV.ADM06,RV.ADM07,RV.ADM08,RV.ADM405,RV.CON817,RV.EXA810")</f>
        <v>RV.ADM05,RV.ADM06,RV.ADM07,RV.ADM08,RV.ADM405,RV.CON817,RV.EXA810</v>
      </c>
      <c r="E8" s="30" t="str">
        <f t="shared" si="1"/>
        <v>1-12</v>
      </c>
      <c r="F8" s="30" t="str">
        <f t="shared" si="2"/>
        <v>1-12</v>
      </c>
      <c r="G8" s="30" t="str">
        <f t="shared" si="3"/>
        <v>1-12</v>
      </c>
      <c r="H8" s="30" t="str">
        <f t="shared" si="4"/>
        <v>1-12</v>
      </c>
      <c r="I8" s="30" t="str">
        <f t="shared" si="5"/>
        <v>1-12</v>
      </c>
      <c r="J8" s="30" t="str">
        <f t="shared" si="6"/>
        <v>12-16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</row>
    <row r="9" ht="14.25" customHeight="1">
      <c r="A9" s="51" t="s">
        <v>82</v>
      </c>
      <c r="B9" s="48" t="s">
        <v>1375</v>
      </c>
      <c r="C9" s="53" t="s">
        <v>1383</v>
      </c>
      <c r="D9" s="49" t="str">
        <f>IFERROR(__xludf.DUMMYFUNCTION("JOIN("","",FILTER(Disciplinas!A:A, regexmatch(Disciplinas!D:D, A9)))"),"RV.ADM09,RV.ADM10,RV.ADM11,RV.ADM413,RV.ADM811,TADMRV33")</f>
        <v>RV.ADM09,RV.ADM10,RV.ADM11,RV.ADM413,RV.ADM811,TADMRV33</v>
      </c>
      <c r="E9" s="30" t="str">
        <f t="shared" si="1"/>
        <v>1-12</v>
      </c>
      <c r="F9" s="30" t="str">
        <f t="shared" si="2"/>
        <v>1-12</v>
      </c>
      <c r="G9" s="30" t="str">
        <f t="shared" si="3"/>
        <v>1-12</v>
      </c>
      <c r="H9" s="30" t="str">
        <f t="shared" si="4"/>
        <v>1-12</v>
      </c>
      <c r="I9" s="30" t="str">
        <f t="shared" si="5"/>
        <v>1-12</v>
      </c>
      <c r="J9" s="30" t="str">
        <f t="shared" si="6"/>
        <v>12-16</v>
      </c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ht="14.25" customHeight="1">
      <c r="A10" s="51" t="s">
        <v>84</v>
      </c>
      <c r="B10" s="54" t="s">
        <v>1356</v>
      </c>
      <c r="C10" s="53" t="s">
        <v>1383</v>
      </c>
      <c r="D10" s="49" t="str">
        <f>IFERROR(__xludf.DUMMYFUNCTION("JOIN("","",FILTER(Disciplinas!A:A, regexmatch(Disciplinas!D:D, A10)))"),"RV.ADM401,RV.PRO006,RV.PRO007,RV.PRO009,RV.PRO010,RV.PRO011,RV.PRO012")</f>
        <v>RV.ADM401,RV.PRO006,RV.PRO007,RV.PRO009,RV.PRO010,RV.PRO011,RV.PRO012</v>
      </c>
      <c r="E10" s="30" t="str">
        <f t="shared" si="1"/>
        <v>1-12</v>
      </c>
      <c r="F10" s="30" t="str">
        <f t="shared" si="2"/>
        <v>1-12</v>
      </c>
      <c r="G10" s="30" t="str">
        <f t="shared" si="3"/>
        <v>1-12</v>
      </c>
      <c r="H10" s="30" t="str">
        <f t="shared" si="4"/>
        <v>1-12</v>
      </c>
      <c r="I10" s="30" t="str">
        <f t="shared" si="5"/>
        <v>1-12</v>
      </c>
      <c r="J10" s="30" t="str">
        <f t="shared" si="6"/>
        <v>12-16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</row>
    <row r="11" ht="14.25" customHeight="1">
      <c r="A11" s="52" t="s">
        <v>100</v>
      </c>
      <c r="B11" s="54" t="s">
        <v>1356</v>
      </c>
      <c r="C11" s="53" t="s">
        <v>1383</v>
      </c>
      <c r="D11" s="49" t="str">
        <f>IFERROR(__xludf.DUMMYFUNCTION("JOIN("","",FILTER(Disciplinas!A:A, regexmatch(Disciplinas!D:D, A11)))"),"RV.ADM03,RV.PRO013,RV.PRO014,RV.PRO015,RV.PRO016,RV.PRO018")</f>
        <v>RV.ADM03,RV.PRO013,RV.PRO014,RV.PRO015,RV.PRO016,RV.PRO018</v>
      </c>
      <c r="E11" s="30" t="str">
        <f t="shared" si="1"/>
        <v>1-12</v>
      </c>
      <c r="F11" s="30" t="str">
        <f t="shared" si="2"/>
        <v>1-12</v>
      </c>
      <c r="G11" s="30" t="str">
        <f t="shared" si="3"/>
        <v>1-12</v>
      </c>
      <c r="H11" s="30" t="str">
        <f t="shared" si="4"/>
        <v>1-12</v>
      </c>
      <c r="I11" s="30" t="str">
        <f t="shared" si="5"/>
        <v>1-12</v>
      </c>
      <c r="J11" s="30" t="str">
        <f t="shared" si="6"/>
        <v>12-16</v>
      </c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</row>
    <row r="12" ht="14.25" customHeight="1">
      <c r="A12" s="55" t="s">
        <v>116</v>
      </c>
      <c r="B12" s="54" t="s">
        <v>1356</v>
      </c>
      <c r="C12" s="53" t="s">
        <v>1383</v>
      </c>
      <c r="D12" s="49" t="str">
        <f>IFERROR(__xludf.DUMMYFUNCTION("JOIN("","",FILTER(Disciplinas!A:A, regexmatch(Disciplinas!D:D, A12)))"),"RV.PRO019,RV.PRO023,RV.PRO024,RV.PRO025,RV.PRO026,RV.PRO027,RV.PRO028,RV.PRO036")</f>
        <v>RV.PRO019,RV.PRO023,RV.PRO024,RV.PRO025,RV.PRO026,RV.PRO027,RV.PRO028,RV.PRO036</v>
      </c>
      <c r="E12" s="30" t="str">
        <f t="shared" si="1"/>
        <v>1-12</v>
      </c>
      <c r="F12" s="30" t="str">
        <f t="shared" si="2"/>
        <v>1-12</v>
      </c>
      <c r="G12" s="30" t="str">
        <f t="shared" si="3"/>
        <v>1-12</v>
      </c>
      <c r="H12" s="30" t="str">
        <f t="shared" si="4"/>
        <v>1-12</v>
      </c>
      <c r="I12" s="30" t="str">
        <f t="shared" si="5"/>
        <v>1-12</v>
      </c>
      <c r="J12" s="30" t="str">
        <f t="shared" si="6"/>
        <v>12-16</v>
      </c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</row>
    <row r="13" ht="14.25" customHeight="1">
      <c r="A13" s="52" t="s">
        <v>133</v>
      </c>
      <c r="B13" s="54" t="s">
        <v>1356</v>
      </c>
      <c r="C13" s="53" t="s">
        <v>1383</v>
      </c>
      <c r="D13" s="49" t="str">
        <f>IFERROR(__xludf.DUMMYFUNCTION("JOIN("","",FILTER(Disciplinas!A:A, regexmatch(Disciplinas!D:D, A13)))"),"RV.ADM402,RV.ADM406,RV.ADM408,RV.CON816,RV.PRO14,RV.PRO70,RV.PRO80,RV.PRO92")</f>
        <v>RV.ADM402,RV.ADM406,RV.ADM408,RV.CON816,RV.PRO14,RV.PRO70,RV.PRO80,RV.PRO92</v>
      </c>
      <c r="E13" s="30" t="str">
        <f t="shared" si="1"/>
        <v>1-12</v>
      </c>
      <c r="F13" s="30" t="str">
        <f t="shared" si="2"/>
        <v>1-12</v>
      </c>
      <c r="G13" s="30" t="str">
        <f t="shared" si="3"/>
        <v>1-12</v>
      </c>
      <c r="H13" s="30" t="str">
        <f t="shared" si="4"/>
        <v>1-12</v>
      </c>
      <c r="I13" s="30" t="str">
        <f t="shared" si="5"/>
        <v>1-12</v>
      </c>
      <c r="J13" s="30" t="str">
        <f t="shared" si="6"/>
        <v>12-16</v>
      </c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4" ht="14.25" customHeight="1">
      <c r="A14" s="55" t="s">
        <v>146</v>
      </c>
      <c r="B14" s="54" t="s">
        <v>1356</v>
      </c>
      <c r="C14" s="53" t="s">
        <v>1383</v>
      </c>
      <c r="D14" s="49" t="str">
        <f>IFERROR(__xludf.DUMMYFUNCTION("JOIN("","",FILTER(Disciplinas!A:A, regexmatch(Disciplinas!D:D, A14)))"),"RV.ADM403,RV.ADM824,RV.CON816,RV.EXA809,RV.HUM818,RV.PRO71,RV.PRO81")</f>
        <v>RV.ADM403,RV.ADM824,RV.CON816,RV.EXA809,RV.HUM818,RV.PRO71,RV.PRO81</v>
      </c>
      <c r="E14" s="30" t="str">
        <f t="shared" si="1"/>
        <v>1-12</v>
      </c>
      <c r="F14" s="30" t="str">
        <f t="shared" si="2"/>
        <v>1-12</v>
      </c>
      <c r="G14" s="30" t="str">
        <f t="shared" si="3"/>
        <v>1-12</v>
      </c>
      <c r="H14" s="30" t="str">
        <f t="shared" si="4"/>
        <v>1-12</v>
      </c>
      <c r="I14" s="30" t="str">
        <f t="shared" si="5"/>
        <v>1-12</v>
      </c>
      <c r="J14" s="30" t="str">
        <f t="shared" si="6"/>
        <v>12-16</v>
      </c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</row>
    <row r="15" ht="14.25" customHeight="1">
      <c r="A15" s="55" t="s">
        <v>156</v>
      </c>
      <c r="B15" s="54" t="s">
        <v>1356</v>
      </c>
      <c r="C15" s="53" t="s">
        <v>1383</v>
      </c>
      <c r="D15" s="49" t="str">
        <f>IFERROR(__xludf.DUMMYFUNCTION("JOIN("","",FILTER(Disciplinas!A:A, regexmatch(Disciplinas!D:D, A15)))"),"RV.ADM405,RV.ADM407,RV.ADM810,RV.CON815,RV.HUM823,RV.PRO23,RV.PRO72")</f>
        <v>RV.ADM405,RV.ADM407,RV.ADM810,RV.CON815,RV.HUM823,RV.PRO23,RV.PRO72</v>
      </c>
      <c r="E15" s="30" t="str">
        <f t="shared" si="1"/>
        <v>1-12</v>
      </c>
      <c r="F15" s="30" t="str">
        <f t="shared" si="2"/>
        <v>1-12</v>
      </c>
      <c r="G15" s="30" t="str">
        <f t="shared" si="3"/>
        <v>1-12</v>
      </c>
      <c r="H15" s="30" t="str">
        <f t="shared" si="4"/>
        <v>1-12</v>
      </c>
      <c r="I15" s="30" t="str">
        <f t="shared" si="5"/>
        <v>1-12</v>
      </c>
      <c r="J15" s="30" t="str">
        <f t="shared" si="6"/>
        <v>12-16</v>
      </c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</row>
    <row r="16" ht="14.25" customHeight="1">
      <c r="A16" s="55" t="s">
        <v>170</v>
      </c>
      <c r="B16" s="54" t="s">
        <v>1324</v>
      </c>
      <c r="C16" s="53" t="s">
        <v>1383</v>
      </c>
      <c r="D16" s="49" t="str">
        <f>IFERROR(__xludf.DUMMYFUNCTION("JOIN("","",FILTER(Disciplinas!A:A, regexmatch(Disciplinas!D:D, A16)))"),"GRAD.ADM.ASI.07,GRAD.ADM.GP-I.08,GRAD.ADM.TGA-II.06,GRAD.EB.02,GRAD.MC.05")</f>
        <v>GRAD.ADM.ASI.07,GRAD.ADM.GP-I.08,GRAD.ADM.TGA-II.06,GRAD.EB.02,GRAD.MC.05</v>
      </c>
      <c r="E16" s="30" t="str">
        <f t="shared" si="1"/>
        <v>1-12</v>
      </c>
      <c r="F16" s="30" t="str">
        <f t="shared" si="2"/>
        <v>1-12</v>
      </c>
      <c r="G16" s="30" t="str">
        <f t="shared" si="3"/>
        <v>1-12</v>
      </c>
      <c r="H16" s="30" t="str">
        <f t="shared" si="4"/>
        <v>1-12</v>
      </c>
      <c r="I16" s="30" t="str">
        <f t="shared" si="5"/>
        <v>1-12</v>
      </c>
      <c r="J16" s="30" t="str">
        <f t="shared" si="6"/>
        <v>12-16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  <row r="17" ht="14.25" customHeight="1">
      <c r="A17" s="55" t="s">
        <v>183</v>
      </c>
      <c r="B17" s="56" t="s">
        <v>1329</v>
      </c>
      <c r="C17" s="53" t="s">
        <v>1383</v>
      </c>
      <c r="D17" s="49" t="str">
        <f>IFERROR(__xludf.DUMMYFUNCTION("JOIN("","",FILTER(Disciplinas!A:A, regexmatch(Disciplinas!D:D, A17)))"),"RV.AGN219,RV.AGN223,RV.AGN224,RV.AGN226,RV.HUM215,RV.TCC212,RV.TCC213")</f>
        <v>RV.AGN219,RV.AGN223,RV.AGN224,RV.AGN226,RV.HUM215,RV.TCC212,RV.TCC213</v>
      </c>
      <c r="E17" s="30" t="str">
        <f t="shared" si="1"/>
        <v>1-12</v>
      </c>
      <c r="F17" s="30" t="str">
        <f t="shared" si="2"/>
        <v>1-12</v>
      </c>
      <c r="G17" s="30" t="str">
        <f t="shared" si="3"/>
        <v>1-12</v>
      </c>
      <c r="H17" s="30" t="str">
        <f t="shared" si="4"/>
        <v>1-12</v>
      </c>
      <c r="I17" s="30" t="str">
        <f t="shared" si="5"/>
        <v>1-12</v>
      </c>
      <c r="J17" s="30" t="str">
        <f t="shared" si="6"/>
        <v>12-16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</row>
    <row r="18" ht="14.25" customHeight="1">
      <c r="A18" s="55" t="s">
        <v>201</v>
      </c>
      <c r="B18" s="56" t="s">
        <v>1359</v>
      </c>
      <c r="C18" s="57" t="s">
        <v>1385</v>
      </c>
      <c r="D18" s="49" t="str">
        <f>IFERROR(__xludf.DUMMYFUNCTION("JOIN("","",FILTER(Disciplinas!A:A, regexmatch(Disciplinas!D:D, A18)))"),"RV.EXA224,RV.TAG003,RV.TAG004,RV.TAG005,RV.TAG503")</f>
        <v>RV.EXA224,RV.TAG003,RV.TAG004,RV.TAG005,RV.TAG503</v>
      </c>
      <c r="E18" s="30" t="str">
        <f t="shared" si="1"/>
        <v>7-16</v>
      </c>
      <c r="F18" s="30" t="str">
        <f t="shared" si="2"/>
        <v>7-16</v>
      </c>
      <c r="G18" s="30" t="str">
        <f t="shared" si="3"/>
        <v>7-16</v>
      </c>
      <c r="H18" s="30" t="str">
        <f t="shared" si="4"/>
        <v>7-16</v>
      </c>
      <c r="I18" s="30" t="str">
        <f t="shared" si="5"/>
        <v>7-16</v>
      </c>
      <c r="J18" s="30" t="str">
        <f t="shared" si="6"/>
        <v>1-16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</row>
    <row r="19" ht="14.25" customHeight="1">
      <c r="A19" s="55" t="s">
        <v>216</v>
      </c>
      <c r="B19" s="56" t="s">
        <v>1359</v>
      </c>
      <c r="C19" s="57" t="s">
        <v>1385</v>
      </c>
      <c r="D19" s="49" t="str">
        <f>IFERROR(__xludf.DUMMYFUNCTION("JOIN("","",FILTER(Disciplinas!A:A, regexmatch(Disciplinas!D:D, A19)))"),"RAGROP-RV.1,RAGROP-RV.6,RV.TAG006,RV.TAG007,RV.TAG008")</f>
        <v>RAGROP-RV.1,RAGROP-RV.6,RV.TAG006,RV.TAG007,RV.TAG008</v>
      </c>
      <c r="E19" s="30" t="str">
        <f t="shared" si="1"/>
        <v>7-16</v>
      </c>
      <c r="F19" s="30" t="str">
        <f t="shared" si="2"/>
        <v>7-16</v>
      </c>
      <c r="G19" s="30" t="str">
        <f t="shared" si="3"/>
        <v>7-16</v>
      </c>
      <c r="H19" s="30" t="str">
        <f t="shared" si="4"/>
        <v>7-16</v>
      </c>
      <c r="I19" s="30" t="str">
        <f t="shared" si="5"/>
        <v>7-16</v>
      </c>
      <c r="J19" s="30" t="str">
        <f t="shared" si="6"/>
        <v>1-16</v>
      </c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</row>
    <row r="20" ht="14.25" customHeight="1">
      <c r="A20" s="55" t="s">
        <v>231</v>
      </c>
      <c r="B20" s="56" t="s">
        <v>1359</v>
      </c>
      <c r="C20" s="57" t="s">
        <v>1385</v>
      </c>
      <c r="D20" s="49" t="str">
        <f>IFERROR(__xludf.DUMMYFUNCTION("JOIN("","",FILTER(Disciplinas!A:A, regexmatch(Disciplinas!D:D, A20)))"),"RV.TAG001,RV.TAG002,RV.TAG010,RV.TAG011,RV.TAG012,RV.TAG506")</f>
        <v>RV.TAG001,RV.TAG002,RV.TAG010,RV.TAG011,RV.TAG012,RV.TAG506</v>
      </c>
      <c r="E20" s="30" t="str">
        <f t="shared" si="1"/>
        <v>7-16</v>
      </c>
      <c r="F20" s="30" t="str">
        <f t="shared" si="2"/>
        <v>7-16</v>
      </c>
      <c r="G20" s="30" t="str">
        <f t="shared" si="3"/>
        <v>7-16</v>
      </c>
      <c r="H20" s="30" t="str">
        <f t="shared" si="4"/>
        <v>7-16</v>
      </c>
      <c r="I20" s="30" t="str">
        <f t="shared" si="5"/>
        <v>7-16</v>
      </c>
      <c r="J20" s="30" t="str">
        <f t="shared" si="6"/>
        <v>1-16</v>
      </c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</row>
    <row r="21" ht="14.25" customHeight="1">
      <c r="A21" s="55" t="s">
        <v>250</v>
      </c>
      <c r="B21" s="56" t="s">
        <v>1359</v>
      </c>
      <c r="C21" s="57" t="s">
        <v>1385</v>
      </c>
      <c r="D21" s="49" t="str">
        <f>IFERROR(__xludf.DUMMYFUNCTION("JOIN("","",FILTER(Disciplinas!A:A, regexmatch(Disciplinas!D:D, A21)))"),"RAGROP-RV.4,RV.TAG013,RV.TAG014,RV.TAG015,RV.TAG517")</f>
        <v>RAGROP-RV.4,RV.TAG013,RV.TAG014,RV.TAG015,RV.TAG517</v>
      </c>
      <c r="E21" s="30" t="str">
        <f t="shared" si="1"/>
        <v>7-16</v>
      </c>
      <c r="F21" s="30" t="str">
        <f t="shared" si="2"/>
        <v>7-16</v>
      </c>
      <c r="G21" s="30" t="str">
        <f t="shared" si="3"/>
        <v>7-16</v>
      </c>
      <c r="H21" s="30" t="str">
        <f t="shared" si="4"/>
        <v>7-16</v>
      </c>
      <c r="I21" s="30" t="str">
        <f t="shared" si="5"/>
        <v>7-16</v>
      </c>
      <c r="J21" s="30" t="str">
        <f t="shared" si="6"/>
        <v>1-16</v>
      </c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</row>
    <row r="22" ht="14.25" customHeight="1">
      <c r="A22" s="55" t="s">
        <v>262</v>
      </c>
      <c r="B22" s="56" t="s">
        <v>1359</v>
      </c>
      <c r="C22" s="57" t="s">
        <v>1384</v>
      </c>
      <c r="D22" s="49" t="str">
        <f>IFERROR(__xludf.DUMMYFUNCTION("JOIN("","",FILTER(Disciplinas!A:A, regexmatch(Disciplinas!D:D, A22)))"),"RV.EXA224,RV.TAG003,RV.TAG004,RV.TAG005,RV.TAG503")</f>
        <v>RV.EXA224,RV.TAG003,RV.TAG004,RV.TAG005,RV.TAG503</v>
      </c>
      <c r="E22" s="30" t="str">
        <f t="shared" si="1"/>
        <v>1-6,13-16</v>
      </c>
      <c r="F22" s="30" t="str">
        <f t="shared" si="2"/>
        <v>1-6,13-16</v>
      </c>
      <c r="G22" s="30" t="str">
        <f t="shared" si="3"/>
        <v>1-6,13-16</v>
      </c>
      <c r="H22" s="30" t="str">
        <f t="shared" si="4"/>
        <v>1-6,13-16</v>
      </c>
      <c r="I22" s="30" t="str">
        <f t="shared" si="5"/>
        <v>1-6,13-16</v>
      </c>
      <c r="J22" s="30" t="str">
        <f t="shared" si="6"/>
        <v>1-16</v>
      </c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</row>
    <row r="23" ht="14.25" customHeight="1">
      <c r="A23" s="55" t="s">
        <v>263</v>
      </c>
      <c r="B23" s="56" t="s">
        <v>1359</v>
      </c>
      <c r="C23" s="57" t="s">
        <v>1384</v>
      </c>
      <c r="D23" s="49" t="str">
        <f>IFERROR(__xludf.DUMMYFUNCTION("JOIN("","",FILTER(Disciplinas!A:A, regexmatch(Disciplinas!D:D, A23)))"),"RAGROP-RV.1,RAGROP-RV.6,RV.TAG006,RV.TAG007,RV.TAG008")</f>
        <v>RAGROP-RV.1,RAGROP-RV.6,RV.TAG006,RV.TAG007,RV.TAG008</v>
      </c>
      <c r="E23" s="30" t="str">
        <f t="shared" si="1"/>
        <v>1-6,13-16</v>
      </c>
      <c r="F23" s="30" t="str">
        <f t="shared" si="2"/>
        <v>1-6,13-16</v>
      </c>
      <c r="G23" s="30" t="str">
        <f t="shared" si="3"/>
        <v>1-6,13-16</v>
      </c>
      <c r="H23" s="30" t="str">
        <f t="shared" si="4"/>
        <v>1-6,13-16</v>
      </c>
      <c r="I23" s="30" t="str">
        <f t="shared" si="5"/>
        <v>1-6,13-16</v>
      </c>
      <c r="J23" s="30" t="str">
        <f t="shared" si="6"/>
        <v>1-16</v>
      </c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</row>
    <row r="24" ht="14.25" customHeight="1">
      <c r="A24" s="55" t="s">
        <v>265</v>
      </c>
      <c r="B24" s="56" t="s">
        <v>1359</v>
      </c>
      <c r="C24" s="57" t="s">
        <v>1384</v>
      </c>
      <c r="D24" s="49" t="str">
        <f>IFERROR(__xludf.DUMMYFUNCTION("JOIN("","",FILTER(Disciplinas!A:A, regexmatch(Disciplinas!D:D, A24)))"),"RV.TAG001,RV.TAG002,RV.TAG010,RV.TAG011,RV.TAG012,RV.TAG506")</f>
        <v>RV.TAG001,RV.TAG002,RV.TAG010,RV.TAG011,RV.TAG012,RV.TAG506</v>
      </c>
      <c r="E24" s="30" t="str">
        <f t="shared" si="1"/>
        <v>1-6,13-16</v>
      </c>
      <c r="F24" s="30" t="str">
        <f t="shared" si="2"/>
        <v>1-6,13-16</v>
      </c>
      <c r="G24" s="30" t="str">
        <f t="shared" si="3"/>
        <v>1-6,13-16</v>
      </c>
      <c r="H24" s="30" t="str">
        <f t="shared" si="4"/>
        <v>1-6,13-16</v>
      </c>
      <c r="I24" s="30" t="str">
        <f t="shared" si="5"/>
        <v>1-6,13-16</v>
      </c>
      <c r="J24" s="30" t="str">
        <f t="shared" si="6"/>
        <v>1-16</v>
      </c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</row>
    <row r="25" ht="14.25" customHeight="1">
      <c r="A25" s="55" t="s">
        <v>267</v>
      </c>
      <c r="B25" s="56" t="s">
        <v>1359</v>
      </c>
      <c r="C25" s="57" t="s">
        <v>1384</v>
      </c>
      <c r="D25" s="49" t="str">
        <f>IFERROR(__xludf.DUMMYFUNCTION("JOIN("","",FILTER(Disciplinas!A:A, regexmatch(Disciplinas!D:D, A25)))"),"RAGROP-RV.4,RV.TAG013,RV.TAG014,RV.TAG015,RV.TAG517")</f>
        <v>RAGROP-RV.4,RV.TAG013,RV.TAG014,RV.TAG015,RV.TAG517</v>
      </c>
      <c r="E25" s="30" t="str">
        <f t="shared" si="1"/>
        <v>1-6,13-16</v>
      </c>
      <c r="F25" s="30" t="str">
        <f t="shared" si="2"/>
        <v>1-6,13-16</v>
      </c>
      <c r="G25" s="30" t="str">
        <f t="shared" si="3"/>
        <v>1-6,13-16</v>
      </c>
      <c r="H25" s="30" t="str">
        <f t="shared" si="4"/>
        <v>1-6,13-16</v>
      </c>
      <c r="I25" s="30" t="str">
        <f t="shared" si="5"/>
        <v>1-6,13-16</v>
      </c>
      <c r="J25" s="30" t="str">
        <f t="shared" si="6"/>
        <v>1-16</v>
      </c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</row>
    <row r="26" ht="14.25" customHeight="1">
      <c r="A26" s="55" t="s">
        <v>271</v>
      </c>
      <c r="B26" s="56" t="s">
        <v>1333</v>
      </c>
      <c r="C26" s="57" t="s">
        <v>1385</v>
      </c>
      <c r="D26" s="49" t="str">
        <f>IFERROR(__xludf.DUMMYFUNCTION("JOIN("","",FILTER(Disciplinas!A:A, regexmatch(Disciplinas!D:D, A26)))"),"GRAD.EB.01,GRAD.F.01,GRAD.GMS.01,GRAD.M.01,GRAD.OSV.01,GRAD.QO.01,GRAD.Z.01")</f>
        <v>GRAD.EB.01,GRAD.F.01,GRAD.GMS.01,GRAD.M.01,GRAD.OSV.01,GRAD.QO.01,GRAD.Z.01</v>
      </c>
      <c r="E26" s="30" t="str">
        <f t="shared" si="1"/>
        <v>7-16</v>
      </c>
      <c r="F26" s="30" t="str">
        <f t="shared" si="2"/>
        <v>7-16</v>
      </c>
      <c r="G26" s="30" t="str">
        <f t="shared" si="3"/>
        <v>7-16</v>
      </c>
      <c r="H26" s="30" t="str">
        <f t="shared" si="4"/>
        <v>7-16</v>
      </c>
      <c r="I26" s="30" t="str">
        <f t="shared" si="5"/>
        <v>7-16</v>
      </c>
      <c r="J26" s="30" t="str">
        <f t="shared" si="6"/>
        <v>1-16</v>
      </c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</row>
    <row r="27" ht="14.25" customHeight="1">
      <c r="A27" s="55" t="s">
        <v>292</v>
      </c>
      <c r="B27" s="56" t="s">
        <v>1333</v>
      </c>
      <c r="C27" s="57" t="s">
        <v>1384</v>
      </c>
      <c r="D27" s="49" t="str">
        <f>IFERROR(__xludf.DUMMYFUNCTION("JOIN("","",FILTER(Disciplinas!A:A, regexmatch(Disciplinas!D:D, A27)))"),"GRAD.A.25,GRAD.BB.01,GRAD.CLS.01,GRAD.EA.31,GRAD.FS.02,GRAD.G.02,GRAD.MMA.01,GRAD.T.02")</f>
        <v>GRAD.A.25,GRAD.BB.01,GRAD.CLS.01,GRAD.EA.31,GRAD.FS.02,GRAD.G.02,GRAD.MMA.01,GRAD.T.02</v>
      </c>
      <c r="E27" s="30" t="str">
        <f t="shared" si="1"/>
        <v>1-6,13-16</v>
      </c>
      <c r="F27" s="30" t="str">
        <f t="shared" si="2"/>
        <v>1-6,13-16</v>
      </c>
      <c r="G27" s="30" t="str">
        <f t="shared" si="3"/>
        <v>1-6,13-16</v>
      </c>
      <c r="H27" s="30" t="str">
        <f t="shared" si="4"/>
        <v>1-6,13-16</v>
      </c>
      <c r="I27" s="30" t="str">
        <f t="shared" si="5"/>
        <v>1-6,13-16</v>
      </c>
      <c r="J27" s="30" t="str">
        <f t="shared" si="6"/>
        <v>1-16</v>
      </c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</row>
    <row r="28" ht="14.25" customHeight="1">
      <c r="A28" s="55" t="s">
        <v>313</v>
      </c>
      <c r="B28" s="56" t="s">
        <v>1333</v>
      </c>
      <c r="C28" s="57" t="s">
        <v>1385</v>
      </c>
      <c r="D28" s="49" t="str">
        <f>IFERROR(__xludf.DUMMYFUNCTION("JOIN("","",FILTER(Disciplinas!A:A, regexmatch(Disciplinas!D:D, A28)))"),"RV.AGR214,RV.AGR218,RV.AGR225,RV.AGR226,RV.AGR242,RV.ENG208,RV.ENG217,RV.ZOO226")</f>
        <v>RV.AGR214,RV.AGR218,RV.AGR225,RV.AGR226,RV.AGR242,RV.ENG208,RV.ENG217,RV.ZOO226</v>
      </c>
      <c r="E28" s="30" t="str">
        <f t="shared" si="1"/>
        <v>7-16</v>
      </c>
      <c r="F28" s="30" t="str">
        <f t="shared" si="2"/>
        <v>7-16</v>
      </c>
      <c r="G28" s="30" t="str">
        <f t="shared" si="3"/>
        <v>7-16</v>
      </c>
      <c r="H28" s="30" t="str">
        <f t="shared" si="4"/>
        <v>7-16</v>
      </c>
      <c r="I28" s="30" t="str">
        <f t="shared" si="5"/>
        <v>7-16</v>
      </c>
      <c r="J28" s="30" t="str">
        <f t="shared" si="6"/>
        <v>1-16</v>
      </c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</row>
    <row r="29" ht="14.25" customHeight="1">
      <c r="A29" s="55" t="s">
        <v>329</v>
      </c>
      <c r="B29" s="56" t="s">
        <v>1333</v>
      </c>
      <c r="C29" s="57" t="s">
        <v>1384</v>
      </c>
      <c r="D29" s="49" t="str">
        <f>IFERROR(__xludf.DUMMYFUNCTION("JOIN("","",FILTER(Disciplinas!A:A, regexmatch(Disciplinas!D:D, A29)))"),"RV.AGR215,RV.AGR238,RV.EAL231,RV.ENG230,RV.HUM218,RV.ZOO235")</f>
        <v>RV.AGR215,RV.AGR238,RV.EAL231,RV.ENG230,RV.HUM218,RV.ZOO235</v>
      </c>
      <c r="E29" s="30" t="str">
        <f t="shared" si="1"/>
        <v>1-6,13-16</v>
      </c>
      <c r="F29" s="30" t="str">
        <f t="shared" si="2"/>
        <v>1-6,13-16</v>
      </c>
      <c r="G29" s="30" t="str">
        <f t="shared" si="3"/>
        <v>1-6,13-16</v>
      </c>
      <c r="H29" s="30" t="str">
        <f t="shared" si="4"/>
        <v>1-6,13-16</v>
      </c>
      <c r="I29" s="30" t="str">
        <f t="shared" si="5"/>
        <v>1-6,13-16</v>
      </c>
      <c r="J29" s="30" t="str">
        <f t="shared" si="6"/>
        <v>1-16</v>
      </c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</row>
    <row r="30" ht="14.25" customHeight="1">
      <c r="A30" s="55" t="s">
        <v>343</v>
      </c>
      <c r="B30" s="56" t="s">
        <v>1333</v>
      </c>
      <c r="C30" s="57" t="s">
        <v>1386</v>
      </c>
      <c r="D30" s="49" t="str">
        <f>IFERROR(__xludf.DUMMYFUNCTION("JOIN("","",FILTER(Disciplinas!A:A, regexmatch(Disciplinas!D:D, A30)))"),"GRAD.AA.01,RV.AGR202,RV.AGR209,RV.AGR224,RV.AGR234,RV.BIO244,RV.GAM239")</f>
        <v>GRAD.AA.01,RV.AGR202,RV.AGR209,RV.AGR224,RV.AGR234,RV.BIO244,RV.GAM239</v>
      </c>
      <c r="E30" s="30" t="str">
        <f t="shared" si="1"/>
        <v>13-16</v>
      </c>
      <c r="F30" s="30" t="str">
        <f t="shared" si="2"/>
        <v>13-16</v>
      </c>
      <c r="G30" s="30" t="str">
        <f t="shared" si="3"/>
        <v>13-16</v>
      </c>
      <c r="H30" s="30" t="str">
        <f t="shared" si="4"/>
        <v>13-16</v>
      </c>
      <c r="I30" s="30" t="str">
        <f t="shared" si="5"/>
        <v>13-16</v>
      </c>
      <c r="J30" s="30" t="str">
        <f t="shared" si="6"/>
        <v>1-16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</row>
    <row r="31" ht="14.25" customHeight="1">
      <c r="A31" s="55" t="s">
        <v>360</v>
      </c>
      <c r="B31" s="56" t="s">
        <v>1333</v>
      </c>
      <c r="C31" s="57" t="s">
        <v>1386</v>
      </c>
      <c r="D31" s="49" t="str">
        <f>IFERROR(__xludf.DUMMYFUNCTION("JOIN("","",FILTER(Disciplinas!A:A, regexmatch(Disciplinas!D:D, A31)))"),"RV.ENG208")</f>
        <v>RV.ENG208</v>
      </c>
      <c r="E31" s="30" t="str">
        <f t="shared" si="1"/>
        <v>13-16</v>
      </c>
      <c r="F31" s="30" t="str">
        <f t="shared" si="2"/>
        <v>13-16</v>
      </c>
      <c r="G31" s="30" t="str">
        <f t="shared" si="3"/>
        <v>13-16</v>
      </c>
      <c r="H31" s="30" t="str">
        <f t="shared" si="4"/>
        <v>13-16</v>
      </c>
      <c r="I31" s="30" t="str">
        <f t="shared" si="5"/>
        <v>13-16</v>
      </c>
      <c r="J31" s="30" t="str">
        <f t="shared" si="6"/>
        <v>1-16</v>
      </c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</row>
    <row r="32" ht="14.25" customHeight="1">
      <c r="A32" s="55" t="s">
        <v>362</v>
      </c>
      <c r="B32" s="56" t="s">
        <v>1361</v>
      </c>
      <c r="C32" s="57" t="s">
        <v>1383</v>
      </c>
      <c r="D32" s="49" t="str">
        <f>IFERROR(__xludf.DUMMYFUNCTION("JOIN("","",FILTER(Disciplinas!A:A, regexmatch(Disciplinas!D:D, A32)))"),"RV.EXA722,RV.QAP428,RV.TAL06,RV.TAL07,RV.TAL08,RV.TAL09,RV.TAL81")</f>
        <v>RV.EXA722,RV.QAP428,RV.TAL06,RV.TAL07,RV.TAL08,RV.TAL09,RV.TAL81</v>
      </c>
      <c r="E32" s="30" t="str">
        <f t="shared" si="1"/>
        <v>1-12</v>
      </c>
      <c r="F32" s="30" t="str">
        <f t="shared" si="2"/>
        <v>1-12</v>
      </c>
      <c r="G32" s="30" t="str">
        <f t="shared" si="3"/>
        <v>1-12</v>
      </c>
      <c r="H32" s="30" t="str">
        <f t="shared" si="4"/>
        <v>1-12</v>
      </c>
      <c r="I32" s="30" t="str">
        <f t="shared" si="5"/>
        <v>1-12</v>
      </c>
      <c r="J32" s="30" t="str">
        <f t="shared" si="6"/>
        <v>12-16</v>
      </c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</row>
    <row r="33" ht="14.25" customHeight="1">
      <c r="A33" s="55" t="s">
        <v>379</v>
      </c>
      <c r="B33" s="56" t="s">
        <v>1361</v>
      </c>
      <c r="C33" s="57" t="s">
        <v>1383</v>
      </c>
      <c r="D33" s="49" t="str">
        <f>IFERROR(__xludf.DUMMYFUNCTION("JOIN("","",FILTER(Disciplinas!A:A, regexmatch(Disciplinas!D:D, A33)))"),"RV.EXA810,RV.TAL11,RV.TAL12,RV.TAL712,RVTAL.82")</f>
        <v>RV.EXA810,RV.TAL11,RV.TAL12,RV.TAL712,RVTAL.82</v>
      </c>
      <c r="E33" s="30" t="str">
        <f t="shared" si="1"/>
        <v>1-12</v>
      </c>
      <c r="F33" s="30" t="str">
        <f t="shared" si="2"/>
        <v>1-12</v>
      </c>
      <c r="G33" s="30" t="str">
        <f t="shared" si="3"/>
        <v>1-12</v>
      </c>
      <c r="H33" s="30" t="str">
        <f t="shared" si="4"/>
        <v>1-12</v>
      </c>
      <c r="I33" s="30" t="str">
        <f t="shared" si="5"/>
        <v>1-12</v>
      </c>
      <c r="J33" s="30" t="str">
        <f t="shared" si="6"/>
        <v>12-16</v>
      </c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</row>
    <row r="34" ht="14.25" customHeight="1">
      <c r="A34" s="55" t="s">
        <v>393</v>
      </c>
      <c r="B34" s="56" t="s">
        <v>1361</v>
      </c>
      <c r="C34" s="57" t="s">
        <v>1383</v>
      </c>
      <c r="D34" s="49" t="str">
        <f>IFERROR(__xludf.DUMMYFUNCTION("JOIN("","",FILTER(Disciplinas!A:A, regexmatch(Disciplinas!D:D, A34)))"),"RV.TAL02,RV.TAL03,RV.TAL727,RV.TAL85,RV.TAL87")</f>
        <v>RV.TAL02,RV.TAL03,RV.TAL727,RV.TAL85,RV.TAL87</v>
      </c>
      <c r="E34" s="30" t="str">
        <f t="shared" si="1"/>
        <v>1-12</v>
      </c>
      <c r="F34" s="30" t="str">
        <f t="shared" si="2"/>
        <v>1-12</v>
      </c>
      <c r="G34" s="30" t="str">
        <f t="shared" si="3"/>
        <v>1-12</v>
      </c>
      <c r="H34" s="30" t="str">
        <f t="shared" si="4"/>
        <v>1-12</v>
      </c>
      <c r="I34" s="30" t="str">
        <f t="shared" si="5"/>
        <v>1-12</v>
      </c>
      <c r="J34" s="30" t="str">
        <f t="shared" si="6"/>
        <v>12-16</v>
      </c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</row>
    <row r="35" ht="14.25" customHeight="1">
      <c r="A35" s="55" t="s">
        <v>405</v>
      </c>
      <c r="B35" s="56" t="s">
        <v>1361</v>
      </c>
      <c r="C35" s="57" t="s">
        <v>1383</v>
      </c>
      <c r="D35" s="49" t="str">
        <f>IFERROR(__xludf.DUMMYFUNCTION("JOIN("","",FILTER(Disciplinas!A:A, regexmatch(Disciplinas!D:D, A35)))"),"RV.TAL13,RV.TAL14,RV.TAL15,RV.TAL16,RV.TAL17,RV.TAL717")</f>
        <v>RV.TAL13,RV.TAL14,RV.TAL15,RV.TAL16,RV.TAL17,RV.TAL717</v>
      </c>
      <c r="E35" s="30" t="str">
        <f t="shared" si="1"/>
        <v>1-12</v>
      </c>
      <c r="F35" s="30" t="str">
        <f t="shared" si="2"/>
        <v>1-12</v>
      </c>
      <c r="G35" s="30" t="str">
        <f t="shared" si="3"/>
        <v>1-12</v>
      </c>
      <c r="H35" s="30" t="str">
        <f t="shared" si="4"/>
        <v>1-12</v>
      </c>
      <c r="I35" s="30" t="str">
        <f t="shared" si="5"/>
        <v>1-12</v>
      </c>
      <c r="J35" s="30" t="str">
        <f t="shared" si="6"/>
        <v>12-16</v>
      </c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</row>
    <row r="36" ht="14.25" customHeight="1">
      <c r="A36" s="55" t="s">
        <v>419</v>
      </c>
      <c r="B36" s="56" t="s">
        <v>1344</v>
      </c>
      <c r="C36" s="57" t="s">
        <v>1385</v>
      </c>
      <c r="D36" s="49" t="str">
        <f>IFERROR(__xludf.DUMMYFUNCTION("JOIN("","",FILTER(Disciplinas!A:A, regexmatch(Disciplinas!D:D, A36)))"),"GRAD.CDI.04,GRAD.DT.02,GRAD.EB.02,GRAD.FOTB.01,GRAD.QA.02,GRAD.QO.02")</f>
        <v>GRAD.CDI.04,GRAD.DT.02,GRAD.EB.02,GRAD.FOTB.01,GRAD.QA.02,GRAD.QO.02</v>
      </c>
      <c r="E36" s="30" t="str">
        <f t="shared" si="1"/>
        <v>7-16</v>
      </c>
      <c r="F36" s="30" t="str">
        <f t="shared" si="2"/>
        <v>7-16</v>
      </c>
      <c r="G36" s="30" t="str">
        <f t="shared" si="3"/>
        <v>7-16</v>
      </c>
      <c r="H36" s="30" t="str">
        <f t="shared" si="4"/>
        <v>7-16</v>
      </c>
      <c r="I36" s="30" t="str">
        <f t="shared" si="5"/>
        <v>7-16</v>
      </c>
      <c r="J36" s="30" t="str">
        <f t="shared" si="6"/>
        <v>1-16</v>
      </c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</row>
    <row r="37" ht="14.25" customHeight="1">
      <c r="A37" s="55" t="s">
        <v>433</v>
      </c>
      <c r="B37" s="56" t="s">
        <v>1344</v>
      </c>
      <c r="C37" s="57" t="s">
        <v>1384</v>
      </c>
      <c r="D37" s="49" t="str">
        <f>IFERROR(__xludf.DUMMYFUNCTION("JOIN("","",FILTER(Disciplinas!A:A, regexmatch(Disciplinas!D:D, A37)))"),"GRAD.BA.01,GRAD.CN.01,GRAD.FQ.02,GRAD.FT.01,GRAD.MICROBIOL.01,GRAD.QA.03")</f>
        <v>GRAD.BA.01,GRAD.CN.01,GRAD.FQ.02,GRAD.FT.01,GRAD.MICROBIOL.01,GRAD.QA.03</v>
      </c>
      <c r="E37" s="30" t="str">
        <f t="shared" si="1"/>
        <v>1-6,13-16</v>
      </c>
      <c r="F37" s="30" t="str">
        <f t="shared" si="2"/>
        <v>1-6,13-16</v>
      </c>
      <c r="G37" s="30" t="str">
        <f t="shared" si="3"/>
        <v>1-6,13-16</v>
      </c>
      <c r="H37" s="30" t="str">
        <f t="shared" si="4"/>
        <v>1-6,13-16</v>
      </c>
      <c r="I37" s="30" t="str">
        <f t="shared" si="5"/>
        <v>1-6,13-16</v>
      </c>
      <c r="J37" s="30" t="str">
        <f t="shared" si="6"/>
        <v>1-16</v>
      </c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</row>
    <row r="38" ht="14.25" customHeight="1">
      <c r="A38" s="55" t="s">
        <v>448</v>
      </c>
      <c r="B38" s="56" t="s">
        <v>1344</v>
      </c>
      <c r="C38" s="57" t="s">
        <v>1385</v>
      </c>
      <c r="D38" s="49" t="str">
        <f>IFERROR(__xludf.DUMMYFUNCTION("JOIN("","",FILTER(Disciplinas!A:A, regexmatch(Disciplinas!D:D, A38)))"),"RV.EAL205,RV.EAL213,RV.EAL214,RV.ENG209,RV.ENG211,RV.INF205")</f>
        <v>RV.EAL205,RV.EAL213,RV.EAL214,RV.ENG209,RV.ENG211,RV.INF205</v>
      </c>
      <c r="E38" s="30" t="str">
        <f t="shared" si="1"/>
        <v>7-16</v>
      </c>
      <c r="F38" s="30" t="str">
        <f t="shared" si="2"/>
        <v>7-16</v>
      </c>
      <c r="G38" s="30" t="str">
        <f t="shared" si="3"/>
        <v>7-16</v>
      </c>
      <c r="H38" s="30" t="str">
        <f t="shared" si="4"/>
        <v>7-16</v>
      </c>
      <c r="I38" s="30" t="str">
        <f t="shared" si="5"/>
        <v>7-16</v>
      </c>
      <c r="J38" s="30" t="str">
        <f t="shared" si="6"/>
        <v>1-16</v>
      </c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</row>
    <row r="39" ht="14.25" customHeight="1">
      <c r="A39" s="55" t="s">
        <v>460</v>
      </c>
      <c r="B39" s="56" t="s">
        <v>1344</v>
      </c>
      <c r="C39" s="57" t="s">
        <v>1384</v>
      </c>
      <c r="D39" s="49" t="str">
        <f>IFERROR(__xludf.DUMMYFUNCTION("JOIN("","",FILTER(Disciplinas!A:A, regexmatch(Disciplinas!D:D, A39)))"),"RV.EAL218,RV.EAL219,RV.EAL221,RV.EAL222,RV.EAL230")</f>
        <v>RV.EAL218,RV.EAL219,RV.EAL221,RV.EAL222,RV.EAL230</v>
      </c>
      <c r="E39" s="30" t="str">
        <f t="shared" si="1"/>
        <v>1-6,13-16</v>
      </c>
      <c r="F39" s="30" t="str">
        <f t="shared" si="2"/>
        <v>1-6,13-16</v>
      </c>
      <c r="G39" s="30" t="str">
        <f t="shared" si="3"/>
        <v>1-6,13-16</v>
      </c>
      <c r="H39" s="30" t="str">
        <f t="shared" si="4"/>
        <v>1-6,13-16</v>
      </c>
      <c r="I39" s="30" t="str">
        <f t="shared" si="5"/>
        <v>1-6,13-16</v>
      </c>
      <c r="J39" s="30" t="str">
        <f t="shared" si="6"/>
        <v>1-16</v>
      </c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</row>
    <row r="40" ht="14.25" customHeight="1">
      <c r="A40" s="55" t="s">
        <v>472</v>
      </c>
      <c r="B40" s="56" t="s">
        <v>1344</v>
      </c>
      <c r="C40" s="57" t="s">
        <v>1386</v>
      </c>
      <c r="D40" s="49" t="str">
        <f>IFERROR(__xludf.DUMMYFUNCTION("JOIN("","",FILTER(Disciplinas!A:A, regexmatch(Disciplinas!D:D, A40)))"),"GRAD.GAAL.01")</f>
        <v>GRAD.GAAL.01</v>
      </c>
      <c r="E40" s="30" t="str">
        <f t="shared" si="1"/>
        <v>13-16</v>
      </c>
      <c r="F40" s="30" t="str">
        <f t="shared" si="2"/>
        <v>13-16</v>
      </c>
      <c r="G40" s="30" t="str">
        <f t="shared" si="3"/>
        <v>13-16</v>
      </c>
      <c r="H40" s="30" t="str">
        <f t="shared" si="4"/>
        <v>13-16</v>
      </c>
      <c r="I40" s="30" t="str">
        <f t="shared" si="5"/>
        <v>13-16</v>
      </c>
      <c r="J40" s="30" t="str">
        <f t="shared" si="6"/>
        <v>1-16</v>
      </c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</row>
    <row r="41" ht="14.25" customHeight="1">
      <c r="A41" s="55" t="s">
        <v>476</v>
      </c>
      <c r="B41" s="56" t="s">
        <v>1339</v>
      </c>
      <c r="C41" s="57" t="s">
        <v>1383</v>
      </c>
      <c r="D41" s="49" t="str">
        <f>IFERROR(__xludf.DUMMYFUNCTION("JOIN("","",FILTER(Disciplinas!A:A, regexmatch(Disciplinas!D:D, A41)))"),"GRAD.AV.03,GRAD.FSHE.01,GRAD.HISTOLOG.01,GRAD.QO.02,GRAD.ZI-I.01")</f>
        <v>GRAD.AV.03,GRAD.FSHE.01,GRAD.HISTOLOG.01,GRAD.QO.02,GRAD.ZI-I.01</v>
      </c>
      <c r="E41" s="30" t="str">
        <f t="shared" si="1"/>
        <v>1-12</v>
      </c>
      <c r="F41" s="30" t="str">
        <f t="shared" si="2"/>
        <v>1-12</v>
      </c>
      <c r="G41" s="30" t="str">
        <f t="shared" si="3"/>
        <v>1-12</v>
      </c>
      <c r="H41" s="30" t="str">
        <f t="shared" si="4"/>
        <v>1-12</v>
      </c>
      <c r="I41" s="30" t="str">
        <f t="shared" si="5"/>
        <v>1-12</v>
      </c>
      <c r="J41" s="30" t="str">
        <f t="shared" si="6"/>
        <v>12-16</v>
      </c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</row>
    <row r="42" ht="14.25" customHeight="1">
      <c r="A42" s="55" t="s">
        <v>489</v>
      </c>
      <c r="B42" s="56" t="s">
        <v>1339</v>
      </c>
      <c r="C42" s="57" t="s">
        <v>1383</v>
      </c>
      <c r="D42" s="49" t="str">
        <f>IFERROR(__xludf.DUMMYFUNCTION("JOIN("","",FILTER(Disciplinas!A:A, regexmatch(Disciplinas!D:D, A42)))"),"GRAD. ZV.01,GRAD.BABP.01,GRAD.DIDáT.01,GRAD.EG.03,GRAD.FV.05")</f>
        <v>GRAD. ZV.01,GRAD.BABP.01,GRAD.DIDáT.01,GRAD.EG.03,GRAD.FV.05</v>
      </c>
      <c r="E42" s="30" t="str">
        <f t="shared" si="1"/>
        <v>1-12</v>
      </c>
      <c r="F42" s="30" t="str">
        <f t="shared" si="2"/>
        <v>1-12</v>
      </c>
      <c r="G42" s="30" t="str">
        <f t="shared" si="3"/>
        <v>1-12</v>
      </c>
      <c r="H42" s="30" t="str">
        <f t="shared" si="4"/>
        <v>1-12</v>
      </c>
      <c r="I42" s="30" t="str">
        <f t="shared" si="5"/>
        <v>1-12</v>
      </c>
      <c r="J42" s="30" t="str">
        <f t="shared" si="6"/>
        <v>12-16</v>
      </c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</row>
    <row r="43" ht="14.25" customHeight="1">
      <c r="A43" s="55" t="s">
        <v>504</v>
      </c>
      <c r="B43" s="56" t="s">
        <v>1339</v>
      </c>
      <c r="C43" s="57" t="s">
        <v>1383</v>
      </c>
      <c r="D43" s="49" t="str">
        <f>IFERROR(__xludf.DUMMYFUNCTION("JOIN("","",FILTER(Disciplinas!A:A, regexmatch(Disciplinas!D:D, A43)))"),"RV.BIO352,RV.BIO353,RV.BIO354,RV.BIO355")</f>
        <v>RV.BIO352,RV.BIO353,RV.BIO354,RV.BIO355</v>
      </c>
      <c r="E43" s="30" t="str">
        <f t="shared" si="1"/>
        <v>1-12</v>
      </c>
      <c r="F43" s="30" t="str">
        <f t="shared" si="2"/>
        <v>1-12</v>
      </c>
      <c r="G43" s="30" t="str">
        <f t="shared" si="3"/>
        <v>1-12</v>
      </c>
      <c r="H43" s="30" t="str">
        <f t="shared" si="4"/>
        <v>1-12</v>
      </c>
      <c r="I43" s="30" t="str">
        <f t="shared" si="5"/>
        <v>1-12</v>
      </c>
      <c r="J43" s="30" t="str">
        <f t="shared" si="6"/>
        <v>12-16</v>
      </c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</row>
    <row r="44" ht="14.25" customHeight="1">
      <c r="A44" s="55" t="s">
        <v>515</v>
      </c>
      <c r="B44" s="56" t="s">
        <v>1339</v>
      </c>
      <c r="C44" s="57" t="s">
        <v>1383</v>
      </c>
      <c r="D44" s="49" t="str">
        <f>IFERROR(__xludf.DUMMYFUNCTION("JOIN("","",FILTER(Disciplinas!A:A, regexmatch(Disciplinas!D:D, A44)))"),"RV.BIO318,RV.BIO357,RV.EDU217,RV.GAM240")</f>
        <v>RV.BIO318,RV.BIO357,RV.EDU217,RV.GAM240</v>
      </c>
      <c r="E44" s="30" t="str">
        <f t="shared" si="1"/>
        <v>1-12</v>
      </c>
      <c r="F44" s="30" t="str">
        <f t="shared" si="2"/>
        <v>1-12</v>
      </c>
      <c r="G44" s="30" t="str">
        <f t="shared" si="3"/>
        <v>1-12</v>
      </c>
      <c r="H44" s="30" t="str">
        <f t="shared" si="4"/>
        <v>1-12</v>
      </c>
      <c r="I44" s="30" t="str">
        <f t="shared" si="5"/>
        <v>1-12</v>
      </c>
      <c r="J44" s="30" t="str">
        <f t="shared" si="6"/>
        <v>12-16</v>
      </c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</row>
    <row r="45" ht="14.25" customHeight="1">
      <c r="A45" s="55" t="s">
        <v>526</v>
      </c>
      <c r="B45" s="58" t="s">
        <v>1337</v>
      </c>
      <c r="C45" s="57" t="s">
        <v>1385</v>
      </c>
      <c r="D45" s="49" t="str">
        <f>IFERROR(__xludf.DUMMYFUNCTION("JOIN("","",FILTER(Disciplinas!A:A, regexmatch(Disciplinas!D:D, A45)))"),"GRAD.BB.02,GRAD.BIOESTAT.01,GRAD.EG.01,GRAD.GENéT.01,GRAD.HISTOL.01,GRAD.QO.02,GRAD.ZI.01")</f>
        <v>GRAD.BB.02,GRAD.BIOESTAT.01,GRAD.EG.01,GRAD.GENéT.01,GRAD.HISTOL.01,GRAD.QO.02,GRAD.ZI.01</v>
      </c>
      <c r="E45" s="30" t="str">
        <f t="shared" si="1"/>
        <v>7-16</v>
      </c>
      <c r="F45" s="30" t="str">
        <f t="shared" si="2"/>
        <v>7-16</v>
      </c>
      <c r="G45" s="30" t="str">
        <f t="shared" si="3"/>
        <v>7-16</v>
      </c>
      <c r="H45" s="30" t="str">
        <f t="shared" si="4"/>
        <v>7-16</v>
      </c>
      <c r="I45" s="30" t="str">
        <f t="shared" si="5"/>
        <v>7-16</v>
      </c>
      <c r="J45" s="30" t="str">
        <f t="shared" si="6"/>
        <v>1-16</v>
      </c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</row>
    <row r="46" ht="14.25" customHeight="1">
      <c r="A46" s="55" t="s">
        <v>535</v>
      </c>
      <c r="B46" s="58" t="s">
        <v>1337</v>
      </c>
      <c r="C46" s="57" t="s">
        <v>1384</v>
      </c>
      <c r="D46" s="49" t="str">
        <f>IFERROR(__xludf.DUMMYFUNCTION("JOIN("","",FILTER(Disciplinas!A:A, regexmatch(Disciplinas!D:D, A46)))"),"GRAD.BABP.01,GRAD.BIOF.01,GRAD.EPC.01,GRAD.LA.01,GRAD.MOV.01,GRAD.ZV.01")</f>
        <v>GRAD.BABP.01,GRAD.BIOF.01,GRAD.EPC.01,GRAD.LA.01,GRAD.MOV.01,GRAD.ZV.01</v>
      </c>
      <c r="E46" s="30" t="str">
        <f t="shared" si="1"/>
        <v>1-6,13-16</v>
      </c>
      <c r="F46" s="30" t="str">
        <f t="shared" si="2"/>
        <v>1-6,13-16</v>
      </c>
      <c r="G46" s="30" t="str">
        <f t="shared" si="3"/>
        <v>1-6,13-16</v>
      </c>
      <c r="H46" s="30" t="str">
        <f t="shared" si="4"/>
        <v>1-6,13-16</v>
      </c>
      <c r="I46" s="30" t="str">
        <f t="shared" si="5"/>
        <v>1-6,13-16</v>
      </c>
      <c r="J46" s="30" t="str">
        <f t="shared" si="6"/>
        <v>1-16</v>
      </c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</row>
    <row r="47" ht="14.25" customHeight="1">
      <c r="A47" s="55" t="s">
        <v>549</v>
      </c>
      <c r="B47" s="58" t="s">
        <v>1337</v>
      </c>
      <c r="C47" s="57" t="s">
        <v>1385</v>
      </c>
      <c r="D47" s="49" t="str">
        <f>IFERROR(__xludf.DUMMYFUNCTION("JOIN("","",FILTER(Disciplinas!A:A, regexmatch(Disciplinas!D:D, A47)))"),"RV.BIO206,RV.BIO213,RV.BIO316,RV.BIO317,RV.BIO347,RV.EAM203")</f>
        <v>RV.BIO206,RV.BIO213,RV.BIO316,RV.BIO317,RV.BIO347,RV.EAM203</v>
      </c>
      <c r="E47" s="30" t="str">
        <f t="shared" si="1"/>
        <v>7-16</v>
      </c>
      <c r="F47" s="30" t="str">
        <f t="shared" si="2"/>
        <v>7-16</v>
      </c>
      <c r="G47" s="30" t="str">
        <f t="shared" si="3"/>
        <v>7-16</v>
      </c>
      <c r="H47" s="30" t="str">
        <f t="shared" si="4"/>
        <v>7-16</v>
      </c>
      <c r="I47" s="30" t="str">
        <f t="shared" si="5"/>
        <v>7-16</v>
      </c>
      <c r="J47" s="30" t="str">
        <f t="shared" si="6"/>
        <v>1-16</v>
      </c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</row>
    <row r="48" ht="14.25" customHeight="1">
      <c r="A48" s="55" t="s">
        <v>562</v>
      </c>
      <c r="B48" s="58" t="s">
        <v>1337</v>
      </c>
      <c r="C48" s="57" t="s">
        <v>1384</v>
      </c>
      <c r="D48" s="49" t="str">
        <f>IFERROR(__xludf.DUMMYFUNCTION("JOIN("","",FILTER(Disciplinas!A:A, regexmatch(Disciplinas!D:D, A48)))"),"RV.BIO238,RV.BIO239,RV.GAM235")</f>
        <v>RV.BIO238,RV.BIO239,RV.GAM235</v>
      </c>
      <c r="E48" s="30" t="str">
        <f t="shared" si="1"/>
        <v>1-6,13-16</v>
      </c>
      <c r="F48" s="30" t="str">
        <f t="shared" si="2"/>
        <v>1-6,13-16</v>
      </c>
      <c r="G48" s="30" t="str">
        <f t="shared" si="3"/>
        <v>1-6,13-16</v>
      </c>
      <c r="H48" s="30" t="str">
        <f t="shared" si="4"/>
        <v>1-6,13-16</v>
      </c>
      <c r="I48" s="30" t="str">
        <f t="shared" si="5"/>
        <v>1-6,13-16</v>
      </c>
      <c r="J48" s="30" t="str">
        <f t="shared" si="6"/>
        <v>1-16</v>
      </c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</row>
    <row r="49" ht="14.25" customHeight="1">
      <c r="A49" s="55" t="s">
        <v>570</v>
      </c>
      <c r="B49" s="58" t="s">
        <v>1337</v>
      </c>
      <c r="C49" s="57" t="s">
        <v>1386</v>
      </c>
      <c r="D49" s="49" t="str">
        <f>IFERROR(__xludf.DUMMYFUNCTION("JOIN("","",FILTER(Disciplinas!A:A, regexmatch(Disciplinas!D:D, A49)))"),"GRAD.NMP.01")</f>
        <v>GRAD.NMP.01</v>
      </c>
      <c r="E49" s="30" t="str">
        <f t="shared" si="1"/>
        <v>13-16</v>
      </c>
      <c r="F49" s="30" t="str">
        <f t="shared" si="2"/>
        <v>13-16</v>
      </c>
      <c r="G49" s="30" t="str">
        <f t="shared" si="3"/>
        <v>13-16</v>
      </c>
      <c r="H49" s="30" t="str">
        <f t="shared" si="4"/>
        <v>13-16</v>
      </c>
      <c r="I49" s="30" t="str">
        <f t="shared" si="5"/>
        <v>13-16</v>
      </c>
      <c r="J49" s="30" t="str">
        <f t="shared" si="6"/>
        <v>1-16</v>
      </c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</row>
    <row r="50" ht="14.25" customHeight="1">
      <c r="A50" s="55" t="s">
        <v>573</v>
      </c>
      <c r="B50" s="56" t="s">
        <v>1363</v>
      </c>
      <c r="C50" s="57" t="s">
        <v>1383</v>
      </c>
      <c r="D50" s="49" t="str">
        <f>IFERROR(__xludf.DUMMYFUNCTION("JOIN("","",FILTER(Disciplinas!A:A, regexmatch(Disciplinas!D:D, A50)))"),"CTBIOTRV.1,CTBIOTRV.19,CTBIOTRV.20,CTBIOTRV.3,CTBIOTRV.5,RV.EXA810")</f>
        <v>CTBIOTRV.1,CTBIOTRV.19,CTBIOTRV.20,CTBIOTRV.3,CTBIOTRV.5,RV.EXA810</v>
      </c>
      <c r="E50" s="30" t="str">
        <f t="shared" si="1"/>
        <v>1-12</v>
      </c>
      <c r="F50" s="30" t="str">
        <f t="shared" si="2"/>
        <v>1-12</v>
      </c>
      <c r="G50" s="30" t="str">
        <f t="shared" si="3"/>
        <v>1-12</v>
      </c>
      <c r="H50" s="30" t="str">
        <f t="shared" si="4"/>
        <v>1-12</v>
      </c>
      <c r="I50" s="30" t="str">
        <f t="shared" si="5"/>
        <v>1-12</v>
      </c>
      <c r="J50" s="30" t="str">
        <f t="shared" si="6"/>
        <v>12-16</v>
      </c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</row>
    <row r="51" ht="14.25" customHeight="1">
      <c r="A51" s="55" t="s">
        <v>584</v>
      </c>
      <c r="B51" s="56" t="s">
        <v>1363</v>
      </c>
      <c r="C51" s="57" t="s">
        <v>1383</v>
      </c>
      <c r="D51" s="49" t="str">
        <f>IFERROR(__xludf.DUMMYFUNCTION("JOIN("","",FILTER(Disciplinas!A:A, regexmatch(Disciplinas!D:D, A51)))"),"CTBIOTRV.21,CTBIOTRV.22,CTBIOTRV.23,CTBIOTRV.26,RV.TAL607,RV.TAL727")</f>
        <v>CTBIOTRV.21,CTBIOTRV.22,CTBIOTRV.23,CTBIOTRV.26,RV.TAL607,RV.TAL727</v>
      </c>
      <c r="E51" s="30" t="str">
        <f t="shared" si="1"/>
        <v>1-12</v>
      </c>
      <c r="F51" s="30" t="str">
        <f t="shared" si="2"/>
        <v>1-12</v>
      </c>
      <c r="G51" s="30" t="str">
        <f t="shared" si="3"/>
        <v>1-12</v>
      </c>
      <c r="H51" s="30" t="str">
        <f t="shared" si="4"/>
        <v>1-12</v>
      </c>
      <c r="I51" s="30" t="str">
        <f t="shared" si="5"/>
        <v>1-12</v>
      </c>
      <c r="J51" s="30" t="str">
        <f t="shared" si="6"/>
        <v>12-16</v>
      </c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</row>
    <row r="52" ht="14.25" customHeight="1">
      <c r="A52" s="55" t="s">
        <v>592</v>
      </c>
      <c r="B52" s="56" t="s">
        <v>1363</v>
      </c>
      <c r="C52" s="57" t="s">
        <v>1383</v>
      </c>
      <c r="D52" s="49" t="str">
        <f>IFERROR(__xludf.DUMMYFUNCTION("JOIN("","",FILTER(Disciplinas!A:A, regexmatch(Disciplinas!D:D, A52)))"),"CTBIOTRV.10,CTBIOTRV.13,CTBIOTRV.18,CTBIOTRV.24,CTBIOTRV.25")</f>
        <v>CTBIOTRV.10,CTBIOTRV.13,CTBIOTRV.18,CTBIOTRV.24,CTBIOTRV.25</v>
      </c>
      <c r="E52" s="30" t="str">
        <f t="shared" si="1"/>
        <v>1-12</v>
      </c>
      <c r="F52" s="30" t="str">
        <f t="shared" si="2"/>
        <v>1-12</v>
      </c>
      <c r="G52" s="30" t="str">
        <f t="shared" si="3"/>
        <v>1-12</v>
      </c>
      <c r="H52" s="30" t="str">
        <f t="shared" si="4"/>
        <v>1-12</v>
      </c>
      <c r="I52" s="30" t="str">
        <f t="shared" si="5"/>
        <v>1-12</v>
      </c>
      <c r="J52" s="30" t="str">
        <f t="shared" si="6"/>
        <v>12-16</v>
      </c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</row>
    <row r="53" ht="14.25" customHeight="1">
      <c r="A53" s="55" t="s">
        <v>603</v>
      </c>
      <c r="B53" s="56" t="s">
        <v>1363</v>
      </c>
      <c r="C53" s="57" t="s">
        <v>1383</v>
      </c>
      <c r="D53" s="49" t="str">
        <f>IFERROR(__xludf.DUMMYFUNCTION("JOIN("","",FILTER(Disciplinas!A:A, regexmatch(Disciplinas!D:D, A53)))"),"CTBIOTRV.14,CTBIOTRV.15,CTBIOTRV.16,CTBIOTRV.17,RV.AGR424")</f>
        <v>CTBIOTRV.14,CTBIOTRV.15,CTBIOTRV.16,CTBIOTRV.17,RV.AGR424</v>
      </c>
      <c r="E53" s="30" t="str">
        <f t="shared" si="1"/>
        <v>1-12</v>
      </c>
      <c r="F53" s="30" t="str">
        <f t="shared" si="2"/>
        <v>1-12</v>
      </c>
      <c r="G53" s="30" t="str">
        <f t="shared" si="3"/>
        <v>1-12</v>
      </c>
      <c r="H53" s="30" t="str">
        <f t="shared" si="4"/>
        <v>1-12</v>
      </c>
      <c r="I53" s="30" t="str">
        <f t="shared" si="5"/>
        <v>1-12</v>
      </c>
      <c r="J53" s="30" t="str">
        <f t="shared" si="6"/>
        <v>12-16</v>
      </c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</row>
    <row r="54" ht="14.25" customHeight="1">
      <c r="A54" s="55" t="s">
        <v>615</v>
      </c>
      <c r="B54" s="56" t="s">
        <v>1335</v>
      </c>
      <c r="C54" s="57" t="s">
        <v>1385</v>
      </c>
      <c r="D54" s="49" t="str">
        <f>IFERROR(__xludf.DUMMYFUNCTION("JOIN("","",FILTER(Disciplinas!A:A, regexmatch(Disciplinas!D:D, A54)))"),"GRAD.CDI.03,GRAD.GAAL.01,GRAD.LTP.01,GRAD.MCCC.01,GRAD.MD.01,GRAD.SD.01")</f>
        <v>GRAD.CDI.03,GRAD.GAAL.01,GRAD.LTP.01,GRAD.MCCC.01,GRAD.MD.01,GRAD.SD.01</v>
      </c>
      <c r="E54" s="30" t="str">
        <f t="shared" si="1"/>
        <v>7-16</v>
      </c>
      <c r="F54" s="30" t="str">
        <f t="shared" si="2"/>
        <v>7-16</v>
      </c>
      <c r="G54" s="30" t="str">
        <f t="shared" si="3"/>
        <v>7-16</v>
      </c>
      <c r="H54" s="30" t="str">
        <f t="shared" si="4"/>
        <v>7-16</v>
      </c>
      <c r="I54" s="30" t="str">
        <f t="shared" si="5"/>
        <v>7-16</v>
      </c>
      <c r="J54" s="30" t="str">
        <f t="shared" si="6"/>
        <v>1-16</v>
      </c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</row>
    <row r="55" ht="14.25" customHeight="1">
      <c r="A55" s="55" t="s">
        <v>630</v>
      </c>
      <c r="B55" s="56" t="s">
        <v>1335</v>
      </c>
      <c r="C55" s="57" t="s">
        <v>1384</v>
      </c>
      <c r="D55" s="49" t="str">
        <f>IFERROR(__xludf.DUMMYFUNCTION("JOIN("","",FILTER(Disciplinas!A:A, regexmatch(Disciplinas!D:D, A55)))"),"GRAD.ANAPROJALG.01,GRAD.BD.01,GRAD.ED.02,GRAD.PLP.01,GRAD.PLP.02,GRAD.PO.01,GRAD.RC.01")</f>
        <v>GRAD.ANAPROJALG.01,GRAD.BD.01,GRAD.ED.02,GRAD.PLP.01,GRAD.PLP.02,GRAD.PO.01,GRAD.RC.01</v>
      </c>
      <c r="E55" s="30" t="str">
        <f t="shared" si="1"/>
        <v>1-6,13-16</v>
      </c>
      <c r="F55" s="30" t="str">
        <f t="shared" si="2"/>
        <v>1-6,13-16</v>
      </c>
      <c r="G55" s="30" t="str">
        <f t="shared" si="3"/>
        <v>1-6,13-16</v>
      </c>
      <c r="H55" s="30" t="str">
        <f t="shared" si="4"/>
        <v>1-6,13-16</v>
      </c>
      <c r="I55" s="30" t="str">
        <f t="shared" si="5"/>
        <v>1-6,13-16</v>
      </c>
      <c r="J55" s="30" t="str">
        <f t="shared" si="6"/>
        <v>1-16</v>
      </c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</row>
    <row r="56" ht="14.25" customHeight="1">
      <c r="A56" s="55" t="s">
        <v>648</v>
      </c>
      <c r="B56" s="56" t="s">
        <v>1335</v>
      </c>
      <c r="C56" s="57" t="s">
        <v>1385</v>
      </c>
      <c r="D56" s="49" t="str">
        <f>IFERROR(__xludf.DUMMYFUNCTION("JOIN("","",FILTER(Disciplinas!A:A, regexmatch(Disciplinas!D:D, A56)))"),"GRAD.EE.02,RV.BCC021,RV.BCC023,RV.BCC024,RV.BCC038,RV.BCCP14,RV.EAL230")</f>
        <v>GRAD.EE.02,RV.BCC021,RV.BCC023,RV.BCC024,RV.BCC038,RV.BCCP14,RV.EAL230</v>
      </c>
      <c r="E56" s="30" t="str">
        <f t="shared" si="1"/>
        <v>7-16</v>
      </c>
      <c r="F56" s="30" t="str">
        <f t="shared" si="2"/>
        <v>7-16</v>
      </c>
      <c r="G56" s="30" t="str">
        <f t="shared" si="3"/>
        <v>7-16</v>
      </c>
      <c r="H56" s="30" t="str">
        <f t="shared" si="4"/>
        <v>7-16</v>
      </c>
      <c r="I56" s="30" t="str">
        <f t="shared" si="5"/>
        <v>7-16</v>
      </c>
      <c r="J56" s="30" t="str">
        <f t="shared" si="6"/>
        <v>1-16</v>
      </c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ht="14.25" customHeight="1">
      <c r="A57" s="55" t="s">
        <v>663</v>
      </c>
      <c r="B57" s="56" t="s">
        <v>1335</v>
      </c>
      <c r="C57" s="57" t="s">
        <v>1384</v>
      </c>
      <c r="D57" s="49" t="str">
        <f>IFERROR(__xludf.DUMMYFUNCTION("JOIN("","",FILTER(Disciplinas!A:A, regexmatch(Disciplinas!D:D, A57)))"),"RV.BCC030,RV.BCC032,RV.BCC037,RV.BCCP16")</f>
        <v>RV.BCC030,RV.BCC032,RV.BCC037,RV.BCCP16</v>
      </c>
      <c r="E57" s="30" t="str">
        <f t="shared" si="1"/>
        <v>1-6,13-16</v>
      </c>
      <c r="F57" s="30" t="str">
        <f t="shared" si="2"/>
        <v>1-6,13-16</v>
      </c>
      <c r="G57" s="30" t="str">
        <f t="shared" si="3"/>
        <v>1-6,13-16</v>
      </c>
      <c r="H57" s="30" t="str">
        <f t="shared" si="4"/>
        <v>1-6,13-16</v>
      </c>
      <c r="I57" s="30" t="str">
        <f t="shared" si="5"/>
        <v>1-6,13-16</v>
      </c>
      <c r="J57" s="30" t="str">
        <f t="shared" si="6"/>
        <v>1-16</v>
      </c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</row>
    <row r="58" ht="14.25" customHeight="1">
      <c r="A58" s="55" t="s">
        <v>673</v>
      </c>
      <c r="B58" s="56" t="s">
        <v>1335</v>
      </c>
      <c r="C58" s="57" t="s">
        <v>1386</v>
      </c>
      <c r="D58" s="49" t="str">
        <f>IFERROR(__xludf.DUMMYFUNCTION("JOIN("","",FILTER(Disciplinas!A:A, regexmatch(Disciplinas!D:D, A58)))"),"GRAD.ED.01")</f>
        <v>GRAD.ED.01</v>
      </c>
      <c r="E58" s="30" t="str">
        <f t="shared" si="1"/>
        <v>13-16</v>
      </c>
      <c r="F58" s="30" t="str">
        <f t="shared" si="2"/>
        <v>13-16</v>
      </c>
      <c r="G58" s="30" t="str">
        <f t="shared" si="3"/>
        <v>13-16</v>
      </c>
      <c r="H58" s="30" t="str">
        <f t="shared" si="4"/>
        <v>13-16</v>
      </c>
      <c r="I58" s="30" t="str">
        <f t="shared" si="5"/>
        <v>13-16</v>
      </c>
      <c r="J58" s="30" t="str">
        <f t="shared" si="6"/>
        <v>1-16</v>
      </c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ht="14.25" customHeight="1">
      <c r="A59" s="55" t="s">
        <v>674</v>
      </c>
      <c r="B59" s="56" t="s">
        <v>1346</v>
      </c>
      <c r="C59" s="57" t="s">
        <v>1385</v>
      </c>
      <c r="D59" s="49" t="str">
        <f>IFERROR(__xludf.DUMMYFUNCTION("JOIN("","",FILTER(Disciplinas!A:A, regexmatch(Disciplinas!D:D, A59)))"),"GRAD.CDI.04,GRAD.CN.01,GRAD.EB.02,GRAD.FE-II.01,GRAD.FíSICA II.01,GRAD.PROJARQ.01,GRAD.TOPOG.01")</f>
        <v>GRAD.CDI.04,GRAD.CN.01,GRAD.EB.02,GRAD.FE-II.01,GRAD.FíSICA II.01,GRAD.PROJARQ.01,GRAD.TOPOG.01</v>
      </c>
      <c r="E59" s="30" t="str">
        <f t="shared" si="1"/>
        <v>7-16</v>
      </c>
      <c r="F59" s="30" t="str">
        <f t="shared" si="2"/>
        <v>7-16</v>
      </c>
      <c r="G59" s="30" t="str">
        <f t="shared" si="3"/>
        <v>7-16</v>
      </c>
      <c r="H59" s="30" t="str">
        <f t="shared" si="4"/>
        <v>7-16</v>
      </c>
      <c r="I59" s="30" t="str">
        <f t="shared" si="5"/>
        <v>7-16</v>
      </c>
      <c r="J59" s="30" t="str">
        <f t="shared" si="6"/>
        <v>1-16</v>
      </c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</row>
    <row r="60" ht="14.25" customHeight="1">
      <c r="A60" s="55" t="s">
        <v>685</v>
      </c>
      <c r="B60" s="56" t="s">
        <v>1346</v>
      </c>
      <c r="C60" s="57" t="s">
        <v>1384</v>
      </c>
      <c r="D60" s="49" t="str">
        <f>IFERROR(__xludf.DUMMYFUNCTION("JOIN("","",FILTER(Disciplinas!A:A, regexmatch(Disciplinas!D:D, A60)))"),"GRAD..MV.01,GRAD.ICEM.01,GRAD.IEP.01,GRAD.MC.02,GRAD.MCC- I.01,GRAD.METCOMP.01")</f>
        <v>GRAD..MV.01,GRAD.ICEM.01,GRAD.IEP.01,GRAD.MC.02,GRAD.MCC- I.01,GRAD.METCOMP.01</v>
      </c>
      <c r="E60" s="30" t="str">
        <f t="shared" si="1"/>
        <v>1-6,13-16</v>
      </c>
      <c r="F60" s="30" t="str">
        <f t="shared" si="2"/>
        <v>1-6,13-16</v>
      </c>
      <c r="G60" s="30" t="str">
        <f t="shared" si="3"/>
        <v>1-6,13-16</v>
      </c>
      <c r="H60" s="30" t="str">
        <f t="shared" si="4"/>
        <v>1-6,13-16</v>
      </c>
      <c r="I60" s="30" t="str">
        <f t="shared" si="5"/>
        <v>1-6,13-16</v>
      </c>
      <c r="J60" s="30" t="str">
        <f t="shared" si="6"/>
        <v>1-16</v>
      </c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</row>
    <row r="61" ht="14.25" customHeight="1">
      <c r="A61" s="55" t="s">
        <v>700</v>
      </c>
      <c r="B61" s="56" t="s">
        <v>1346</v>
      </c>
      <c r="C61" s="57" t="s">
        <v>1385</v>
      </c>
      <c r="D61" s="49" t="str">
        <f>IFERROR(__xludf.DUMMYFUNCTION("JOIN("","",FILTER(Disciplinas!A:A, regexmatch(Disciplinas!D:D, A61)))"),"RV.EAM212,RV.ENG224,RV.ENG240,RV.ENG241,RV.ENG242,RV.ENG243")</f>
        <v>RV.EAM212,RV.ENG224,RV.ENG240,RV.ENG241,RV.ENG242,RV.ENG243</v>
      </c>
      <c r="E61" s="30" t="str">
        <f t="shared" si="1"/>
        <v>7-16</v>
      </c>
      <c r="F61" s="30" t="str">
        <f t="shared" si="2"/>
        <v>7-16</v>
      </c>
      <c r="G61" s="30" t="str">
        <f t="shared" si="3"/>
        <v>7-16</v>
      </c>
      <c r="H61" s="30" t="str">
        <f t="shared" si="4"/>
        <v>7-16</v>
      </c>
      <c r="I61" s="30" t="str">
        <f t="shared" si="5"/>
        <v>7-16</v>
      </c>
      <c r="J61" s="30" t="str">
        <f t="shared" si="6"/>
        <v>1-16</v>
      </c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</row>
    <row r="62" ht="14.25" customHeight="1">
      <c r="A62" s="55" t="s">
        <v>715</v>
      </c>
      <c r="B62" s="56" t="s">
        <v>1346</v>
      </c>
      <c r="C62" s="57" t="s">
        <v>1384</v>
      </c>
      <c r="D62" s="49" t="str">
        <f>IFERROR(__xludf.DUMMYFUNCTION("JOIN("","",FILTER(Disciplinas!A:A, regexmatch(Disciplinas!D:D, A62)))"),"GRAD.TAA.01,RV.EAM206,RV.ENG248,RV.ENG249,RV.ENG257,RV.ENG261,RV.GAM224")</f>
        <v>GRAD.TAA.01,RV.EAM206,RV.ENG248,RV.ENG249,RV.ENG257,RV.ENG261,RV.GAM224</v>
      </c>
      <c r="E62" s="30" t="str">
        <f t="shared" si="1"/>
        <v>1-6,13-16</v>
      </c>
      <c r="F62" s="30" t="str">
        <f t="shared" si="2"/>
        <v>1-6,13-16</v>
      </c>
      <c r="G62" s="30" t="str">
        <f t="shared" si="3"/>
        <v>1-6,13-16</v>
      </c>
      <c r="H62" s="30" t="str">
        <f t="shared" si="4"/>
        <v>1-6,13-16</v>
      </c>
      <c r="I62" s="30" t="str">
        <f t="shared" si="5"/>
        <v>1-6,13-16</v>
      </c>
      <c r="J62" s="30" t="str">
        <f t="shared" si="6"/>
        <v>1-16</v>
      </c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</row>
    <row r="63" ht="14.25" customHeight="1">
      <c r="A63" s="55" t="s">
        <v>732</v>
      </c>
      <c r="B63" s="56" t="s">
        <v>1346</v>
      </c>
      <c r="C63" s="57" t="s">
        <v>1386</v>
      </c>
      <c r="D63" s="49" t="str">
        <f>IFERROR(__xludf.DUMMYFUNCTION("JOIN("","",FILTER(Disciplinas!A:A, regexmatch(Disciplinas!D:D, A63)))"),"GRAD.FíSICA III.01,RV.ENG236,RV.ENG245,RV.ENG256")</f>
        <v>GRAD.FíSICA III.01,RV.ENG236,RV.ENG245,RV.ENG256</v>
      </c>
      <c r="E63" s="30" t="str">
        <f t="shared" si="1"/>
        <v>13-16</v>
      </c>
      <c r="F63" s="30" t="str">
        <f t="shared" si="2"/>
        <v>13-16</v>
      </c>
      <c r="G63" s="30" t="str">
        <f t="shared" si="3"/>
        <v>13-16</v>
      </c>
      <c r="H63" s="30" t="str">
        <f t="shared" si="4"/>
        <v>13-16</v>
      </c>
      <c r="I63" s="30" t="str">
        <f t="shared" si="5"/>
        <v>13-16</v>
      </c>
      <c r="J63" s="30" t="str">
        <f t="shared" si="6"/>
        <v>1-16</v>
      </c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</row>
    <row r="64" ht="14.25" customHeight="1">
      <c r="A64" s="55" t="s">
        <v>741</v>
      </c>
      <c r="B64" s="56" t="s">
        <v>1365</v>
      </c>
      <c r="C64" s="57" t="s">
        <v>1383</v>
      </c>
      <c r="D64" s="49" t="str">
        <f>IFERROR(__xludf.DUMMYFUNCTION("JOIN("","",FILTER(Disciplinas!A:A, regexmatch(Disciplinas!D:D, A64)))"),"RV.ADM410,RV.CON001,RV.CON002,RV.CON003,RV.EXA808,RV.HUM824")</f>
        <v>RV.ADM410,RV.CON001,RV.CON002,RV.CON003,RV.EXA808,RV.HUM824</v>
      </c>
      <c r="E64" s="30" t="str">
        <f t="shared" si="1"/>
        <v>1-12</v>
      </c>
      <c r="F64" s="30" t="str">
        <f t="shared" si="2"/>
        <v>1-12</v>
      </c>
      <c r="G64" s="30" t="str">
        <f t="shared" si="3"/>
        <v>1-12</v>
      </c>
      <c r="H64" s="30" t="str">
        <f t="shared" si="4"/>
        <v>1-12</v>
      </c>
      <c r="I64" s="30" t="str">
        <f t="shared" si="5"/>
        <v>1-12</v>
      </c>
      <c r="J64" s="30" t="str">
        <f t="shared" si="6"/>
        <v>12-16</v>
      </c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</row>
    <row r="65" ht="14.25" customHeight="1">
      <c r="A65" s="55" t="s">
        <v>753</v>
      </c>
      <c r="B65" s="56" t="s">
        <v>1365</v>
      </c>
      <c r="C65" s="57" t="s">
        <v>1383</v>
      </c>
      <c r="D65" s="49" t="str">
        <f>IFERROR(__xludf.DUMMYFUNCTION("JOIN("","",FILTER(Disciplinas!A:A, regexmatch(Disciplinas!D:D, A65)))"),"RV.ADM12,RV.CON004,RV.CON005,RV.CON100,RV.CON107")</f>
        <v>RV.ADM12,RV.CON004,RV.CON005,RV.CON100,RV.CON107</v>
      </c>
      <c r="E65" s="30" t="str">
        <f t="shared" si="1"/>
        <v>1-12</v>
      </c>
      <c r="F65" s="30" t="str">
        <f t="shared" si="2"/>
        <v>1-12</v>
      </c>
      <c r="G65" s="30" t="str">
        <f t="shared" si="3"/>
        <v>1-12</v>
      </c>
      <c r="H65" s="30" t="str">
        <f t="shared" si="4"/>
        <v>1-12</v>
      </c>
      <c r="I65" s="30" t="str">
        <f t="shared" si="5"/>
        <v>1-12</v>
      </c>
      <c r="J65" s="30" t="str">
        <f t="shared" si="6"/>
        <v>12-16</v>
      </c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</row>
    <row r="66" ht="14.25" customHeight="1">
      <c r="A66" s="55" t="s">
        <v>765</v>
      </c>
      <c r="B66" s="56" t="s">
        <v>1365</v>
      </c>
      <c r="C66" s="57" t="s">
        <v>1383</v>
      </c>
      <c r="D66" s="49" t="str">
        <f>IFERROR(__xludf.DUMMYFUNCTION("JOIN("","",FILTER(Disciplinas!A:A, regexmatch(Disciplinas!D:D, A66)))"),"RV.CON006,RV.CON007,RV.CON008,RV.CON111,RV.CONT102")</f>
        <v>RV.CON006,RV.CON007,RV.CON008,RV.CON111,RV.CONT102</v>
      </c>
      <c r="E66" s="30" t="str">
        <f t="shared" si="1"/>
        <v>1-12</v>
      </c>
      <c r="F66" s="30" t="str">
        <f t="shared" si="2"/>
        <v>1-12</v>
      </c>
      <c r="G66" s="30" t="str">
        <f t="shared" si="3"/>
        <v>1-12</v>
      </c>
      <c r="H66" s="30" t="str">
        <f t="shared" si="4"/>
        <v>1-12</v>
      </c>
      <c r="I66" s="30" t="str">
        <f t="shared" si="5"/>
        <v>1-12</v>
      </c>
      <c r="J66" s="30" t="str">
        <f t="shared" si="6"/>
        <v>12-16</v>
      </c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</row>
    <row r="67" ht="14.25" customHeight="1">
      <c r="A67" s="55" t="s">
        <v>775</v>
      </c>
      <c r="B67" s="56" t="s">
        <v>1342</v>
      </c>
      <c r="C67" s="57" t="s">
        <v>1385</v>
      </c>
      <c r="D67" s="49" t="str">
        <f>IFERROR(__xludf.DUMMYFUNCTION("JOIN("","",FILTER(Disciplinas!A:A, regexmatch(Disciplinas!D:D, A67)))"),"GRAD.CDI.04,GRAD.DT.02,GRAD.EE.02,GRAD.MASU.02,GRAD.PTUR.01,GRAD.QAAI.01,GRAD.QO.02")</f>
        <v>GRAD.CDI.04,GRAD.DT.02,GRAD.EE.02,GRAD.MASU.02,GRAD.PTUR.01,GRAD.QAAI.01,GRAD.QO.02</v>
      </c>
      <c r="E67" s="30" t="str">
        <f t="shared" si="1"/>
        <v>7-16</v>
      </c>
      <c r="F67" s="30" t="str">
        <f t="shared" si="2"/>
        <v>7-16</v>
      </c>
      <c r="G67" s="30" t="str">
        <f t="shared" si="3"/>
        <v>7-16</v>
      </c>
      <c r="H67" s="30" t="str">
        <f t="shared" si="4"/>
        <v>7-16</v>
      </c>
      <c r="I67" s="30" t="str">
        <f t="shared" si="5"/>
        <v>7-16</v>
      </c>
      <c r="J67" s="30" t="str">
        <f t="shared" si="6"/>
        <v>1-16</v>
      </c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</row>
    <row r="68" ht="14.25" customHeight="1">
      <c r="A68" s="55" t="s">
        <v>784</v>
      </c>
      <c r="B68" s="56" t="s">
        <v>1342</v>
      </c>
      <c r="C68" s="57" t="s">
        <v>1384</v>
      </c>
      <c r="D68" s="49" t="str">
        <f>IFERROR(__xludf.DUMMYFUNCTION("JOIN("","",FILTER(Disciplinas!A:A, regexmatch(Disciplinas!D:D, A68)))"),"GRAD.LA.03,GRAD.MA.01,GRAD.POLAGU.01,GRAD.PS.02,GRAD.SEDO.01,GRAD.TOPOG.01")</f>
        <v>GRAD.LA.03,GRAD.MA.01,GRAD.POLAGU.01,GRAD.PS.02,GRAD.SEDO.01,GRAD.TOPOG.01</v>
      </c>
      <c r="E68" s="30" t="str">
        <f t="shared" si="1"/>
        <v>1-6,13-16</v>
      </c>
      <c r="F68" s="30" t="str">
        <f t="shared" si="2"/>
        <v>1-6,13-16</v>
      </c>
      <c r="G68" s="30" t="str">
        <f t="shared" si="3"/>
        <v>1-6,13-16</v>
      </c>
      <c r="H68" s="30" t="str">
        <f t="shared" si="4"/>
        <v>1-6,13-16</v>
      </c>
      <c r="I68" s="30" t="str">
        <f t="shared" si="5"/>
        <v>1-6,13-16</v>
      </c>
      <c r="J68" s="30" t="str">
        <f t="shared" si="6"/>
        <v>1-16</v>
      </c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</row>
    <row r="69" ht="14.25" customHeight="1">
      <c r="A69" s="55" t="s">
        <v>796</v>
      </c>
      <c r="B69" s="56" t="s">
        <v>1342</v>
      </c>
      <c r="C69" s="57" t="s">
        <v>1385</v>
      </c>
      <c r="D69" s="49" t="str">
        <f>IFERROR(__xludf.DUMMYFUNCTION("JOIN("","",FILTER(Disciplinas!A:A, regexmatch(Disciplinas!D:D, A69)))"),"RV.EAL204,RV.EAM208,RV.EAM212,RV.ENG224,RV.GAM203,RV.INF205")</f>
        <v>RV.EAL204,RV.EAM208,RV.EAM212,RV.ENG224,RV.GAM203,RV.INF205</v>
      </c>
      <c r="E69" s="30" t="str">
        <f t="shared" si="1"/>
        <v>7-16</v>
      </c>
      <c r="F69" s="30" t="str">
        <f t="shared" si="2"/>
        <v>7-16</v>
      </c>
      <c r="G69" s="30" t="str">
        <f t="shared" si="3"/>
        <v>7-16</v>
      </c>
      <c r="H69" s="30" t="str">
        <f t="shared" si="4"/>
        <v>7-16</v>
      </c>
      <c r="I69" s="30" t="str">
        <f t="shared" si="5"/>
        <v>7-16</v>
      </c>
      <c r="J69" s="30" t="str">
        <f t="shared" si="6"/>
        <v>1-16</v>
      </c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ht="14.25" customHeight="1">
      <c r="A70" s="55" t="s">
        <v>801</v>
      </c>
      <c r="B70" s="56" t="s">
        <v>1342</v>
      </c>
      <c r="C70" s="57" t="s">
        <v>1384</v>
      </c>
      <c r="D70" s="49" t="str">
        <f>IFERROR(__xludf.DUMMYFUNCTION("JOIN("","",FILTER(Disciplinas!A:A, regexmatch(Disciplinas!D:D, A70)))"),"RV.EAM206,RV.EAM207,RV.EAM209,RV.ENG212,RV.GAM218,RV.GAM235,RV.HUM214")</f>
        <v>RV.EAM206,RV.EAM207,RV.EAM209,RV.ENG212,RV.GAM218,RV.GAM235,RV.HUM214</v>
      </c>
      <c r="E70" s="30" t="str">
        <f t="shared" si="1"/>
        <v>1-6,13-16</v>
      </c>
      <c r="F70" s="30" t="str">
        <f t="shared" si="2"/>
        <v>1-6,13-16</v>
      </c>
      <c r="G70" s="30" t="str">
        <f t="shared" si="3"/>
        <v>1-6,13-16</v>
      </c>
      <c r="H70" s="30" t="str">
        <f t="shared" si="4"/>
        <v>1-6,13-16</v>
      </c>
      <c r="I70" s="30" t="str">
        <f t="shared" si="5"/>
        <v>1-6,13-16</v>
      </c>
      <c r="J70" s="30" t="str">
        <f t="shared" si="6"/>
        <v>1-16</v>
      </c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</row>
    <row r="71" ht="14.25" customHeight="1">
      <c r="A71" s="55" t="s">
        <v>810</v>
      </c>
      <c r="B71" s="56" t="s">
        <v>1342</v>
      </c>
      <c r="C71" s="57" t="s">
        <v>1386</v>
      </c>
      <c r="D71" s="49" t="str">
        <f>IFERROR(__xludf.DUMMYFUNCTION("JOIN("","",FILTER(Disciplinas!A:A, regexmatch(Disciplinas!D:D, A71)))"),"GRAD.CDI.03,RV.GAM217")</f>
        <v>GRAD.CDI.03,RV.GAM217</v>
      </c>
      <c r="E71" s="30" t="str">
        <f t="shared" si="1"/>
        <v>13-16</v>
      </c>
      <c r="F71" s="30" t="str">
        <f t="shared" si="2"/>
        <v>13-16</v>
      </c>
      <c r="G71" s="30" t="str">
        <f t="shared" si="3"/>
        <v>13-16</v>
      </c>
      <c r="H71" s="30" t="str">
        <f t="shared" si="4"/>
        <v>13-16</v>
      </c>
      <c r="I71" s="30" t="str">
        <f t="shared" si="5"/>
        <v>13-16</v>
      </c>
      <c r="J71" s="30" t="str">
        <f t="shared" si="6"/>
        <v>1-16</v>
      </c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</row>
    <row r="72" ht="14.25" customHeight="1">
      <c r="A72" s="55" t="s">
        <v>814</v>
      </c>
      <c r="B72" s="56" t="s">
        <v>1367</v>
      </c>
      <c r="C72" s="57" t="s">
        <v>1383</v>
      </c>
      <c r="D72" s="49" t="str">
        <f>IFERROR(__xludf.DUMMYFUNCTION("JOIN("","",FILTER(Disciplinas!A:A, regexmatch(Disciplinas!D:D, A72)))"),"RV.DTC001,RV.IMP001,RV.MAP001,RV.MAS001,RV.MCI001,RV.T-PL001")</f>
        <v>RV.DTC001,RV.IMP001,RV.MAP001,RV.MAS001,RV.MCI001,RV.T-PL001</v>
      </c>
      <c r="E72" s="30" t="str">
        <f t="shared" si="1"/>
        <v>1-12</v>
      </c>
      <c r="F72" s="30" t="str">
        <f t="shared" si="2"/>
        <v>1-12</v>
      </c>
      <c r="G72" s="30" t="str">
        <f t="shared" si="3"/>
        <v>1-12</v>
      </c>
      <c r="H72" s="30" t="str">
        <f t="shared" si="4"/>
        <v>1-12</v>
      </c>
      <c r="I72" s="30" t="str">
        <f t="shared" si="5"/>
        <v>1-12</v>
      </c>
      <c r="J72" s="30" t="str">
        <f t="shared" si="6"/>
        <v>12-16</v>
      </c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</row>
    <row r="73" ht="14.25" customHeight="1">
      <c r="A73" s="55" t="s">
        <v>823</v>
      </c>
      <c r="B73" s="56" t="s">
        <v>1367</v>
      </c>
      <c r="C73" s="57" t="s">
        <v>1383</v>
      </c>
      <c r="D73" s="49" t="str">
        <f>IFERROR(__xludf.DUMMYFUNCTION("JOIN("","",FILTER(Disciplinas!A:A, regexmatch(Disciplinas!D:D, A73)))"),"RV.MCC001,RV.MSL001,RV.PAI001,RV.SE-I001,RV.T-AL001")</f>
        <v>RV.MCC001,RV.MSL001,RV.PAI001,RV.SE-I001,RV.T-AL001</v>
      </c>
      <c r="E73" s="30" t="str">
        <f t="shared" si="1"/>
        <v>1-12</v>
      </c>
      <c r="F73" s="30" t="str">
        <f t="shared" si="2"/>
        <v>1-12</v>
      </c>
      <c r="G73" s="30" t="str">
        <f t="shared" si="3"/>
        <v>1-12</v>
      </c>
      <c r="H73" s="30" t="str">
        <f t="shared" si="4"/>
        <v>1-12</v>
      </c>
      <c r="I73" s="30" t="str">
        <f t="shared" si="5"/>
        <v>1-12</v>
      </c>
      <c r="J73" s="30" t="str">
        <f t="shared" si="6"/>
        <v>12-16</v>
      </c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</row>
    <row r="74" ht="14.25" customHeight="1">
      <c r="A74" s="55" t="s">
        <v>833</v>
      </c>
      <c r="B74" s="56" t="s">
        <v>1367</v>
      </c>
      <c r="C74" s="57" t="s">
        <v>1383</v>
      </c>
      <c r="D74" s="49" t="str">
        <f>IFERROR(__xludf.DUMMYFUNCTION("JOIN("","",FILTER(Disciplinas!A:A, regexmatch(Disciplinas!D:D, A74)))"),"RV.FDC001,RV.PA-II001,RV.PHD001,RV.SE-II001,RV.TC-I001")</f>
        <v>RV.FDC001,RV.PA-II001,RV.PHD001,RV.SE-II001,RV.TC-I001</v>
      </c>
      <c r="E74" s="30" t="str">
        <f t="shared" si="1"/>
        <v>1-12</v>
      </c>
      <c r="F74" s="30" t="str">
        <f t="shared" si="2"/>
        <v>1-12</v>
      </c>
      <c r="G74" s="30" t="str">
        <f t="shared" si="3"/>
        <v>1-12</v>
      </c>
      <c r="H74" s="30" t="str">
        <f t="shared" si="4"/>
        <v>1-12</v>
      </c>
      <c r="I74" s="30" t="str">
        <f t="shared" si="5"/>
        <v>1-12</v>
      </c>
      <c r="J74" s="30" t="str">
        <f t="shared" si="6"/>
        <v>12-16</v>
      </c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</row>
    <row r="75" ht="14.25" customHeight="1">
      <c r="A75" s="55" t="s">
        <v>843</v>
      </c>
      <c r="B75" s="56" t="s">
        <v>1367</v>
      </c>
      <c r="C75" s="57" t="s">
        <v>1383</v>
      </c>
      <c r="D75" s="49" t="str">
        <f>IFERROR(__xludf.DUMMYFUNCTION("JOIN("","",FILTER(Disciplinas!A:A, regexmatch(Disciplinas!D:D, A75)))"),"RV.EPD002,RV.GOT001,RV.IEC001,RV.PFL001,RV.SOT001,RV.TC-II001")</f>
        <v>RV.EPD002,RV.GOT001,RV.IEC001,RV.PFL001,RV.SOT001,RV.TC-II001</v>
      </c>
      <c r="E75" s="30" t="str">
        <f t="shared" si="1"/>
        <v>1-12</v>
      </c>
      <c r="F75" s="30" t="str">
        <f t="shared" si="2"/>
        <v>1-12</v>
      </c>
      <c r="G75" s="30" t="str">
        <f t="shared" si="3"/>
        <v>1-12</v>
      </c>
      <c r="H75" s="30" t="str">
        <f t="shared" si="4"/>
        <v>1-12</v>
      </c>
      <c r="I75" s="30" t="str">
        <f t="shared" si="5"/>
        <v>1-12</v>
      </c>
      <c r="J75" s="30" t="str">
        <f t="shared" si="6"/>
        <v>12-16</v>
      </c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</row>
    <row r="76" ht="14.25" customHeight="1">
      <c r="A76" s="55" t="s">
        <v>856</v>
      </c>
      <c r="B76" s="56" t="s">
        <v>1367</v>
      </c>
      <c r="C76" s="57" t="s">
        <v>1383</v>
      </c>
      <c r="D76" s="49" t="str">
        <f>IFERROR(__xludf.DUMMYFUNCTION("JOIN("","",FILTER(Disciplinas!A:A, regexmatch(Disciplinas!D:D, A76)))"),"CTEDIFRV.20,CTEDIFRV.21,CTEDIFRV.22,CTEDIFRV.30,RV.PRO41,RV.PRO51")</f>
        <v>CTEDIFRV.20,CTEDIFRV.21,CTEDIFRV.22,CTEDIFRV.30,RV.PRO41,RV.PRO51</v>
      </c>
      <c r="E76" s="30" t="str">
        <f t="shared" si="1"/>
        <v>1-12</v>
      </c>
      <c r="F76" s="30" t="str">
        <f t="shared" si="2"/>
        <v>1-12</v>
      </c>
      <c r="G76" s="30" t="str">
        <f t="shared" si="3"/>
        <v>1-12</v>
      </c>
      <c r="H76" s="30" t="str">
        <f t="shared" si="4"/>
        <v>1-12</v>
      </c>
      <c r="I76" s="30" t="str">
        <f t="shared" si="5"/>
        <v>1-12</v>
      </c>
      <c r="J76" s="30" t="str">
        <f t="shared" si="6"/>
        <v>12-16</v>
      </c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</row>
    <row r="77" ht="14.25" customHeight="1">
      <c r="A77" s="55" t="s">
        <v>865</v>
      </c>
      <c r="B77" s="56" t="s">
        <v>1367</v>
      </c>
      <c r="C77" s="57" t="s">
        <v>1383</v>
      </c>
      <c r="D77" s="49" t="str">
        <f>IFERROR(__xludf.DUMMYFUNCTION("JOIN("","",FILTER(Disciplinas!A:A, regexmatch(Disciplinas!D:D, A77)))"),"CTEDIFRV.25,CTEDIFRV.26,CTEDIFRV.27,CTEDIFRV.31,CTEDIFRV.32,RV.PRO42,RV.PRO52")</f>
        <v>CTEDIFRV.25,CTEDIFRV.26,CTEDIFRV.27,CTEDIFRV.31,CTEDIFRV.32,RV.PRO42,RV.PRO52</v>
      </c>
      <c r="E77" s="30" t="str">
        <f t="shared" si="1"/>
        <v>1-12</v>
      </c>
      <c r="F77" s="30" t="str">
        <f t="shared" si="2"/>
        <v>1-12</v>
      </c>
      <c r="G77" s="30" t="str">
        <f t="shared" si="3"/>
        <v>1-12</v>
      </c>
      <c r="H77" s="30" t="str">
        <f t="shared" si="4"/>
        <v>1-12</v>
      </c>
      <c r="I77" s="30" t="str">
        <f t="shared" si="5"/>
        <v>1-12</v>
      </c>
      <c r="J77" s="30" t="str">
        <f t="shared" si="6"/>
        <v>12-16</v>
      </c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</row>
    <row r="78" ht="14.25" customHeight="1">
      <c r="A78" s="55" t="s">
        <v>875</v>
      </c>
      <c r="B78" s="56" t="s">
        <v>1369</v>
      </c>
      <c r="C78" s="57" t="s">
        <v>1383</v>
      </c>
      <c r="D78" s="49" t="str">
        <f>IFERROR(__xludf.DUMMYFUNCTION("JOIN("","",FILTER(Disciplinas!A:A, regexmatch(Disciplinas!D:D, A78)))"),"RV.INF610,RV.INF618,RV.INF619,RV.INF92,RV.INF96")</f>
        <v>RV.INF610,RV.INF618,RV.INF619,RV.INF92,RV.INF96</v>
      </c>
      <c r="E78" s="30" t="str">
        <f t="shared" si="1"/>
        <v>1-12</v>
      </c>
      <c r="F78" s="30" t="str">
        <f t="shared" si="2"/>
        <v>1-12</v>
      </c>
      <c r="G78" s="30" t="str">
        <f t="shared" si="3"/>
        <v>1-12</v>
      </c>
      <c r="H78" s="30" t="str">
        <f t="shared" si="4"/>
        <v>1-12</v>
      </c>
      <c r="I78" s="30" t="str">
        <f t="shared" si="5"/>
        <v>1-12</v>
      </c>
      <c r="J78" s="30" t="str">
        <f t="shared" si="6"/>
        <v>12-16</v>
      </c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</row>
    <row r="79" ht="14.25" customHeight="1">
      <c r="A79" s="55" t="s">
        <v>886</v>
      </c>
      <c r="B79" s="56" t="s">
        <v>1369</v>
      </c>
      <c r="C79" s="57" t="s">
        <v>1383</v>
      </c>
      <c r="D79" s="49" t="str">
        <f>IFERROR(__xludf.DUMMYFUNCTION("JOIN("","",FILTER(Disciplinas!A:A, regexmatch(Disciplinas!D:D, A79)))"),"RV.INF100,RV.INF64,RV.INF74,RV.INF97,RV.INF98,RV.INF99")</f>
        <v>RV.INF100,RV.INF64,RV.INF74,RV.INF97,RV.INF98,RV.INF99</v>
      </c>
      <c r="E79" s="30" t="str">
        <f t="shared" si="1"/>
        <v>1-12</v>
      </c>
      <c r="F79" s="30" t="str">
        <f t="shared" si="2"/>
        <v>1-12</v>
      </c>
      <c r="G79" s="30" t="str">
        <f t="shared" si="3"/>
        <v>1-12</v>
      </c>
      <c r="H79" s="30" t="str">
        <f t="shared" si="4"/>
        <v>1-12</v>
      </c>
      <c r="I79" s="30" t="str">
        <f t="shared" si="5"/>
        <v>1-12</v>
      </c>
      <c r="J79" s="30" t="str">
        <f t="shared" si="6"/>
        <v>12-16</v>
      </c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</row>
    <row r="80" ht="14.25" customHeight="1">
      <c r="A80" s="55" t="s">
        <v>897</v>
      </c>
      <c r="B80" s="56" t="s">
        <v>1369</v>
      </c>
      <c r="C80" s="57" t="s">
        <v>1383</v>
      </c>
      <c r="D80" s="49" t="str">
        <f>IFERROR(__xludf.DUMMYFUNCTION("JOIN("","",FILTER(Disciplinas!A:A, regexmatch(Disciplinas!D:D, A80)))"),"RV.CON817,RV.INF61,RV.INF62,RV.INF63,RV.INF85,RV.INF94")</f>
        <v>RV.CON817,RV.INF61,RV.INF62,RV.INF63,RV.INF85,RV.INF94</v>
      </c>
      <c r="E80" s="30" t="str">
        <f t="shared" si="1"/>
        <v>1-12</v>
      </c>
      <c r="F80" s="30" t="str">
        <f t="shared" si="2"/>
        <v>1-12</v>
      </c>
      <c r="G80" s="30" t="str">
        <f t="shared" si="3"/>
        <v>1-12</v>
      </c>
      <c r="H80" s="30" t="str">
        <f t="shared" si="4"/>
        <v>1-12</v>
      </c>
      <c r="I80" s="30" t="str">
        <f t="shared" si="5"/>
        <v>1-12</v>
      </c>
      <c r="J80" s="30" t="str">
        <f t="shared" si="6"/>
        <v>12-16</v>
      </c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</row>
    <row r="81" ht="14.25" customHeight="1">
      <c r="A81" s="55" t="s">
        <v>909</v>
      </c>
      <c r="B81" s="56" t="s">
        <v>1369</v>
      </c>
      <c r="C81" s="57" t="s">
        <v>1383</v>
      </c>
      <c r="D81" s="49" t="str">
        <f>IFERROR(__xludf.DUMMYFUNCTION("JOIN("","",FILTER(Disciplinas!A:A, regexmatch(Disciplinas!D:D, A81)))"),"RV.INF60,RV.INF88,RV.INF91,TADMRV33")</f>
        <v>RV.INF60,RV.INF88,RV.INF91,TADMRV33</v>
      </c>
      <c r="E81" s="30" t="str">
        <f t="shared" si="1"/>
        <v>1-12</v>
      </c>
      <c r="F81" s="30" t="str">
        <f t="shared" si="2"/>
        <v>1-12</v>
      </c>
      <c r="G81" s="30" t="str">
        <f t="shared" si="3"/>
        <v>1-12</v>
      </c>
      <c r="H81" s="30" t="str">
        <f t="shared" si="4"/>
        <v>1-12</v>
      </c>
      <c r="I81" s="30" t="str">
        <f t="shared" si="5"/>
        <v>1-12</v>
      </c>
      <c r="J81" s="30" t="str">
        <f t="shared" si="6"/>
        <v>12-16</v>
      </c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</row>
    <row r="82" ht="14.25" customHeight="1">
      <c r="A82" s="55" t="s">
        <v>914</v>
      </c>
      <c r="B82" s="56" t="s">
        <v>1371</v>
      </c>
      <c r="C82" s="57" t="s">
        <v>1383</v>
      </c>
      <c r="D82" s="49" t="str">
        <f>IFERROR(__xludf.DUMMYFUNCTION("JOIN("","",FILTER(Disciplinas!A:A, regexmatch(Disciplinas!D:D, A82)))"),"RV.EXA722,RV.EXA723,RV.QUI720,RV.QUI723,RV.QUI724,RV.QUI735,RV.QUI736")</f>
        <v>RV.EXA722,RV.EXA723,RV.QUI720,RV.QUI723,RV.QUI724,RV.QUI735,RV.QUI736</v>
      </c>
      <c r="E82" s="30" t="str">
        <f t="shared" si="1"/>
        <v>1-12</v>
      </c>
      <c r="F82" s="30" t="str">
        <f t="shared" si="2"/>
        <v>1-12</v>
      </c>
      <c r="G82" s="30" t="str">
        <f t="shared" si="3"/>
        <v>1-12</v>
      </c>
      <c r="H82" s="30" t="str">
        <f t="shared" si="4"/>
        <v>1-12</v>
      </c>
      <c r="I82" s="30" t="str">
        <f t="shared" si="5"/>
        <v>1-12</v>
      </c>
      <c r="J82" s="30" t="str">
        <f t="shared" si="6"/>
        <v>12-16</v>
      </c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</row>
    <row r="83" ht="14.25" customHeight="1">
      <c r="A83" s="55" t="s">
        <v>929</v>
      </c>
      <c r="B83" s="56" t="s">
        <v>1371</v>
      </c>
      <c r="C83" s="57" t="s">
        <v>1383</v>
      </c>
      <c r="D83" s="49" t="str">
        <f>IFERROR(__xludf.DUMMYFUNCTION("JOIN("","",FILTER(Disciplinas!A:A, regexmatch(Disciplinas!D:D, A83)))"),"RV.ING412,RV.QUI725,RV.QUI726,RV.QUI731,RV.QUI737,RV.TAL717,RV.TAL727")</f>
        <v>RV.ING412,RV.QUI725,RV.QUI726,RV.QUI731,RV.QUI737,RV.TAL717,RV.TAL727</v>
      </c>
      <c r="E83" s="30" t="str">
        <f t="shared" si="1"/>
        <v>1-12</v>
      </c>
      <c r="F83" s="30" t="str">
        <f t="shared" si="2"/>
        <v>1-12</v>
      </c>
      <c r="G83" s="30" t="str">
        <f t="shared" si="3"/>
        <v>1-12</v>
      </c>
      <c r="H83" s="30" t="str">
        <f t="shared" si="4"/>
        <v>1-12</v>
      </c>
      <c r="I83" s="30" t="str">
        <f t="shared" si="5"/>
        <v>1-12</v>
      </c>
      <c r="J83" s="30" t="str">
        <f t="shared" si="6"/>
        <v>12-16</v>
      </c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</row>
    <row r="84" ht="14.25" customHeight="1">
      <c r="A84" s="55" t="s">
        <v>938</v>
      </c>
      <c r="B84" s="56" t="s">
        <v>1371</v>
      </c>
      <c r="C84" s="57" t="s">
        <v>1383</v>
      </c>
      <c r="D84" s="49" t="str">
        <f>IFERROR(__xludf.DUMMYFUNCTION("JOIN("","",FILTER(Disciplinas!A:A, regexmatch(Disciplinas!D:D, A84)))"),"RV.HUM805,RV.QUI124,RV.QUI728,RV.QUI729,RV.QUI730,RV.QUI733,RV.TAL10")</f>
        <v>RV.HUM805,RV.QUI124,RV.QUI728,RV.QUI729,RV.QUI730,RV.QUI733,RV.TAL10</v>
      </c>
      <c r="E84" s="30" t="str">
        <f t="shared" si="1"/>
        <v>1-12</v>
      </c>
      <c r="F84" s="30" t="str">
        <f t="shared" si="2"/>
        <v>1-12</v>
      </c>
      <c r="G84" s="30" t="str">
        <f t="shared" si="3"/>
        <v>1-12</v>
      </c>
      <c r="H84" s="30" t="str">
        <f t="shared" si="4"/>
        <v>1-12</v>
      </c>
      <c r="I84" s="30" t="str">
        <f t="shared" si="5"/>
        <v>1-12</v>
      </c>
      <c r="J84" s="30" t="str">
        <f t="shared" si="6"/>
        <v>12-16</v>
      </c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</row>
    <row r="85" ht="14.25" customHeight="1">
      <c r="A85" s="55" t="s">
        <v>956</v>
      </c>
      <c r="B85" s="56" t="s">
        <v>1350</v>
      </c>
      <c r="C85" s="57" t="s">
        <v>1383</v>
      </c>
      <c r="D85" s="49" t="str">
        <f>IFERROR(__xludf.DUMMYFUNCTION("JOIN("","",FILTER(Disciplinas!A:A, regexmatch(Disciplinas!D:D, A85)))"),"GRAD.CáLCULO.01,GRAD.FQ.01,GRAD.FQIE.01,GRAD.FQIE.01,GRAD.FSHE.01,GRAD.PAQG.01,GRAD.QG-II.01")</f>
        <v>GRAD.CáLCULO.01,GRAD.FQ.01,GRAD.FQIE.01,GRAD.FQIE.01,GRAD.FSHE.01,GRAD.PAQG.01,GRAD.QG-II.01</v>
      </c>
      <c r="E85" s="30" t="str">
        <f t="shared" si="1"/>
        <v>1-12</v>
      </c>
      <c r="F85" s="30" t="str">
        <f t="shared" si="2"/>
        <v>1-12</v>
      </c>
      <c r="G85" s="30" t="str">
        <f t="shared" si="3"/>
        <v>1-12</v>
      </c>
      <c r="H85" s="30" t="str">
        <f t="shared" si="4"/>
        <v>1-12</v>
      </c>
      <c r="I85" s="30" t="str">
        <f t="shared" si="5"/>
        <v>1-12</v>
      </c>
      <c r="J85" s="30" t="str">
        <f t="shared" si="6"/>
        <v>12-16</v>
      </c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</row>
    <row r="86" ht="14.25" customHeight="1">
      <c r="A86" s="55" t="s">
        <v>965</v>
      </c>
      <c r="B86" s="56" t="s">
        <v>1350</v>
      </c>
      <c r="C86" s="57" t="s">
        <v>1383</v>
      </c>
      <c r="D86" s="49" t="str">
        <f>IFERROR(__xludf.DUMMYFUNCTION("JOIN("","",FILTER(Disciplinas!A:A, regexmatch(Disciplinas!D:D, A86)))"),"GRAD.DIDáT.01,GRAD.EB.02,GRAD.FGE-II.01,GRAD.PAQAQ.01,GRAD.QAQ.03")</f>
        <v>GRAD.DIDáT.01,GRAD.EB.02,GRAD.FGE-II.01,GRAD.PAQAQ.01,GRAD.QAQ.03</v>
      </c>
      <c r="E86" s="30" t="str">
        <f t="shared" si="1"/>
        <v>1-12</v>
      </c>
      <c r="F86" s="30" t="str">
        <f t="shared" si="2"/>
        <v>1-12</v>
      </c>
      <c r="G86" s="30" t="str">
        <f t="shared" si="3"/>
        <v>1-12</v>
      </c>
      <c r="H86" s="30" t="str">
        <f t="shared" si="4"/>
        <v>1-12</v>
      </c>
      <c r="I86" s="30" t="str">
        <f t="shared" si="5"/>
        <v>1-12</v>
      </c>
      <c r="J86" s="30" t="str">
        <f t="shared" si="6"/>
        <v>12-16</v>
      </c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</row>
    <row r="87" ht="14.25" customHeight="1">
      <c r="A87" s="55" t="s">
        <v>973</v>
      </c>
      <c r="B87" s="56" t="s">
        <v>1350</v>
      </c>
      <c r="C87" s="57" t="s">
        <v>1383</v>
      </c>
      <c r="D87" s="49" t="str">
        <f>IFERROR(__xludf.DUMMYFUNCTION("JOIN("","",FILTER(Disciplinas!A:A, regexmatch(Disciplinas!D:D, A87)))"),"RV.EDU205,RV.HUM223,RV.QUI230")</f>
        <v>RV.EDU205,RV.HUM223,RV.QUI230</v>
      </c>
      <c r="E87" s="30" t="str">
        <f t="shared" si="1"/>
        <v>1-12</v>
      </c>
      <c r="F87" s="30" t="str">
        <f t="shared" si="2"/>
        <v>1-12</v>
      </c>
      <c r="G87" s="30" t="str">
        <f t="shared" si="3"/>
        <v>1-12</v>
      </c>
      <c r="H87" s="30" t="str">
        <f t="shared" si="4"/>
        <v>1-12</v>
      </c>
      <c r="I87" s="30" t="str">
        <f t="shared" si="5"/>
        <v>1-12</v>
      </c>
      <c r="J87" s="30" t="str">
        <f t="shared" si="6"/>
        <v>12-16</v>
      </c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</row>
    <row r="88" ht="14.25" customHeight="1">
      <c r="A88" s="55" t="s">
        <v>980</v>
      </c>
      <c r="B88" s="56" t="s">
        <v>1350</v>
      </c>
      <c r="C88" s="57" t="s">
        <v>1383</v>
      </c>
      <c r="D88" s="49" t="str">
        <f>IFERROR(__xludf.DUMMYFUNCTION("JOIN("","",FILTER(Disciplinas!A:A, regexmatch(Disciplinas!D:D, A88)))"),"RV.EDU208,RV.EDU210,RV.QUI220,RV.QUI235,RV.QUI239,RV.QUI254")</f>
        <v>RV.EDU208,RV.EDU210,RV.QUI220,RV.QUI235,RV.QUI239,RV.QUI254</v>
      </c>
      <c r="E88" s="30" t="str">
        <f t="shared" si="1"/>
        <v>1-12</v>
      </c>
      <c r="F88" s="30" t="str">
        <f t="shared" si="2"/>
        <v>1-12</v>
      </c>
      <c r="G88" s="30" t="str">
        <f t="shared" si="3"/>
        <v>1-12</v>
      </c>
      <c r="H88" s="30" t="str">
        <f t="shared" si="4"/>
        <v>1-12</v>
      </c>
      <c r="I88" s="30" t="str">
        <f t="shared" si="5"/>
        <v>1-12</v>
      </c>
      <c r="J88" s="30" t="str">
        <f t="shared" si="6"/>
        <v>12-16</v>
      </c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</row>
    <row r="89" ht="14.25" customHeight="1">
      <c r="A89" s="55" t="s">
        <v>991</v>
      </c>
      <c r="B89" s="56" t="s">
        <v>1350</v>
      </c>
      <c r="C89" s="57" t="s">
        <v>1386</v>
      </c>
      <c r="D89" s="49" t="str">
        <f>IFERROR(__xludf.DUMMYFUNCTION("JOIN("","",FILTER(Disciplinas!A:A, regexmatch(Disciplinas!D:D, A89)))"),"RV.EXA203,RV.EXA222")</f>
        <v>RV.EXA203,RV.EXA222</v>
      </c>
      <c r="E89" s="30" t="str">
        <f t="shared" si="1"/>
        <v>13-16</v>
      </c>
      <c r="F89" s="30" t="str">
        <f t="shared" si="2"/>
        <v>13-16</v>
      </c>
      <c r="G89" s="30" t="str">
        <f t="shared" si="3"/>
        <v>13-16</v>
      </c>
      <c r="H89" s="30" t="str">
        <f t="shared" si="4"/>
        <v>13-16</v>
      </c>
      <c r="I89" s="30" t="str">
        <f t="shared" si="5"/>
        <v>13-16</v>
      </c>
      <c r="J89" s="30" t="str">
        <f t="shared" si="6"/>
        <v>1-16</v>
      </c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</row>
    <row r="90" ht="14.25" customHeight="1">
      <c r="A90" s="55" t="s">
        <v>995</v>
      </c>
      <c r="B90" s="56" t="s">
        <v>1350</v>
      </c>
      <c r="C90" s="57" t="s">
        <v>1386</v>
      </c>
      <c r="D90" s="49" t="str">
        <f>IFERROR(__xludf.DUMMYFUNCTION("JOIN("","",FILTER(Disciplinas!A:A, regexmatch(Disciplinas!D:D, A90)))"),"RV.QUI228")</f>
        <v>RV.QUI228</v>
      </c>
      <c r="E90" s="30" t="str">
        <f t="shared" si="1"/>
        <v>13-16</v>
      </c>
      <c r="F90" s="30" t="str">
        <f t="shared" si="2"/>
        <v>13-16</v>
      </c>
      <c r="G90" s="30" t="str">
        <f t="shared" si="3"/>
        <v>13-16</v>
      </c>
      <c r="H90" s="30" t="str">
        <f t="shared" si="4"/>
        <v>13-16</v>
      </c>
      <c r="I90" s="30" t="str">
        <f t="shared" si="5"/>
        <v>13-16</v>
      </c>
      <c r="J90" s="30" t="str">
        <f t="shared" si="6"/>
        <v>1-16</v>
      </c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</row>
    <row r="91" ht="14.25" customHeight="1">
      <c r="A91" s="55" t="s">
        <v>996</v>
      </c>
      <c r="B91" s="56" t="s">
        <v>1352</v>
      </c>
      <c r="C91" s="57" t="s">
        <v>1383</v>
      </c>
      <c r="D91" s="49" t="str">
        <f>IFERROR(__xludf.DUMMYFUNCTION("JOIN("","",FILTER(Disciplinas!A:A, regexmatch(Disciplinas!D:D, A91)))"),"GRAD.CáLCULO.01,GRAD.EB.02,GRAD.HIDROLOG.01,GRAD.QAAI.01,GRAD.TOPOG.01")</f>
        <v>GRAD.CáLCULO.01,GRAD.EB.02,GRAD.HIDROLOG.01,GRAD.QAAI.01,GRAD.TOPOG.01</v>
      </c>
      <c r="E91" s="30" t="str">
        <f t="shared" si="1"/>
        <v>1-12</v>
      </c>
      <c r="F91" s="30" t="str">
        <f t="shared" si="2"/>
        <v>1-12</v>
      </c>
      <c r="G91" s="30" t="str">
        <f t="shared" si="3"/>
        <v>1-12</v>
      </c>
      <c r="H91" s="30" t="str">
        <f t="shared" si="4"/>
        <v>1-12</v>
      </c>
      <c r="I91" s="30" t="str">
        <f t="shared" si="5"/>
        <v>1-12</v>
      </c>
      <c r="J91" s="30" t="str">
        <f t="shared" si="6"/>
        <v>12-16</v>
      </c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</row>
    <row r="92" ht="14.25" customHeight="1">
      <c r="A92" s="55" t="s">
        <v>1001</v>
      </c>
      <c r="B92" s="56" t="s">
        <v>1352</v>
      </c>
      <c r="C92" s="57" t="s">
        <v>1383</v>
      </c>
      <c r="D92" s="49" t="str">
        <f>IFERROR(__xludf.DUMMYFUNCTION("JOIN("","",FILTER(Disciplinas!A:A, regexmatch(Disciplinas!D:D, A92)))"),"GRAD.ER.01,GRAD.GAP.01,GRAD.GEOPROCESS.01,GRAD.GRS.02,GRAD.LA.01,GRAD.SP.02")</f>
        <v>GRAD.ER.01,GRAD.GAP.01,GRAD.GEOPROCESS.01,GRAD.GRS.02,GRAD.LA.01,GRAD.SP.02</v>
      </c>
      <c r="E92" s="30" t="str">
        <f t="shared" si="1"/>
        <v>1-12</v>
      </c>
      <c r="F92" s="30" t="str">
        <f t="shared" si="2"/>
        <v>1-12</v>
      </c>
      <c r="G92" s="30" t="str">
        <f t="shared" si="3"/>
        <v>1-12</v>
      </c>
      <c r="H92" s="30" t="str">
        <f t="shared" si="4"/>
        <v>1-12</v>
      </c>
      <c r="I92" s="30" t="str">
        <f t="shared" si="5"/>
        <v>1-12</v>
      </c>
      <c r="J92" s="30" t="str">
        <f t="shared" si="6"/>
        <v>12-16</v>
      </c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ht="14.25" customHeight="1">
      <c r="A93" s="55" t="s">
        <v>1010</v>
      </c>
      <c r="B93" s="56" t="s">
        <v>1352</v>
      </c>
      <c r="C93" s="57" t="s">
        <v>1383</v>
      </c>
      <c r="D93" s="49" t="str">
        <f>IFERROR(__xludf.DUMMYFUNCTION("JOIN("","",FILTER(Disciplinas!A:A, regexmatch(Disciplinas!D:D, A93)))"),"RV.GAM208,RV.GAM209,RV.GAM220,RV.GAM232")</f>
        <v>RV.GAM208,RV.GAM209,RV.GAM220,RV.GAM232</v>
      </c>
      <c r="E93" s="30" t="str">
        <f t="shared" si="1"/>
        <v>1-12</v>
      </c>
      <c r="F93" s="30" t="str">
        <f t="shared" si="2"/>
        <v>1-12</v>
      </c>
      <c r="G93" s="30" t="str">
        <f t="shared" si="3"/>
        <v>1-12</v>
      </c>
      <c r="H93" s="30" t="str">
        <f t="shared" si="4"/>
        <v>1-12</v>
      </c>
      <c r="I93" s="30" t="str">
        <f t="shared" si="5"/>
        <v>1-12</v>
      </c>
      <c r="J93" s="30" t="str">
        <f t="shared" si="6"/>
        <v>12-16</v>
      </c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</row>
    <row r="94" ht="14.25" customHeight="1">
      <c r="A94" s="55" t="s">
        <v>1018</v>
      </c>
      <c r="B94" s="56" t="s">
        <v>1352</v>
      </c>
      <c r="C94" s="57" t="s">
        <v>1386</v>
      </c>
      <c r="D94" s="49" t="str">
        <f>IFERROR(__xludf.DUMMYFUNCTION("JOIN("","",FILTER(Disciplinas!A:A, regexmatch(Disciplinas!D:D, A94)))"),"GRAD.QG.01,RV.EAM211,RV.GAM236")</f>
        <v>GRAD.QG.01,RV.EAM211,RV.GAM236</v>
      </c>
      <c r="E94" s="30" t="str">
        <f t="shared" si="1"/>
        <v>13-16</v>
      </c>
      <c r="F94" s="30" t="str">
        <f t="shared" si="2"/>
        <v>13-16</v>
      </c>
      <c r="G94" s="30" t="str">
        <f t="shared" si="3"/>
        <v>13-16</v>
      </c>
      <c r="H94" s="30" t="str">
        <f t="shared" si="4"/>
        <v>13-16</v>
      </c>
      <c r="I94" s="30" t="str">
        <f t="shared" si="5"/>
        <v>13-16</v>
      </c>
      <c r="J94" s="30" t="str">
        <f t="shared" si="6"/>
        <v>1-16</v>
      </c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</row>
    <row r="95" ht="14.25" customHeight="1">
      <c r="A95" s="55" t="s">
        <v>1025</v>
      </c>
      <c r="B95" s="56" t="s">
        <v>1373</v>
      </c>
      <c r="C95" s="57" t="s">
        <v>1383</v>
      </c>
      <c r="D95" s="49" t="str">
        <f>IFERROR(__xludf.DUMMYFUNCTION("JOIN("","",FILTER(Disciplinas!A:A, regexmatch(Disciplinas!D:D, A95)))"),"CTSTRARV.1,CTSTRARV.2,CTSTRARV.3,CTSTRARV.30,CTSTRARV.31,CTSTRARV.50")</f>
        <v>CTSTRARV.1,CTSTRARV.2,CTSTRARV.3,CTSTRARV.30,CTSTRARV.31,CTSTRARV.50</v>
      </c>
      <c r="E95" s="30" t="str">
        <f t="shared" si="1"/>
        <v>1-12</v>
      </c>
      <c r="F95" s="30" t="str">
        <f t="shared" si="2"/>
        <v>1-12</v>
      </c>
      <c r="G95" s="30" t="str">
        <f t="shared" si="3"/>
        <v>1-12</v>
      </c>
      <c r="H95" s="30" t="str">
        <f t="shared" si="4"/>
        <v>1-12</v>
      </c>
      <c r="I95" s="30" t="str">
        <f t="shared" si="5"/>
        <v>1-12</v>
      </c>
      <c r="J95" s="30" t="str">
        <f t="shared" si="6"/>
        <v>12-16</v>
      </c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</row>
    <row r="96" ht="14.25" customHeight="1">
      <c r="A96" s="55" t="s">
        <v>1038</v>
      </c>
      <c r="B96" s="56" t="s">
        <v>1373</v>
      </c>
      <c r="C96" s="57" t="s">
        <v>1383</v>
      </c>
      <c r="D96" s="49" t="str">
        <f>IFERROR(__xludf.DUMMYFUNCTION("JOIN("","",FILTER(Disciplinas!A:A, regexmatch(Disciplinas!D:D, A96)))"),"CTSTRARV.32,CTSTRARV.33,CTSTRARV.34,CTSTRARV.35,CTSTRARV.36,CTSTRARV.37,TADMRV33")</f>
        <v>CTSTRARV.32,CTSTRARV.33,CTSTRARV.34,CTSTRARV.35,CTSTRARV.36,CTSTRARV.37,TADMRV33</v>
      </c>
      <c r="E96" s="30" t="str">
        <f t="shared" si="1"/>
        <v>1-12</v>
      </c>
      <c r="F96" s="30" t="str">
        <f t="shared" si="2"/>
        <v>1-12</v>
      </c>
      <c r="G96" s="30" t="str">
        <f t="shared" si="3"/>
        <v>1-12</v>
      </c>
      <c r="H96" s="30" t="str">
        <f t="shared" si="4"/>
        <v>1-12</v>
      </c>
      <c r="I96" s="30" t="str">
        <f t="shared" si="5"/>
        <v>1-12</v>
      </c>
      <c r="J96" s="30" t="str">
        <f t="shared" si="6"/>
        <v>12-16</v>
      </c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</row>
    <row r="97" ht="14.25" customHeight="1">
      <c r="A97" s="55" t="s">
        <v>1051</v>
      </c>
      <c r="B97" s="56" t="s">
        <v>1373</v>
      </c>
      <c r="C97" s="57" t="s">
        <v>1383</v>
      </c>
      <c r="D97" s="49" t="str">
        <f>IFERROR(__xludf.DUMMYFUNCTION("JOIN("","",FILTER(Disciplinas!A:A, regexmatch(Disciplinas!D:D, A97)))"),"CTSTRARV.19,CTSTRARV.38,CTSTRARV.39,CTSTRARV.40,CTSTRARV.41,CTSTRARV.42,CTSTRARV.43")</f>
        <v>CTSTRARV.19,CTSTRARV.38,CTSTRARV.39,CTSTRARV.40,CTSTRARV.41,CTSTRARV.42,CTSTRARV.43</v>
      </c>
      <c r="E97" s="30" t="str">
        <f t="shared" si="1"/>
        <v>1-12</v>
      </c>
      <c r="F97" s="30" t="str">
        <f t="shared" si="2"/>
        <v>1-12</v>
      </c>
      <c r="G97" s="30" t="str">
        <f t="shared" si="3"/>
        <v>1-12</v>
      </c>
      <c r="H97" s="30" t="str">
        <f t="shared" si="4"/>
        <v>1-12</v>
      </c>
      <c r="I97" s="30" t="str">
        <f t="shared" si="5"/>
        <v>1-12</v>
      </c>
      <c r="J97" s="30" t="str">
        <f t="shared" si="6"/>
        <v>12-16</v>
      </c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</row>
    <row r="98" ht="14.25" customHeight="1">
      <c r="A98" s="55" t="s">
        <v>1066</v>
      </c>
      <c r="B98" s="56" t="s">
        <v>1373</v>
      </c>
      <c r="C98" s="57" t="s">
        <v>1383</v>
      </c>
      <c r="D98" s="49" t="str">
        <f>IFERROR(__xludf.DUMMYFUNCTION("JOIN("","",FILTER(Disciplinas!A:A, regexmatch(Disciplinas!D:D, A98)))"),"CTSTRARV.23,CTSTRARV.44,CTSTRARV.45,CTSTRARV.46,CTSTRARV.47,CTSTRARV.48,CTSTRARV.49")</f>
        <v>CTSTRARV.23,CTSTRARV.44,CTSTRARV.45,CTSTRARV.46,CTSTRARV.47,CTSTRARV.48,CTSTRARV.49</v>
      </c>
      <c r="E98" s="30" t="str">
        <f t="shared" si="1"/>
        <v>1-12</v>
      </c>
      <c r="F98" s="30" t="str">
        <f t="shared" si="2"/>
        <v>1-12</v>
      </c>
      <c r="G98" s="30" t="str">
        <f t="shared" si="3"/>
        <v>1-12</v>
      </c>
      <c r="H98" s="30" t="str">
        <f t="shared" si="4"/>
        <v>1-12</v>
      </c>
      <c r="I98" s="30" t="str">
        <f t="shared" si="5"/>
        <v>1-12</v>
      </c>
      <c r="J98" s="30" t="str">
        <f t="shared" si="6"/>
        <v>12-16</v>
      </c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</row>
    <row r="99" ht="14.25" customHeight="1">
      <c r="A99" s="55" t="s">
        <v>1080</v>
      </c>
      <c r="B99" s="56" t="s">
        <v>1354</v>
      </c>
      <c r="C99" s="57" t="s">
        <v>1385</v>
      </c>
      <c r="D99" s="49" t="str">
        <f>IFERROR(__xludf.DUMMYFUNCTION("JOIN("","",FILTER(Disciplinas!A:A, regexmatch(Disciplinas!D:D, A99)))"),"GRAD.EG.01,GRAD.FMB.02,GRAD.GMS.02,GRAD.IBPZ.01,GRAD.MC.02,GRAD.QO.02,GRAD.ZOOLOGIA.01")</f>
        <v>GRAD.EG.01,GRAD.FMB.02,GRAD.GMS.02,GRAD.IBPZ.01,GRAD.MC.02,GRAD.QO.02,GRAD.ZOOLOGIA.01</v>
      </c>
      <c r="E99" s="30" t="str">
        <f t="shared" si="1"/>
        <v>7-16</v>
      </c>
      <c r="F99" s="30" t="str">
        <f t="shared" si="2"/>
        <v>7-16</v>
      </c>
      <c r="G99" s="30" t="str">
        <f t="shared" si="3"/>
        <v>7-16</v>
      </c>
      <c r="H99" s="30" t="str">
        <f t="shared" si="4"/>
        <v>7-16</v>
      </c>
      <c r="I99" s="30" t="str">
        <f t="shared" si="5"/>
        <v>7-16</v>
      </c>
      <c r="J99" s="30" t="str">
        <f t="shared" si="6"/>
        <v>1-16</v>
      </c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</row>
    <row r="100" ht="14.25" customHeight="1">
      <c r="A100" s="55" t="s">
        <v>1087</v>
      </c>
      <c r="B100" s="56" t="s">
        <v>1354</v>
      </c>
      <c r="C100" s="57" t="s">
        <v>1384</v>
      </c>
      <c r="D100" s="49" t="str">
        <f>IFERROR(__xludf.DUMMYFUNCTION("JOIN("","",FILTER(Disciplinas!A:A, regexmatch(Disciplinas!D:D, A100)))"),"GRAD.EE.02,GRAD.FA.02,GRAD.FS.03,GRAD.FV.03,GRAD.GENéTICA.01,GRAD.MIA.01")</f>
        <v>GRAD.EE.02,GRAD.FA.02,GRAD.FS.03,GRAD.FV.03,GRAD.GENéTICA.01,GRAD.MIA.01</v>
      </c>
      <c r="E100" s="30" t="str">
        <f t="shared" si="1"/>
        <v>1-6,13-16</v>
      </c>
      <c r="F100" s="30" t="str">
        <f t="shared" si="2"/>
        <v>1-6,13-16</v>
      </c>
      <c r="G100" s="30" t="str">
        <f t="shared" si="3"/>
        <v>1-6,13-16</v>
      </c>
      <c r="H100" s="30" t="str">
        <f t="shared" si="4"/>
        <v>1-6,13-16</v>
      </c>
      <c r="I100" s="30" t="str">
        <f t="shared" si="5"/>
        <v>1-6,13-16</v>
      </c>
      <c r="J100" s="30" t="str">
        <f t="shared" si="6"/>
        <v>1-16</v>
      </c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</row>
    <row r="101" ht="14.25" customHeight="1">
      <c r="A101" s="55" t="s">
        <v>1099</v>
      </c>
      <c r="B101" s="56" t="s">
        <v>1354</v>
      </c>
      <c r="C101" s="57" t="s">
        <v>1385</v>
      </c>
      <c r="D101" s="49" t="str">
        <f>IFERROR(__xludf.DUMMYFUNCTION("JOIN("","",FILTER(Disciplinas!A:A, regexmatch(Disciplinas!D:D, A101)))"),"RV.HUM207,RV.ZOO213,RV.ZOO263,SZOOTEC-RV.11,SZOOTEC-RV.12,SZOOTEC-RV.13,SZOOTEC-RV.14")</f>
        <v>RV.HUM207,RV.ZOO213,RV.ZOO263,SZOOTEC-RV.11,SZOOTEC-RV.12,SZOOTEC-RV.13,SZOOTEC-RV.14</v>
      </c>
      <c r="E101" s="30" t="str">
        <f t="shared" si="1"/>
        <v>7-16</v>
      </c>
      <c r="F101" s="30" t="str">
        <f t="shared" si="2"/>
        <v>7-16</v>
      </c>
      <c r="G101" s="30" t="str">
        <f t="shared" si="3"/>
        <v>7-16</v>
      </c>
      <c r="H101" s="30" t="str">
        <f t="shared" si="4"/>
        <v>7-16</v>
      </c>
      <c r="I101" s="30" t="str">
        <f t="shared" si="5"/>
        <v>7-16</v>
      </c>
      <c r="J101" s="30" t="str">
        <f t="shared" si="6"/>
        <v>1-16</v>
      </c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ht="14.25" customHeight="1">
      <c r="A102" s="55" t="s">
        <v>1116</v>
      </c>
      <c r="B102" s="56" t="s">
        <v>1354</v>
      </c>
      <c r="C102" s="57" t="s">
        <v>1384</v>
      </c>
      <c r="D102" s="49" t="str">
        <f>IFERROR(__xludf.DUMMYFUNCTION("JOIN("","",FILTER(Disciplinas!A:A, regexmatch(Disciplinas!D:D, A102)))"),"RV.EAL228,RV.GAM218,RV.HUM205,RV.HUM207,RV.ZOO217,RV.ZOO225")</f>
        <v>RV.EAL228,RV.GAM218,RV.HUM205,RV.HUM207,RV.ZOO217,RV.ZOO225</v>
      </c>
      <c r="E102" s="30" t="str">
        <f t="shared" si="1"/>
        <v>1-6,13-16</v>
      </c>
      <c r="F102" s="30" t="str">
        <f t="shared" si="2"/>
        <v>1-6,13-16</v>
      </c>
      <c r="G102" s="30" t="str">
        <f t="shared" si="3"/>
        <v>1-6,13-16</v>
      </c>
      <c r="H102" s="30" t="str">
        <f t="shared" si="4"/>
        <v>1-6,13-16</v>
      </c>
      <c r="I102" s="30" t="str">
        <f t="shared" si="5"/>
        <v>1-6,13-16</v>
      </c>
      <c r="J102" s="30" t="str">
        <f t="shared" si="6"/>
        <v>1-16</v>
      </c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</row>
    <row r="103" ht="14.25" customHeight="1">
      <c r="A103" s="55" t="s">
        <v>1124</v>
      </c>
      <c r="B103" s="56" t="s">
        <v>1354</v>
      </c>
      <c r="C103" s="57" t="s">
        <v>1386</v>
      </c>
      <c r="D103" s="49" t="str">
        <f>IFERROR(__xludf.DUMMYFUNCTION("JOIN("","",FILTER(Disciplinas!A:A, regexmatch(Disciplinas!D:D, A103)))"),"RV.BIO201,RV.EXA201,RV.QUI205,RV.ZOO202,RV.ZOO223")</f>
        <v>RV.BIO201,RV.EXA201,RV.QUI205,RV.ZOO202,RV.ZOO223</v>
      </c>
      <c r="E103" s="30" t="str">
        <f t="shared" si="1"/>
        <v>13-16</v>
      </c>
      <c r="F103" s="30" t="str">
        <f t="shared" si="2"/>
        <v>13-16</v>
      </c>
      <c r="G103" s="30" t="str">
        <f t="shared" si="3"/>
        <v>13-16</v>
      </c>
      <c r="H103" s="30" t="str">
        <f t="shared" si="4"/>
        <v>13-16</v>
      </c>
      <c r="I103" s="30" t="str">
        <f t="shared" si="5"/>
        <v>13-16</v>
      </c>
      <c r="J103" s="30" t="str">
        <f t="shared" si="6"/>
        <v>1-16</v>
      </c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</row>
  </sheetData>
  <dataValidations>
    <dataValidation type="list" allowBlank="1" showErrorMessage="1" sqref="B2:B103">
      <formula1>Cursos!$B:$B</formula1>
    </dataValidation>
    <dataValidation type="list" allowBlank="1" sqref="A3">
      <formula1>Turmas!$A$2:$A$103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86"/>
    <col customWidth="1" min="3" max="3" width="11.29"/>
    <col customWidth="1" min="4" max="4" width="11.43"/>
    <col customWidth="1" min="5" max="10" width="8.86"/>
    <col customWidth="1" min="11" max="24" width="9.0"/>
  </cols>
  <sheetData>
    <row r="1" ht="14.25" customHeight="1">
      <c r="A1" s="59" t="s">
        <v>0</v>
      </c>
      <c r="B1" s="60" t="s">
        <v>1387</v>
      </c>
      <c r="C1" s="44" t="s">
        <v>1388</v>
      </c>
      <c r="D1" s="60" t="s">
        <v>1389</v>
      </c>
      <c r="E1" s="28" t="s">
        <v>8</v>
      </c>
      <c r="F1" s="28" t="s">
        <v>9</v>
      </c>
      <c r="G1" s="28" t="s">
        <v>10</v>
      </c>
      <c r="H1" s="28" t="s">
        <v>11</v>
      </c>
      <c r="I1" s="28" t="s">
        <v>12</v>
      </c>
      <c r="J1" s="28" t="s">
        <v>13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</row>
    <row r="2" ht="14.25" customHeight="1">
      <c r="A2" s="61" t="s">
        <v>1390</v>
      </c>
      <c r="B2" s="61" t="s">
        <v>1391</v>
      </c>
      <c r="C2" s="62">
        <v>50.0</v>
      </c>
      <c r="D2" s="13" t="s">
        <v>1392</v>
      </c>
      <c r="E2" s="30" t="s">
        <v>1134</v>
      </c>
      <c r="F2" s="30" t="s">
        <v>1134</v>
      </c>
      <c r="G2" s="30" t="s">
        <v>1134</v>
      </c>
      <c r="H2" s="30" t="s">
        <v>1134</v>
      </c>
      <c r="I2" s="30" t="s">
        <v>1134</v>
      </c>
      <c r="J2" s="30" t="s">
        <v>1134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</row>
    <row r="3" ht="14.25" customHeight="1">
      <c r="A3" s="61" t="s">
        <v>1393</v>
      </c>
      <c r="B3" s="61" t="s">
        <v>1394</v>
      </c>
      <c r="C3" s="62">
        <v>50.0</v>
      </c>
      <c r="D3" s="13" t="s">
        <v>1392</v>
      </c>
      <c r="E3" s="30" t="s">
        <v>1134</v>
      </c>
      <c r="F3" s="30" t="s">
        <v>1134</v>
      </c>
      <c r="G3" s="30" t="s">
        <v>1134</v>
      </c>
      <c r="H3" s="30" t="s">
        <v>1134</v>
      </c>
      <c r="I3" s="30" t="s">
        <v>1134</v>
      </c>
      <c r="J3" s="30" t="s">
        <v>1134</v>
      </c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</row>
    <row r="4" ht="14.25" customHeight="1">
      <c r="A4" s="61" t="s">
        <v>1395</v>
      </c>
      <c r="B4" s="61" t="s">
        <v>1396</v>
      </c>
      <c r="C4" s="62">
        <v>50.0</v>
      </c>
      <c r="D4" s="13" t="s">
        <v>1392</v>
      </c>
      <c r="E4" s="30" t="s">
        <v>1134</v>
      </c>
      <c r="F4" s="30" t="s">
        <v>1134</v>
      </c>
      <c r="G4" s="30" t="s">
        <v>1134</v>
      </c>
      <c r="H4" s="30" t="s">
        <v>1134</v>
      </c>
      <c r="I4" s="30" t="s">
        <v>1134</v>
      </c>
      <c r="J4" s="30" t="s">
        <v>1134</v>
      </c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</row>
    <row r="5" ht="14.25" customHeight="1">
      <c r="A5" s="61" t="s">
        <v>1397</v>
      </c>
      <c r="B5" s="61" t="s">
        <v>1398</v>
      </c>
      <c r="C5" s="62">
        <v>50.0</v>
      </c>
      <c r="D5" s="13" t="s">
        <v>1392</v>
      </c>
      <c r="E5" s="30" t="s">
        <v>1134</v>
      </c>
      <c r="F5" s="30" t="s">
        <v>1134</v>
      </c>
      <c r="G5" s="30" t="s">
        <v>1134</v>
      </c>
      <c r="H5" s="30" t="s">
        <v>1134</v>
      </c>
      <c r="I5" s="30" t="s">
        <v>1134</v>
      </c>
      <c r="J5" s="30" t="s">
        <v>1134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</row>
    <row r="6" ht="14.25" customHeight="1">
      <c r="A6" s="61" t="s">
        <v>1399</v>
      </c>
      <c r="B6" s="61" t="s">
        <v>1400</v>
      </c>
      <c r="C6" s="62">
        <v>50.0</v>
      </c>
      <c r="D6" s="13" t="s">
        <v>1392</v>
      </c>
      <c r="E6" s="30" t="s">
        <v>1134</v>
      </c>
      <c r="F6" s="30" t="s">
        <v>1134</v>
      </c>
      <c r="G6" s="30" t="s">
        <v>1134</v>
      </c>
      <c r="H6" s="30" t="s">
        <v>1134</v>
      </c>
      <c r="I6" s="30" t="s">
        <v>1134</v>
      </c>
      <c r="J6" s="30" t="s">
        <v>1134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</row>
    <row r="7" ht="14.25" customHeight="1">
      <c r="A7" s="61" t="s">
        <v>1401</v>
      </c>
      <c r="B7" s="61" t="s">
        <v>1402</v>
      </c>
      <c r="C7" s="62">
        <v>50.0</v>
      </c>
      <c r="D7" s="13" t="s">
        <v>1392</v>
      </c>
      <c r="E7" s="30" t="s">
        <v>1134</v>
      </c>
      <c r="F7" s="30" t="s">
        <v>1134</v>
      </c>
      <c r="G7" s="30" t="s">
        <v>1134</v>
      </c>
      <c r="H7" s="30" t="s">
        <v>1134</v>
      </c>
      <c r="I7" s="30" t="s">
        <v>1134</v>
      </c>
      <c r="J7" s="30" t="s">
        <v>1134</v>
      </c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</row>
    <row r="8" ht="14.25" customHeight="1">
      <c r="A8" s="61" t="s">
        <v>1403</v>
      </c>
      <c r="B8" s="61" t="s">
        <v>1404</v>
      </c>
      <c r="C8" s="62">
        <v>50.0</v>
      </c>
      <c r="D8" s="13" t="s">
        <v>1392</v>
      </c>
      <c r="E8" s="30" t="s">
        <v>1134</v>
      </c>
      <c r="F8" s="30" t="s">
        <v>1134</v>
      </c>
      <c r="G8" s="30" t="s">
        <v>1134</v>
      </c>
      <c r="H8" s="30" t="s">
        <v>1134</v>
      </c>
      <c r="I8" s="30" t="s">
        <v>1134</v>
      </c>
      <c r="J8" s="30" t="s">
        <v>1134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</row>
    <row r="9" ht="14.25" customHeight="1">
      <c r="A9" s="61" t="s">
        <v>1405</v>
      </c>
      <c r="B9" s="63" t="s">
        <v>1406</v>
      </c>
      <c r="C9" s="62">
        <v>50.0</v>
      </c>
      <c r="D9" s="13" t="s">
        <v>1392</v>
      </c>
      <c r="E9" s="30" t="s">
        <v>1134</v>
      </c>
      <c r="F9" s="30" t="s">
        <v>1134</v>
      </c>
      <c r="G9" s="30" t="s">
        <v>1134</v>
      </c>
      <c r="H9" s="30" t="s">
        <v>1134</v>
      </c>
      <c r="I9" s="30" t="s">
        <v>1134</v>
      </c>
      <c r="J9" s="30" t="s">
        <v>1134</v>
      </c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</row>
    <row r="10" ht="14.25" customHeight="1">
      <c r="A10" s="61" t="s">
        <v>1407</v>
      </c>
      <c r="B10" s="63" t="s">
        <v>1408</v>
      </c>
      <c r="C10" s="62">
        <v>50.0</v>
      </c>
      <c r="D10" s="13" t="s">
        <v>1392</v>
      </c>
      <c r="E10" s="30" t="s">
        <v>1134</v>
      </c>
      <c r="F10" s="30" t="s">
        <v>1134</v>
      </c>
      <c r="G10" s="30" t="s">
        <v>1134</v>
      </c>
      <c r="H10" s="30" t="s">
        <v>1134</v>
      </c>
      <c r="I10" s="30" t="s">
        <v>1134</v>
      </c>
      <c r="J10" s="30" t="s">
        <v>1134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</row>
    <row r="11" ht="14.25" customHeight="1">
      <c r="A11" s="61" t="s">
        <v>1409</v>
      </c>
      <c r="B11" s="63" t="s">
        <v>1410</v>
      </c>
      <c r="C11" s="62">
        <v>50.0</v>
      </c>
      <c r="D11" s="13" t="s">
        <v>1392</v>
      </c>
      <c r="E11" s="30" t="s">
        <v>1134</v>
      </c>
      <c r="F11" s="30" t="s">
        <v>1134</v>
      </c>
      <c r="G11" s="30" t="s">
        <v>1134</v>
      </c>
      <c r="H11" s="30" t="s">
        <v>1134</v>
      </c>
      <c r="I11" s="30" t="s">
        <v>1134</v>
      </c>
      <c r="J11" s="30" t="s">
        <v>1134</v>
      </c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</row>
    <row r="12" ht="14.25" customHeight="1">
      <c r="A12" s="61" t="s">
        <v>1411</v>
      </c>
      <c r="B12" s="64" t="s">
        <v>1412</v>
      </c>
      <c r="C12" s="62">
        <v>50.0</v>
      </c>
      <c r="D12" s="13" t="s">
        <v>1392</v>
      </c>
      <c r="E12" s="30" t="s">
        <v>1134</v>
      </c>
      <c r="F12" s="30" t="s">
        <v>1134</v>
      </c>
      <c r="G12" s="30" t="s">
        <v>1134</v>
      </c>
      <c r="H12" s="30" t="s">
        <v>1134</v>
      </c>
      <c r="I12" s="30" t="s">
        <v>1134</v>
      </c>
      <c r="J12" s="30" t="s">
        <v>1134</v>
      </c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</row>
    <row r="13" ht="14.25" customHeight="1">
      <c r="A13" s="61" t="s">
        <v>1413</v>
      </c>
      <c r="B13" s="64" t="s">
        <v>1414</v>
      </c>
      <c r="C13" s="62">
        <v>50.0</v>
      </c>
      <c r="D13" s="13" t="s">
        <v>1392</v>
      </c>
      <c r="E13" s="30" t="s">
        <v>1134</v>
      </c>
      <c r="F13" s="30" t="s">
        <v>1134</v>
      </c>
      <c r="G13" s="30" t="s">
        <v>1134</v>
      </c>
      <c r="H13" s="30" t="s">
        <v>1134</v>
      </c>
      <c r="I13" s="30" t="s">
        <v>1134</v>
      </c>
      <c r="J13" s="30" t="s">
        <v>1134</v>
      </c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</row>
    <row r="14" ht="14.25" customHeight="1">
      <c r="A14" s="61" t="s">
        <v>1415</v>
      </c>
      <c r="B14" s="63" t="s">
        <v>1416</v>
      </c>
      <c r="C14" s="62">
        <v>50.0</v>
      </c>
      <c r="D14" s="13" t="s">
        <v>1392</v>
      </c>
      <c r="E14" s="30" t="s">
        <v>1134</v>
      </c>
      <c r="F14" s="30" t="s">
        <v>1134</v>
      </c>
      <c r="G14" s="30" t="s">
        <v>1134</v>
      </c>
      <c r="H14" s="30" t="s">
        <v>1134</v>
      </c>
      <c r="I14" s="30" t="s">
        <v>1134</v>
      </c>
      <c r="J14" s="30" t="s">
        <v>1134</v>
      </c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</row>
    <row r="15" ht="14.25" customHeight="1">
      <c r="A15" s="61" t="s">
        <v>1417</v>
      </c>
      <c r="B15" s="63" t="s">
        <v>1418</v>
      </c>
      <c r="C15" s="62">
        <v>50.0</v>
      </c>
      <c r="D15" s="13" t="s">
        <v>1392</v>
      </c>
      <c r="E15" s="30" t="s">
        <v>1134</v>
      </c>
      <c r="F15" s="30" t="s">
        <v>1134</v>
      </c>
      <c r="G15" s="30" t="s">
        <v>1134</v>
      </c>
      <c r="H15" s="30" t="s">
        <v>1134</v>
      </c>
      <c r="I15" s="30" t="s">
        <v>1134</v>
      </c>
      <c r="J15" s="30" t="s">
        <v>1134</v>
      </c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</row>
    <row r="16" ht="14.25" customHeight="1">
      <c r="A16" s="61" t="s">
        <v>1419</v>
      </c>
      <c r="B16" s="63" t="s">
        <v>1420</v>
      </c>
      <c r="C16" s="62">
        <v>50.0</v>
      </c>
      <c r="D16" s="13" t="s">
        <v>1392</v>
      </c>
      <c r="E16" s="30" t="s">
        <v>1134</v>
      </c>
      <c r="F16" s="30" t="s">
        <v>1134</v>
      </c>
      <c r="G16" s="30" t="s">
        <v>1134</v>
      </c>
      <c r="H16" s="30" t="s">
        <v>1134</v>
      </c>
      <c r="I16" s="30" t="s">
        <v>1134</v>
      </c>
      <c r="J16" s="30" t="s">
        <v>1134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</row>
    <row r="17" ht="14.25" customHeight="1">
      <c r="A17" s="61" t="s">
        <v>1421</v>
      </c>
      <c r="B17" s="63" t="s">
        <v>1422</v>
      </c>
      <c r="C17" s="62">
        <v>50.0</v>
      </c>
      <c r="D17" s="13" t="s">
        <v>1392</v>
      </c>
      <c r="E17" s="30" t="s">
        <v>1134</v>
      </c>
      <c r="F17" s="30" t="s">
        <v>1134</v>
      </c>
      <c r="G17" s="30" t="s">
        <v>1134</v>
      </c>
      <c r="H17" s="30" t="s">
        <v>1134</v>
      </c>
      <c r="I17" s="30" t="s">
        <v>1134</v>
      </c>
      <c r="J17" s="30" t="s">
        <v>1134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</row>
    <row r="18" ht="14.25" customHeight="1">
      <c r="A18" s="61" t="s">
        <v>1423</v>
      </c>
      <c r="B18" s="63" t="s">
        <v>1424</v>
      </c>
      <c r="C18" s="62">
        <v>50.0</v>
      </c>
      <c r="D18" s="13" t="s">
        <v>1392</v>
      </c>
      <c r="E18" s="30" t="s">
        <v>1134</v>
      </c>
      <c r="F18" s="30" t="s">
        <v>1134</v>
      </c>
      <c r="G18" s="30" t="s">
        <v>1134</v>
      </c>
      <c r="H18" s="30" t="s">
        <v>1134</v>
      </c>
      <c r="I18" s="30" t="s">
        <v>1134</v>
      </c>
      <c r="J18" s="30" t="s">
        <v>1134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</row>
    <row r="19" ht="14.25" customHeight="1">
      <c r="A19" s="61" t="s">
        <v>1425</v>
      </c>
      <c r="B19" s="63" t="s">
        <v>1426</v>
      </c>
      <c r="C19" s="62">
        <v>50.0</v>
      </c>
      <c r="D19" s="13" t="s">
        <v>1392</v>
      </c>
      <c r="E19" s="30" t="s">
        <v>1134</v>
      </c>
      <c r="F19" s="30" t="s">
        <v>1134</v>
      </c>
      <c r="G19" s="30" t="s">
        <v>1134</v>
      </c>
      <c r="H19" s="30" t="s">
        <v>1134</v>
      </c>
      <c r="I19" s="30" t="s">
        <v>1134</v>
      </c>
      <c r="J19" s="30" t="s">
        <v>1134</v>
      </c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</row>
    <row r="20" ht="14.25" customHeight="1">
      <c r="A20" s="61" t="s">
        <v>1427</v>
      </c>
      <c r="B20" s="63" t="s">
        <v>1428</v>
      </c>
      <c r="C20" s="62">
        <v>50.0</v>
      </c>
      <c r="D20" s="13" t="s">
        <v>1392</v>
      </c>
      <c r="E20" s="30" t="s">
        <v>1134</v>
      </c>
      <c r="F20" s="30" t="s">
        <v>1134</v>
      </c>
      <c r="G20" s="30" t="s">
        <v>1134</v>
      </c>
      <c r="H20" s="30" t="s">
        <v>1134</v>
      </c>
      <c r="I20" s="30" t="s">
        <v>1134</v>
      </c>
      <c r="J20" s="30" t="s">
        <v>1134</v>
      </c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</row>
    <row r="21" ht="14.25" customHeight="1">
      <c r="A21" s="61" t="s">
        <v>1429</v>
      </c>
      <c r="B21" s="63" t="s">
        <v>1430</v>
      </c>
      <c r="C21" s="62">
        <v>50.0</v>
      </c>
      <c r="D21" s="13" t="s">
        <v>1392</v>
      </c>
      <c r="E21" s="30" t="s">
        <v>1134</v>
      </c>
      <c r="F21" s="30" t="s">
        <v>1134</v>
      </c>
      <c r="G21" s="30" t="s">
        <v>1134</v>
      </c>
      <c r="H21" s="30" t="s">
        <v>1134</v>
      </c>
      <c r="I21" s="30" t="s">
        <v>1134</v>
      </c>
      <c r="J21" s="30" t="s">
        <v>1134</v>
      </c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</row>
    <row r="22" ht="14.25" customHeight="1">
      <c r="A22" s="61" t="s">
        <v>1431</v>
      </c>
      <c r="B22" s="63" t="s">
        <v>1432</v>
      </c>
      <c r="C22" s="62">
        <v>50.0</v>
      </c>
      <c r="D22" s="13" t="s">
        <v>1392</v>
      </c>
      <c r="E22" s="30" t="s">
        <v>1134</v>
      </c>
      <c r="F22" s="30" t="s">
        <v>1134</v>
      </c>
      <c r="G22" s="30" t="s">
        <v>1134</v>
      </c>
      <c r="H22" s="30" t="s">
        <v>1134</v>
      </c>
      <c r="I22" s="30" t="s">
        <v>1134</v>
      </c>
      <c r="J22" s="30" t="s">
        <v>1134</v>
      </c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</row>
    <row r="23" ht="14.25" customHeight="1">
      <c r="A23" s="61" t="s">
        <v>1433</v>
      </c>
      <c r="B23" s="63" t="s">
        <v>1434</v>
      </c>
      <c r="C23" s="62">
        <v>50.0</v>
      </c>
      <c r="D23" s="13" t="s">
        <v>1392</v>
      </c>
      <c r="E23" s="30" t="s">
        <v>1134</v>
      </c>
      <c r="F23" s="30" t="s">
        <v>1134</v>
      </c>
      <c r="G23" s="30" t="s">
        <v>1134</v>
      </c>
      <c r="H23" s="30" t="s">
        <v>1134</v>
      </c>
      <c r="I23" s="30" t="s">
        <v>1134</v>
      </c>
      <c r="J23" s="30" t="s">
        <v>1134</v>
      </c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</row>
    <row r="24" ht="14.25" customHeight="1">
      <c r="A24" s="61" t="s">
        <v>1435</v>
      </c>
      <c r="B24" s="63" t="s">
        <v>1436</v>
      </c>
      <c r="C24" s="62">
        <v>50.0</v>
      </c>
      <c r="D24" s="13" t="s">
        <v>1392</v>
      </c>
      <c r="E24" s="30" t="s">
        <v>1134</v>
      </c>
      <c r="F24" s="30" t="s">
        <v>1134</v>
      </c>
      <c r="G24" s="30" t="s">
        <v>1134</v>
      </c>
      <c r="H24" s="30" t="s">
        <v>1134</v>
      </c>
      <c r="I24" s="30" t="s">
        <v>1134</v>
      </c>
      <c r="J24" s="30" t="s">
        <v>1134</v>
      </c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</row>
    <row r="25" ht="14.25" customHeight="1">
      <c r="A25" s="61" t="s">
        <v>1437</v>
      </c>
      <c r="B25" s="63" t="s">
        <v>1438</v>
      </c>
      <c r="C25" s="62">
        <v>50.0</v>
      </c>
      <c r="D25" s="13" t="s">
        <v>1392</v>
      </c>
      <c r="E25" s="30" t="s">
        <v>1134</v>
      </c>
      <c r="F25" s="30" t="s">
        <v>1134</v>
      </c>
      <c r="G25" s="30" t="s">
        <v>1134</v>
      </c>
      <c r="H25" s="30" t="s">
        <v>1134</v>
      </c>
      <c r="I25" s="30" t="s">
        <v>1134</v>
      </c>
      <c r="J25" s="30" t="s">
        <v>1134</v>
      </c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</row>
    <row r="26" ht="14.25" customHeight="1">
      <c r="A26" s="61" t="s">
        <v>1439</v>
      </c>
      <c r="B26" s="63" t="s">
        <v>1440</v>
      </c>
      <c r="C26" s="62">
        <v>50.0</v>
      </c>
      <c r="D26" s="13" t="s">
        <v>1392</v>
      </c>
      <c r="E26" s="30" t="s">
        <v>1134</v>
      </c>
      <c r="F26" s="30" t="s">
        <v>1134</v>
      </c>
      <c r="G26" s="30" t="s">
        <v>1134</v>
      </c>
      <c r="H26" s="30" t="s">
        <v>1134</v>
      </c>
      <c r="I26" s="30" t="s">
        <v>1134</v>
      </c>
      <c r="J26" s="30" t="s">
        <v>1134</v>
      </c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</row>
    <row r="27" ht="14.25" customHeight="1">
      <c r="A27" s="61" t="s">
        <v>1441</v>
      </c>
      <c r="B27" s="63" t="s">
        <v>1442</v>
      </c>
      <c r="C27" s="62">
        <v>50.0</v>
      </c>
      <c r="D27" s="13" t="s">
        <v>1392</v>
      </c>
      <c r="E27" s="30" t="s">
        <v>1134</v>
      </c>
      <c r="F27" s="30" t="s">
        <v>1134</v>
      </c>
      <c r="G27" s="30" t="s">
        <v>1134</v>
      </c>
      <c r="H27" s="30" t="s">
        <v>1134</v>
      </c>
      <c r="I27" s="30" t="s">
        <v>1134</v>
      </c>
      <c r="J27" s="30" t="s">
        <v>1134</v>
      </c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</row>
    <row r="28" ht="14.25" customHeight="1">
      <c r="A28" s="61" t="s">
        <v>1443</v>
      </c>
      <c r="B28" s="63" t="s">
        <v>1444</v>
      </c>
      <c r="C28" s="62">
        <v>50.0</v>
      </c>
      <c r="D28" s="13" t="s">
        <v>1392</v>
      </c>
      <c r="E28" s="30" t="s">
        <v>1134</v>
      </c>
      <c r="F28" s="30" t="s">
        <v>1134</v>
      </c>
      <c r="G28" s="30" t="s">
        <v>1134</v>
      </c>
      <c r="H28" s="30" t="s">
        <v>1134</v>
      </c>
      <c r="I28" s="30" t="s">
        <v>1134</v>
      </c>
      <c r="J28" s="30" t="s">
        <v>1134</v>
      </c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</row>
    <row r="29" ht="14.25" customHeight="1">
      <c r="A29" s="61" t="s">
        <v>1445</v>
      </c>
      <c r="B29" s="63" t="s">
        <v>1446</v>
      </c>
      <c r="C29" s="62">
        <v>50.0</v>
      </c>
      <c r="D29" s="13" t="s">
        <v>1392</v>
      </c>
      <c r="E29" s="30" t="s">
        <v>1134</v>
      </c>
      <c r="F29" s="30" t="s">
        <v>1134</v>
      </c>
      <c r="G29" s="30" t="s">
        <v>1134</v>
      </c>
      <c r="H29" s="30" t="s">
        <v>1134</v>
      </c>
      <c r="I29" s="30" t="s">
        <v>1134</v>
      </c>
      <c r="J29" s="30" t="s">
        <v>1134</v>
      </c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</row>
    <row r="30" ht="14.25" customHeight="1">
      <c r="A30" s="61" t="s">
        <v>1447</v>
      </c>
      <c r="B30" s="63" t="s">
        <v>1448</v>
      </c>
      <c r="C30" s="62">
        <v>50.0</v>
      </c>
      <c r="D30" s="13" t="s">
        <v>1392</v>
      </c>
      <c r="E30" s="30" t="s">
        <v>1134</v>
      </c>
      <c r="F30" s="30" t="s">
        <v>1134</v>
      </c>
      <c r="G30" s="30" t="s">
        <v>1134</v>
      </c>
      <c r="H30" s="30" t="s">
        <v>1134</v>
      </c>
      <c r="I30" s="30" t="s">
        <v>1134</v>
      </c>
      <c r="J30" s="30" t="s">
        <v>1134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</row>
    <row r="31" ht="14.25" customHeight="1">
      <c r="A31" s="61" t="s">
        <v>1449</v>
      </c>
      <c r="B31" s="63" t="s">
        <v>1450</v>
      </c>
      <c r="C31" s="62">
        <v>50.0</v>
      </c>
      <c r="D31" s="13" t="s">
        <v>1392</v>
      </c>
      <c r="E31" s="30" t="s">
        <v>1134</v>
      </c>
      <c r="F31" s="30" t="s">
        <v>1134</v>
      </c>
      <c r="G31" s="30" t="s">
        <v>1134</v>
      </c>
      <c r="H31" s="30" t="s">
        <v>1134</v>
      </c>
      <c r="I31" s="30" t="s">
        <v>1134</v>
      </c>
      <c r="J31" s="30" t="s">
        <v>1134</v>
      </c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</row>
    <row r="32" ht="14.25" customHeight="1">
      <c r="A32" s="61" t="s">
        <v>1451</v>
      </c>
      <c r="B32" s="63" t="s">
        <v>1452</v>
      </c>
      <c r="C32" s="62">
        <v>50.0</v>
      </c>
      <c r="D32" s="13" t="s">
        <v>1392</v>
      </c>
      <c r="E32" s="30" t="s">
        <v>1134</v>
      </c>
      <c r="F32" s="30" t="s">
        <v>1134</v>
      </c>
      <c r="G32" s="30" t="s">
        <v>1134</v>
      </c>
      <c r="H32" s="30" t="s">
        <v>1134</v>
      </c>
      <c r="I32" s="30" t="s">
        <v>1134</v>
      </c>
      <c r="J32" s="30" t="s">
        <v>1134</v>
      </c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</row>
    <row r="33" ht="14.25" customHeight="1">
      <c r="A33" s="61" t="s">
        <v>1453</v>
      </c>
      <c r="B33" s="63" t="s">
        <v>1454</v>
      </c>
      <c r="C33" s="62">
        <v>50.0</v>
      </c>
      <c r="D33" s="13" t="s">
        <v>1392</v>
      </c>
      <c r="E33" s="30" t="s">
        <v>1134</v>
      </c>
      <c r="F33" s="30" t="s">
        <v>1134</v>
      </c>
      <c r="G33" s="30" t="s">
        <v>1134</v>
      </c>
      <c r="H33" s="30" t="s">
        <v>1134</v>
      </c>
      <c r="I33" s="30" t="s">
        <v>1134</v>
      </c>
      <c r="J33" s="30" t="s">
        <v>1134</v>
      </c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</row>
    <row r="34" ht="14.25" customHeight="1">
      <c r="A34" s="61" t="s">
        <v>1455</v>
      </c>
      <c r="B34" s="63" t="s">
        <v>1456</v>
      </c>
      <c r="C34" s="62">
        <v>50.0</v>
      </c>
      <c r="D34" s="13" t="s">
        <v>1392</v>
      </c>
      <c r="E34" s="30" t="s">
        <v>1134</v>
      </c>
      <c r="F34" s="30" t="s">
        <v>1134</v>
      </c>
      <c r="G34" s="30" t="s">
        <v>1134</v>
      </c>
      <c r="H34" s="30" t="s">
        <v>1134</v>
      </c>
      <c r="I34" s="30" t="s">
        <v>1134</v>
      </c>
      <c r="J34" s="30" t="s">
        <v>1134</v>
      </c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</row>
    <row r="35" ht="14.25" customHeight="1">
      <c r="A35" s="61" t="s">
        <v>1457</v>
      </c>
      <c r="B35" s="63" t="s">
        <v>1458</v>
      </c>
      <c r="C35" s="62">
        <v>50.0</v>
      </c>
      <c r="D35" s="13" t="s">
        <v>1392</v>
      </c>
      <c r="E35" s="30" t="s">
        <v>1134</v>
      </c>
      <c r="F35" s="30" t="s">
        <v>1134</v>
      </c>
      <c r="G35" s="30" t="s">
        <v>1134</v>
      </c>
      <c r="H35" s="30" t="s">
        <v>1134</v>
      </c>
      <c r="I35" s="30" t="s">
        <v>1134</v>
      </c>
      <c r="J35" s="30" t="s">
        <v>1134</v>
      </c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</row>
    <row r="36" ht="14.25" customHeight="1">
      <c r="A36" s="61" t="s">
        <v>1459</v>
      </c>
      <c r="B36" s="63" t="s">
        <v>1460</v>
      </c>
      <c r="C36" s="62">
        <v>50.0</v>
      </c>
      <c r="D36" s="13" t="s">
        <v>1392</v>
      </c>
      <c r="E36" s="30" t="s">
        <v>1134</v>
      </c>
      <c r="F36" s="30" t="s">
        <v>1134</v>
      </c>
      <c r="G36" s="30" t="s">
        <v>1134</v>
      </c>
      <c r="H36" s="30" t="s">
        <v>1134</v>
      </c>
      <c r="I36" s="30" t="s">
        <v>1134</v>
      </c>
      <c r="J36" s="30" t="s">
        <v>1134</v>
      </c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</row>
    <row r="37" ht="14.25" customHeight="1">
      <c r="A37" s="61" t="s">
        <v>1461</v>
      </c>
      <c r="B37" s="63" t="s">
        <v>1462</v>
      </c>
      <c r="C37" s="62">
        <v>50.0</v>
      </c>
      <c r="D37" s="13" t="s">
        <v>1392</v>
      </c>
      <c r="E37" s="30" t="s">
        <v>1134</v>
      </c>
      <c r="F37" s="30" t="s">
        <v>1134</v>
      </c>
      <c r="G37" s="30" t="s">
        <v>1134</v>
      </c>
      <c r="H37" s="30" t="s">
        <v>1134</v>
      </c>
      <c r="I37" s="30" t="s">
        <v>1134</v>
      </c>
      <c r="J37" s="30" t="s">
        <v>1134</v>
      </c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</row>
    <row r="38" ht="14.25" customHeight="1">
      <c r="A38" s="61" t="s">
        <v>1463</v>
      </c>
      <c r="B38" s="63" t="s">
        <v>1464</v>
      </c>
      <c r="C38" s="62">
        <v>50.0</v>
      </c>
      <c r="D38" s="13" t="s">
        <v>1392</v>
      </c>
      <c r="E38" s="30" t="s">
        <v>1134</v>
      </c>
      <c r="F38" s="30" t="s">
        <v>1134</v>
      </c>
      <c r="G38" s="30" t="s">
        <v>1134</v>
      </c>
      <c r="H38" s="30" t="s">
        <v>1134</v>
      </c>
      <c r="I38" s="30" t="s">
        <v>1134</v>
      </c>
      <c r="J38" s="30" t="s">
        <v>1134</v>
      </c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</row>
    <row r="39" ht="14.25" customHeight="1">
      <c r="A39" s="61" t="s">
        <v>1465</v>
      </c>
      <c r="B39" s="63" t="s">
        <v>1466</v>
      </c>
      <c r="C39" s="62">
        <v>50.0</v>
      </c>
      <c r="D39" s="13" t="s">
        <v>1392</v>
      </c>
      <c r="E39" s="30" t="s">
        <v>1134</v>
      </c>
      <c r="F39" s="30" t="s">
        <v>1134</v>
      </c>
      <c r="G39" s="30" t="s">
        <v>1134</v>
      </c>
      <c r="H39" s="30" t="s">
        <v>1134</v>
      </c>
      <c r="I39" s="30" t="s">
        <v>1134</v>
      </c>
      <c r="J39" s="30" t="s">
        <v>1134</v>
      </c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</row>
    <row r="40" ht="14.25" customHeight="1">
      <c r="A40" s="61" t="s">
        <v>1467</v>
      </c>
      <c r="B40" s="63" t="s">
        <v>1468</v>
      </c>
      <c r="C40" s="62">
        <v>50.0</v>
      </c>
      <c r="D40" s="13" t="s">
        <v>1392</v>
      </c>
      <c r="E40" s="30" t="s">
        <v>1134</v>
      </c>
      <c r="F40" s="30" t="s">
        <v>1134</v>
      </c>
      <c r="G40" s="30" t="s">
        <v>1134</v>
      </c>
      <c r="H40" s="30" t="s">
        <v>1134</v>
      </c>
      <c r="I40" s="30" t="s">
        <v>1134</v>
      </c>
      <c r="J40" s="30" t="s">
        <v>1134</v>
      </c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</row>
    <row r="41" ht="14.25" customHeight="1">
      <c r="A41" s="61" t="s">
        <v>1469</v>
      </c>
      <c r="B41" s="63" t="s">
        <v>1470</v>
      </c>
      <c r="C41" s="62">
        <v>50.0</v>
      </c>
      <c r="D41" s="13" t="s">
        <v>1392</v>
      </c>
      <c r="E41" s="30" t="s">
        <v>1134</v>
      </c>
      <c r="F41" s="30" t="s">
        <v>1134</v>
      </c>
      <c r="G41" s="30" t="s">
        <v>1134</v>
      </c>
      <c r="H41" s="30" t="s">
        <v>1134</v>
      </c>
      <c r="I41" s="30" t="s">
        <v>1134</v>
      </c>
      <c r="J41" s="30" t="s">
        <v>1134</v>
      </c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</row>
    <row r="42" ht="14.25" customHeight="1">
      <c r="A42" s="61" t="s">
        <v>1471</v>
      </c>
      <c r="B42" s="63" t="s">
        <v>1472</v>
      </c>
      <c r="C42" s="62">
        <v>50.0</v>
      </c>
      <c r="D42" s="13" t="s">
        <v>1392</v>
      </c>
      <c r="E42" s="30" t="s">
        <v>1134</v>
      </c>
      <c r="F42" s="30" t="s">
        <v>1134</v>
      </c>
      <c r="G42" s="30" t="s">
        <v>1134</v>
      </c>
      <c r="H42" s="30" t="s">
        <v>1134</v>
      </c>
      <c r="I42" s="30" t="s">
        <v>1134</v>
      </c>
      <c r="J42" s="30" t="s">
        <v>1134</v>
      </c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</row>
    <row r="43" ht="14.25" customHeight="1">
      <c r="A43" s="61" t="s">
        <v>1473</v>
      </c>
      <c r="B43" s="63" t="s">
        <v>1474</v>
      </c>
      <c r="C43" s="62">
        <v>50.0</v>
      </c>
      <c r="D43" s="13" t="s">
        <v>1392</v>
      </c>
      <c r="E43" s="30" t="s">
        <v>1134</v>
      </c>
      <c r="F43" s="30" t="s">
        <v>1134</v>
      </c>
      <c r="G43" s="30" t="s">
        <v>1134</v>
      </c>
      <c r="H43" s="30" t="s">
        <v>1134</v>
      </c>
      <c r="I43" s="30" t="s">
        <v>1134</v>
      </c>
      <c r="J43" s="30" t="s">
        <v>1134</v>
      </c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</row>
    <row r="44" ht="14.25" customHeight="1">
      <c r="A44" s="61" t="s">
        <v>1475</v>
      </c>
      <c r="B44" s="63" t="s">
        <v>1476</v>
      </c>
      <c r="C44" s="62">
        <v>50.0</v>
      </c>
      <c r="D44" s="13" t="s">
        <v>1392</v>
      </c>
      <c r="E44" s="30" t="s">
        <v>1134</v>
      </c>
      <c r="F44" s="30" t="s">
        <v>1134</v>
      </c>
      <c r="G44" s="30" t="s">
        <v>1134</v>
      </c>
      <c r="H44" s="30" t="s">
        <v>1134</v>
      </c>
      <c r="I44" s="30" t="s">
        <v>1134</v>
      </c>
      <c r="J44" s="30" t="s">
        <v>1134</v>
      </c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</row>
    <row r="45" ht="14.25" customHeight="1">
      <c r="A45" s="61" t="s">
        <v>1477</v>
      </c>
      <c r="B45" s="63" t="s">
        <v>1478</v>
      </c>
      <c r="C45" s="62">
        <v>50.0</v>
      </c>
      <c r="D45" s="13" t="s">
        <v>1392</v>
      </c>
      <c r="E45" s="30" t="s">
        <v>1134</v>
      </c>
      <c r="F45" s="30" t="s">
        <v>1134</v>
      </c>
      <c r="G45" s="30" t="s">
        <v>1134</v>
      </c>
      <c r="H45" s="30" t="s">
        <v>1134</v>
      </c>
      <c r="I45" s="30" t="s">
        <v>1134</v>
      </c>
      <c r="J45" s="30" t="s">
        <v>1134</v>
      </c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</row>
    <row r="46" ht="14.25" customHeight="1">
      <c r="A46" s="61" t="s">
        <v>1479</v>
      </c>
      <c r="B46" s="63" t="s">
        <v>1480</v>
      </c>
      <c r="C46" s="62">
        <v>50.0</v>
      </c>
      <c r="D46" s="13" t="s">
        <v>1392</v>
      </c>
      <c r="E46" s="30" t="s">
        <v>1134</v>
      </c>
      <c r="F46" s="30" t="s">
        <v>1134</v>
      </c>
      <c r="G46" s="30" t="s">
        <v>1134</v>
      </c>
      <c r="H46" s="30" t="s">
        <v>1134</v>
      </c>
      <c r="I46" s="30" t="s">
        <v>1134</v>
      </c>
      <c r="J46" s="30" t="s">
        <v>1134</v>
      </c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</row>
    <row r="47" ht="14.25" customHeight="1">
      <c r="A47" s="61" t="s">
        <v>1481</v>
      </c>
      <c r="B47" s="63" t="s">
        <v>1482</v>
      </c>
      <c r="C47" s="62">
        <v>50.0</v>
      </c>
      <c r="D47" s="13" t="s">
        <v>1392</v>
      </c>
      <c r="E47" s="30" t="s">
        <v>1134</v>
      </c>
      <c r="F47" s="30" t="s">
        <v>1134</v>
      </c>
      <c r="G47" s="30" t="s">
        <v>1134</v>
      </c>
      <c r="H47" s="30" t="s">
        <v>1134</v>
      </c>
      <c r="I47" s="30" t="s">
        <v>1134</v>
      </c>
      <c r="J47" s="30" t="s">
        <v>1134</v>
      </c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</row>
    <row r="48" ht="14.25" customHeight="1">
      <c r="A48" s="61" t="s">
        <v>1483</v>
      </c>
      <c r="B48" s="63" t="s">
        <v>1484</v>
      </c>
      <c r="C48" s="62">
        <v>50.0</v>
      </c>
      <c r="D48" s="13" t="s">
        <v>1392</v>
      </c>
      <c r="E48" s="30" t="s">
        <v>1134</v>
      </c>
      <c r="F48" s="30" t="s">
        <v>1134</v>
      </c>
      <c r="G48" s="30" t="s">
        <v>1134</v>
      </c>
      <c r="H48" s="30" t="s">
        <v>1134</v>
      </c>
      <c r="I48" s="30" t="s">
        <v>1134</v>
      </c>
      <c r="J48" s="30" t="s">
        <v>1134</v>
      </c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</row>
    <row r="49" ht="14.25" customHeight="1">
      <c r="A49" s="61" t="s">
        <v>1485</v>
      </c>
      <c r="B49" s="63" t="s">
        <v>1486</v>
      </c>
      <c r="C49" s="62">
        <v>50.0</v>
      </c>
      <c r="D49" s="13" t="s">
        <v>1392</v>
      </c>
      <c r="E49" s="30" t="s">
        <v>1134</v>
      </c>
      <c r="F49" s="30" t="s">
        <v>1134</v>
      </c>
      <c r="G49" s="30" t="s">
        <v>1134</v>
      </c>
      <c r="H49" s="30" t="s">
        <v>1134</v>
      </c>
      <c r="I49" s="30" t="s">
        <v>1134</v>
      </c>
      <c r="J49" s="30" t="s">
        <v>1134</v>
      </c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</row>
    <row r="50" ht="14.25" customHeight="1">
      <c r="A50" s="61" t="s">
        <v>1487</v>
      </c>
      <c r="B50" s="63" t="s">
        <v>1488</v>
      </c>
      <c r="C50" s="62">
        <v>50.0</v>
      </c>
      <c r="D50" s="13" t="s">
        <v>1392</v>
      </c>
      <c r="E50" s="30" t="s">
        <v>1134</v>
      </c>
      <c r="F50" s="30" t="s">
        <v>1134</v>
      </c>
      <c r="G50" s="30" t="s">
        <v>1134</v>
      </c>
      <c r="H50" s="30" t="s">
        <v>1134</v>
      </c>
      <c r="I50" s="30" t="s">
        <v>1134</v>
      </c>
      <c r="J50" s="30" t="s">
        <v>1134</v>
      </c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</row>
    <row r="51" ht="14.25" customHeight="1">
      <c r="A51" s="61" t="s">
        <v>1489</v>
      </c>
      <c r="B51" s="63" t="s">
        <v>1490</v>
      </c>
      <c r="C51" s="62">
        <v>50.0</v>
      </c>
      <c r="D51" s="13" t="s">
        <v>1392</v>
      </c>
      <c r="E51" s="30" t="s">
        <v>1134</v>
      </c>
      <c r="F51" s="30" t="s">
        <v>1134</v>
      </c>
      <c r="G51" s="30" t="s">
        <v>1134</v>
      </c>
      <c r="H51" s="30" t="s">
        <v>1134</v>
      </c>
      <c r="I51" s="30" t="s">
        <v>1134</v>
      </c>
      <c r="J51" s="30" t="s">
        <v>1134</v>
      </c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</row>
    <row r="52" ht="14.25" customHeight="1">
      <c r="A52" s="61" t="s">
        <v>1491</v>
      </c>
      <c r="B52" s="63" t="s">
        <v>1492</v>
      </c>
      <c r="C52" s="62">
        <v>50.0</v>
      </c>
      <c r="D52" s="13" t="s">
        <v>1392</v>
      </c>
      <c r="E52" s="30" t="s">
        <v>1134</v>
      </c>
      <c r="F52" s="30" t="s">
        <v>1134</v>
      </c>
      <c r="G52" s="30" t="s">
        <v>1134</v>
      </c>
      <c r="H52" s="30" t="s">
        <v>1134</v>
      </c>
      <c r="I52" s="30" t="s">
        <v>1134</v>
      </c>
      <c r="J52" s="30" t="s">
        <v>1134</v>
      </c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</row>
    <row r="53" ht="14.25" customHeight="1">
      <c r="A53" s="63" t="s">
        <v>1493</v>
      </c>
      <c r="B53" s="63" t="s">
        <v>1494</v>
      </c>
      <c r="C53" s="62">
        <v>30.0</v>
      </c>
      <c r="D53" s="57" t="s">
        <v>1495</v>
      </c>
      <c r="E53" s="30" t="s">
        <v>1134</v>
      </c>
      <c r="F53" s="30" t="s">
        <v>1134</v>
      </c>
      <c r="G53" s="30" t="s">
        <v>1134</v>
      </c>
      <c r="H53" s="30" t="s">
        <v>1134</v>
      </c>
      <c r="I53" s="30" t="s">
        <v>1134</v>
      </c>
      <c r="J53" s="30" t="s">
        <v>1134</v>
      </c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</row>
    <row r="54" ht="14.25" customHeight="1">
      <c r="A54" s="63" t="s">
        <v>1496</v>
      </c>
      <c r="B54" s="63" t="s">
        <v>1497</v>
      </c>
      <c r="C54" s="62">
        <v>30.0</v>
      </c>
      <c r="D54" s="57" t="s">
        <v>1495</v>
      </c>
      <c r="E54" s="30" t="s">
        <v>1134</v>
      </c>
      <c r="F54" s="30" t="s">
        <v>1134</v>
      </c>
      <c r="G54" s="30" t="s">
        <v>1134</v>
      </c>
      <c r="H54" s="30" t="s">
        <v>1134</v>
      </c>
      <c r="I54" s="30" t="s">
        <v>1134</v>
      </c>
      <c r="J54" s="30" t="s">
        <v>1134</v>
      </c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</row>
    <row r="55" ht="14.25" customHeight="1">
      <c r="A55" s="63" t="s">
        <v>1498</v>
      </c>
      <c r="B55" s="63" t="s">
        <v>1499</v>
      </c>
      <c r="C55" s="62">
        <v>30.0</v>
      </c>
      <c r="D55" s="57" t="s">
        <v>1495</v>
      </c>
      <c r="E55" s="30" t="s">
        <v>1134</v>
      </c>
      <c r="F55" s="30" t="s">
        <v>1134</v>
      </c>
      <c r="G55" s="30" t="s">
        <v>1134</v>
      </c>
      <c r="H55" s="30" t="s">
        <v>1134</v>
      </c>
      <c r="I55" s="30" t="s">
        <v>1134</v>
      </c>
      <c r="J55" s="30" t="s">
        <v>1134</v>
      </c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</row>
    <row r="56" ht="14.25" customHeight="1">
      <c r="A56" s="63" t="s">
        <v>1500</v>
      </c>
      <c r="B56" s="63" t="s">
        <v>1501</v>
      </c>
      <c r="C56" s="62">
        <v>30.0</v>
      </c>
      <c r="D56" s="57" t="s">
        <v>1495</v>
      </c>
      <c r="E56" s="30" t="s">
        <v>1134</v>
      </c>
      <c r="F56" s="30" t="s">
        <v>1134</v>
      </c>
      <c r="G56" s="30" t="s">
        <v>1134</v>
      </c>
      <c r="H56" s="30" t="s">
        <v>1134</v>
      </c>
      <c r="I56" s="30" t="s">
        <v>1134</v>
      </c>
      <c r="J56" s="30" t="s">
        <v>1134</v>
      </c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</row>
    <row r="57" ht="14.25" customHeight="1">
      <c r="A57" s="63" t="s">
        <v>1502</v>
      </c>
      <c r="B57" s="63" t="s">
        <v>1503</v>
      </c>
      <c r="C57" s="62">
        <v>30.0</v>
      </c>
      <c r="D57" s="57" t="s">
        <v>1495</v>
      </c>
      <c r="E57" s="30" t="s">
        <v>1134</v>
      </c>
      <c r="F57" s="30" t="s">
        <v>1134</v>
      </c>
      <c r="G57" s="30" t="s">
        <v>1134</v>
      </c>
      <c r="H57" s="30" t="s">
        <v>1134</v>
      </c>
      <c r="I57" s="30" t="s">
        <v>1134</v>
      </c>
      <c r="J57" s="30" t="s">
        <v>1134</v>
      </c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</row>
    <row r="58" ht="14.25" customHeight="1">
      <c r="A58" s="63" t="s">
        <v>1504</v>
      </c>
      <c r="B58" s="63" t="s">
        <v>1505</v>
      </c>
      <c r="C58" s="62">
        <v>30.0</v>
      </c>
      <c r="D58" s="57" t="s">
        <v>1495</v>
      </c>
      <c r="E58" s="30" t="s">
        <v>1134</v>
      </c>
      <c r="F58" s="30" t="s">
        <v>1134</v>
      </c>
      <c r="G58" s="30" t="s">
        <v>1134</v>
      </c>
      <c r="H58" s="30" t="s">
        <v>1134</v>
      </c>
      <c r="I58" s="30" t="s">
        <v>1134</v>
      </c>
      <c r="J58" s="30" t="s">
        <v>1134</v>
      </c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ht="14.25" customHeight="1">
      <c r="A59" s="63" t="s">
        <v>1506</v>
      </c>
      <c r="B59" s="63" t="s">
        <v>1507</v>
      </c>
      <c r="C59" s="62">
        <v>30.0</v>
      </c>
      <c r="D59" s="57" t="s">
        <v>1495</v>
      </c>
      <c r="E59" s="30" t="s">
        <v>1134</v>
      </c>
      <c r="F59" s="30" t="s">
        <v>1134</v>
      </c>
      <c r="G59" s="30" t="s">
        <v>1134</v>
      </c>
      <c r="H59" s="30" t="s">
        <v>1134</v>
      </c>
      <c r="I59" s="30" t="s">
        <v>1134</v>
      </c>
      <c r="J59" s="30" t="s">
        <v>1134</v>
      </c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</row>
    <row r="60" ht="14.25" customHeight="1">
      <c r="A60" s="63" t="s">
        <v>1508</v>
      </c>
      <c r="B60" s="63" t="s">
        <v>1509</v>
      </c>
      <c r="C60" s="62">
        <v>10.0</v>
      </c>
      <c r="D60" s="57" t="s">
        <v>1495</v>
      </c>
      <c r="E60" s="30" t="s">
        <v>1134</v>
      </c>
      <c r="F60" s="30" t="s">
        <v>1134</v>
      </c>
      <c r="G60" s="30" t="s">
        <v>1134</v>
      </c>
      <c r="H60" s="30" t="s">
        <v>1134</v>
      </c>
      <c r="I60" s="30" t="s">
        <v>1134</v>
      </c>
      <c r="J60" s="30" t="s">
        <v>1134</v>
      </c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</row>
    <row r="61" ht="14.25" customHeight="1">
      <c r="A61" s="63"/>
      <c r="C61" s="62"/>
      <c r="D61" s="63"/>
      <c r="E61" s="30"/>
      <c r="F61" s="30"/>
      <c r="G61" s="30"/>
      <c r="H61" s="30"/>
      <c r="I61" s="30"/>
      <c r="J61" s="30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</row>
    <row r="62" ht="14.25" customHeight="1">
      <c r="A62" s="63"/>
      <c r="B62" s="63"/>
      <c r="C62" s="62"/>
      <c r="D62" s="63"/>
      <c r="E62" s="30"/>
      <c r="F62" s="30"/>
      <c r="G62" s="30"/>
      <c r="H62" s="30"/>
      <c r="I62" s="30"/>
      <c r="J62" s="30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</row>
    <row r="63" ht="14.25" customHeight="1">
      <c r="A63" s="63"/>
      <c r="B63" s="63"/>
      <c r="C63" s="62"/>
      <c r="D63" s="63"/>
      <c r="E63" s="30"/>
      <c r="F63" s="30"/>
      <c r="G63" s="30"/>
      <c r="H63" s="30"/>
      <c r="I63" s="30"/>
      <c r="J63" s="30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</row>
    <row r="64" ht="14.25" customHeight="1">
      <c r="A64" s="63"/>
      <c r="B64" s="63"/>
      <c r="C64" s="62"/>
      <c r="D64" s="63"/>
      <c r="E64" s="30"/>
      <c r="F64" s="30"/>
      <c r="G64" s="30"/>
      <c r="H64" s="30"/>
      <c r="I64" s="30"/>
      <c r="J64" s="30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</row>
    <row r="65" ht="14.25" customHeight="1">
      <c r="A65" s="63"/>
      <c r="B65" s="63"/>
      <c r="C65" s="62"/>
      <c r="D65" s="63"/>
      <c r="E65" s="30"/>
      <c r="F65" s="30"/>
      <c r="G65" s="30"/>
      <c r="H65" s="30"/>
      <c r="I65" s="30"/>
      <c r="J65" s="30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</row>
    <row r="66" ht="14.25" customHeight="1">
      <c r="A66" s="63"/>
      <c r="B66" s="63"/>
      <c r="C66" s="62"/>
      <c r="D66" s="63"/>
      <c r="E66" s="30"/>
      <c r="F66" s="30"/>
      <c r="G66" s="30"/>
      <c r="H66" s="30"/>
      <c r="I66" s="30"/>
      <c r="J66" s="30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</row>
    <row r="67" ht="14.25" customHeight="1">
      <c r="A67" s="63"/>
      <c r="B67" s="63"/>
      <c r="C67" s="62"/>
      <c r="D67" s="63"/>
      <c r="E67" s="30"/>
      <c r="F67" s="30"/>
      <c r="G67" s="30"/>
      <c r="H67" s="30"/>
      <c r="I67" s="30"/>
      <c r="J67" s="30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</row>
    <row r="68" ht="14.25" customHeight="1">
      <c r="A68" s="63"/>
      <c r="B68" s="63"/>
      <c r="C68" s="62"/>
      <c r="D68" s="63"/>
      <c r="E68" s="30"/>
      <c r="F68" s="30"/>
      <c r="G68" s="30"/>
      <c r="H68" s="30"/>
      <c r="I68" s="30"/>
      <c r="J68" s="30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</row>
    <row r="69" ht="14.25" customHeight="1">
      <c r="A69" s="63"/>
      <c r="B69" s="63"/>
      <c r="C69" s="62"/>
      <c r="D69" s="63"/>
      <c r="E69" s="30"/>
      <c r="F69" s="30"/>
      <c r="G69" s="30"/>
      <c r="H69" s="30"/>
      <c r="I69" s="30"/>
      <c r="J69" s="30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ht="14.25" customHeight="1">
      <c r="A70" s="63"/>
      <c r="B70" s="63"/>
      <c r="C70" s="62"/>
      <c r="D70" s="63"/>
      <c r="E70" s="30"/>
      <c r="F70" s="30"/>
      <c r="G70" s="30"/>
      <c r="H70" s="30"/>
      <c r="I70" s="30"/>
      <c r="J70" s="30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</row>
    <row r="71" ht="14.25" customHeight="1">
      <c r="A71" s="63"/>
      <c r="B71" s="63"/>
      <c r="C71" s="62"/>
      <c r="D71" s="63"/>
      <c r="E71" s="30"/>
      <c r="F71" s="30"/>
      <c r="G71" s="30"/>
      <c r="H71" s="30"/>
      <c r="I71" s="30"/>
      <c r="J71" s="30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</row>
    <row r="72" ht="14.25" customHeight="1">
      <c r="A72" s="63"/>
      <c r="B72" s="63"/>
      <c r="C72" s="62"/>
      <c r="D72" s="63"/>
      <c r="E72" s="30"/>
      <c r="F72" s="30"/>
      <c r="G72" s="30"/>
      <c r="H72" s="30"/>
      <c r="I72" s="30"/>
      <c r="J72" s="30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</row>
    <row r="73" ht="14.25" customHeight="1">
      <c r="A73" s="63"/>
      <c r="B73" s="63"/>
      <c r="C73" s="62"/>
      <c r="D73" s="63"/>
      <c r="E73" s="30"/>
      <c r="F73" s="30"/>
      <c r="G73" s="30"/>
      <c r="H73" s="30"/>
      <c r="I73" s="30"/>
      <c r="J73" s="30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</row>
    <row r="74" ht="14.25" customHeight="1">
      <c r="A74" s="63"/>
      <c r="B74" s="63"/>
      <c r="C74" s="62"/>
      <c r="D74" s="63"/>
      <c r="E74" s="30"/>
      <c r="F74" s="30"/>
      <c r="G74" s="30"/>
      <c r="H74" s="30"/>
      <c r="I74" s="30"/>
      <c r="J74" s="30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</row>
    <row r="75" ht="14.25" customHeight="1">
      <c r="A75" s="63"/>
      <c r="B75" s="63"/>
      <c r="C75" s="62"/>
      <c r="D75" s="63"/>
      <c r="E75" s="30"/>
      <c r="F75" s="30"/>
      <c r="G75" s="30"/>
      <c r="H75" s="30"/>
      <c r="I75" s="30"/>
      <c r="J75" s="30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</row>
    <row r="76" ht="14.25" customHeight="1">
      <c r="A76" s="63"/>
      <c r="B76" s="63"/>
      <c r="C76" s="62"/>
      <c r="D76" s="63"/>
      <c r="E76" s="30"/>
      <c r="F76" s="30"/>
      <c r="G76" s="30"/>
      <c r="H76" s="30"/>
      <c r="I76" s="30"/>
      <c r="J76" s="30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</row>
    <row r="77" ht="14.25" customHeight="1">
      <c r="A77" s="63"/>
      <c r="B77" s="63"/>
      <c r="C77" s="62"/>
      <c r="D77" s="63"/>
      <c r="E77" s="30"/>
      <c r="F77" s="30"/>
      <c r="G77" s="30"/>
      <c r="H77" s="30"/>
      <c r="I77" s="30"/>
      <c r="J77" s="30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</row>
    <row r="78" ht="14.25" customHeight="1">
      <c r="A78" s="63"/>
      <c r="B78" s="63"/>
      <c r="C78" s="62"/>
      <c r="D78" s="63"/>
      <c r="E78" s="30"/>
      <c r="F78" s="30"/>
      <c r="G78" s="30"/>
      <c r="H78" s="30"/>
      <c r="I78" s="30"/>
      <c r="J78" s="30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</row>
    <row r="79" ht="14.25" customHeight="1">
      <c r="A79" s="63"/>
      <c r="B79" s="63"/>
      <c r="C79" s="62"/>
      <c r="D79" s="63"/>
      <c r="E79" s="30"/>
      <c r="F79" s="30"/>
      <c r="G79" s="30"/>
      <c r="H79" s="30"/>
      <c r="I79" s="30"/>
      <c r="J79" s="30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</row>
    <row r="80" ht="14.25" customHeight="1">
      <c r="A80" s="63"/>
      <c r="B80" s="63"/>
      <c r="C80" s="62"/>
      <c r="D80" s="63"/>
      <c r="E80" s="30"/>
      <c r="F80" s="30"/>
      <c r="G80" s="30"/>
      <c r="H80" s="30"/>
      <c r="I80" s="30"/>
      <c r="J80" s="30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</row>
    <row r="81" ht="14.25" customHeight="1">
      <c r="A81" s="63"/>
      <c r="B81" s="63"/>
      <c r="C81" s="62"/>
      <c r="D81" s="63"/>
      <c r="E81" s="30"/>
      <c r="F81" s="30"/>
      <c r="G81" s="30"/>
      <c r="H81" s="30"/>
      <c r="I81" s="30"/>
      <c r="J81" s="30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</row>
    <row r="82" ht="14.25" customHeight="1">
      <c r="A82" s="63"/>
      <c r="B82" s="63"/>
      <c r="C82" s="62"/>
      <c r="D82" s="63"/>
      <c r="E82" s="30"/>
      <c r="F82" s="30"/>
      <c r="G82" s="30"/>
      <c r="H82" s="30"/>
      <c r="I82" s="30"/>
      <c r="J82" s="30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</row>
    <row r="83" ht="14.25" customHeight="1">
      <c r="A83" s="63"/>
      <c r="B83" s="63"/>
      <c r="C83" s="62"/>
      <c r="D83" s="63"/>
      <c r="E83" s="30"/>
      <c r="F83" s="30"/>
      <c r="G83" s="30"/>
      <c r="H83" s="30"/>
      <c r="I83" s="30"/>
      <c r="J83" s="30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</row>
    <row r="84" ht="14.25" customHeight="1">
      <c r="A84" s="63"/>
      <c r="B84" s="63"/>
      <c r="C84" s="62"/>
      <c r="D84" s="63"/>
      <c r="E84" s="30"/>
      <c r="F84" s="30"/>
      <c r="G84" s="30"/>
      <c r="H84" s="30"/>
      <c r="I84" s="30"/>
      <c r="J84" s="30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</row>
    <row r="85" ht="14.25" customHeight="1">
      <c r="A85" s="63"/>
      <c r="B85" s="63"/>
      <c r="C85" s="62"/>
      <c r="D85" s="63"/>
      <c r="E85" s="30"/>
      <c r="F85" s="30"/>
      <c r="G85" s="30"/>
      <c r="H85" s="30"/>
      <c r="I85" s="30"/>
      <c r="J85" s="30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</row>
    <row r="86" ht="14.25" customHeight="1">
      <c r="A86" s="63"/>
      <c r="B86" s="63"/>
      <c r="C86" s="62"/>
      <c r="D86" s="63"/>
      <c r="E86" s="30"/>
      <c r="F86" s="30"/>
      <c r="G86" s="30"/>
      <c r="H86" s="30"/>
      <c r="I86" s="30"/>
      <c r="J86" s="30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</row>
    <row r="87" ht="14.25" customHeight="1">
      <c r="A87" s="63"/>
      <c r="B87" s="63"/>
      <c r="C87" s="62"/>
      <c r="D87" s="63"/>
      <c r="E87" s="30"/>
      <c r="F87" s="30"/>
      <c r="G87" s="30"/>
      <c r="H87" s="30"/>
      <c r="I87" s="30"/>
      <c r="J87" s="30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</row>
    <row r="88" ht="14.25" customHeight="1">
      <c r="A88" s="63"/>
      <c r="B88" s="63"/>
      <c r="C88" s="62"/>
      <c r="D88" s="63"/>
      <c r="E88" s="30"/>
      <c r="F88" s="30"/>
      <c r="G88" s="30"/>
      <c r="H88" s="30"/>
      <c r="I88" s="30"/>
      <c r="J88" s="30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</row>
    <row r="89" ht="14.25" customHeight="1">
      <c r="A89" s="63"/>
      <c r="B89" s="63"/>
      <c r="C89" s="62"/>
      <c r="D89" s="63"/>
      <c r="E89" s="30"/>
      <c r="F89" s="30"/>
      <c r="G89" s="30"/>
      <c r="H89" s="30"/>
      <c r="I89" s="30"/>
      <c r="J89" s="30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</row>
    <row r="90" ht="14.25" customHeight="1">
      <c r="A90" s="63"/>
      <c r="B90" s="63"/>
      <c r="C90" s="62"/>
      <c r="D90" s="63"/>
      <c r="E90" s="30"/>
      <c r="F90" s="30"/>
      <c r="G90" s="30"/>
      <c r="H90" s="30"/>
      <c r="I90" s="30"/>
      <c r="J90" s="30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</row>
    <row r="91" ht="14.25" customHeight="1">
      <c r="A91" s="63"/>
      <c r="B91" s="63"/>
      <c r="C91" s="62"/>
      <c r="D91" s="63"/>
      <c r="E91" s="30"/>
      <c r="F91" s="30"/>
      <c r="G91" s="30"/>
      <c r="H91" s="30"/>
      <c r="I91" s="30"/>
      <c r="J91" s="30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</row>
    <row r="92" ht="14.25" customHeight="1">
      <c r="A92" s="63"/>
      <c r="B92" s="63"/>
      <c r="C92" s="62"/>
      <c r="D92" s="63"/>
      <c r="E92" s="30"/>
      <c r="F92" s="30"/>
      <c r="G92" s="30"/>
      <c r="H92" s="30"/>
      <c r="I92" s="30"/>
      <c r="J92" s="30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</row>
    <row r="93" ht="14.25" customHeight="1">
      <c r="A93" s="63"/>
      <c r="B93" s="63"/>
      <c r="C93" s="62"/>
      <c r="D93" s="63"/>
      <c r="E93" s="30"/>
      <c r="F93" s="30"/>
      <c r="G93" s="30"/>
      <c r="H93" s="30"/>
      <c r="I93" s="30"/>
      <c r="J93" s="30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</row>
    <row r="94" ht="14.25" customHeight="1">
      <c r="A94" s="63"/>
      <c r="B94" s="63"/>
      <c r="C94" s="62"/>
      <c r="D94" s="63"/>
      <c r="E94" s="30"/>
      <c r="F94" s="30"/>
      <c r="G94" s="30"/>
      <c r="H94" s="30"/>
      <c r="I94" s="30"/>
      <c r="J94" s="30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</row>
    <row r="95" ht="14.25" customHeight="1">
      <c r="A95" s="63"/>
      <c r="B95" s="63"/>
      <c r="C95" s="62"/>
      <c r="D95" s="63"/>
      <c r="E95" s="30"/>
      <c r="F95" s="30"/>
      <c r="G95" s="30"/>
      <c r="H95" s="30"/>
      <c r="I95" s="30"/>
      <c r="J95" s="30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</row>
    <row r="96" ht="14.25" customHeight="1">
      <c r="A96" s="63"/>
      <c r="B96" s="63"/>
      <c r="C96" s="62"/>
      <c r="D96" s="63"/>
      <c r="E96" s="30"/>
      <c r="F96" s="30"/>
      <c r="G96" s="30"/>
      <c r="H96" s="30"/>
      <c r="I96" s="30"/>
      <c r="J96" s="30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</row>
    <row r="97" ht="14.25" customHeight="1">
      <c r="A97" s="63"/>
      <c r="B97" s="63"/>
      <c r="C97" s="62"/>
      <c r="D97" s="63"/>
      <c r="E97" s="30"/>
      <c r="F97" s="30"/>
      <c r="G97" s="30"/>
      <c r="H97" s="30"/>
      <c r="I97" s="30"/>
      <c r="J97" s="30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</row>
    <row r="98" ht="14.25" customHeight="1">
      <c r="A98" s="63"/>
      <c r="B98" s="63"/>
      <c r="C98" s="62"/>
      <c r="D98" s="63"/>
      <c r="E98" s="30"/>
      <c r="F98" s="30"/>
      <c r="G98" s="30"/>
      <c r="H98" s="30"/>
      <c r="I98" s="30"/>
      <c r="J98" s="30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</row>
    <row r="99" ht="14.25" customHeight="1">
      <c r="A99" s="63"/>
      <c r="B99" s="63"/>
      <c r="C99" s="62"/>
      <c r="D99" s="63"/>
      <c r="E99" s="30"/>
      <c r="F99" s="30"/>
      <c r="G99" s="30"/>
      <c r="H99" s="30"/>
      <c r="I99" s="30"/>
      <c r="J99" s="30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</row>
    <row r="100" ht="14.25" customHeight="1">
      <c r="A100" s="63"/>
      <c r="B100" s="63"/>
      <c r="C100" s="62"/>
      <c r="D100" s="63"/>
      <c r="E100" s="30"/>
      <c r="F100" s="30"/>
      <c r="G100" s="30"/>
      <c r="H100" s="30"/>
      <c r="I100" s="30"/>
      <c r="J100" s="30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</row>
    <row r="101" ht="14.25" customHeight="1">
      <c r="A101" s="63"/>
      <c r="B101" s="63"/>
      <c r="C101" s="62"/>
      <c r="D101" s="63"/>
      <c r="E101" s="30"/>
      <c r="F101" s="30"/>
      <c r="G101" s="30"/>
      <c r="H101" s="30"/>
      <c r="I101" s="30"/>
      <c r="J101" s="30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</row>
    <row r="102" ht="14.25" customHeight="1">
      <c r="A102" s="63"/>
      <c r="B102" s="63"/>
      <c r="C102" s="62"/>
      <c r="D102" s="63"/>
      <c r="E102" s="30"/>
      <c r="F102" s="30"/>
      <c r="G102" s="30"/>
      <c r="H102" s="30"/>
      <c r="I102" s="30"/>
      <c r="J102" s="30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</row>
    <row r="103" ht="14.25" customHeight="1">
      <c r="A103" s="63"/>
      <c r="B103" s="63"/>
      <c r="C103" s="62"/>
      <c r="D103" s="63"/>
      <c r="E103" s="30"/>
      <c r="F103" s="30"/>
      <c r="G103" s="30"/>
      <c r="H103" s="30"/>
      <c r="I103" s="30"/>
      <c r="J103" s="30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</row>
    <row r="104" ht="14.25" customHeight="1">
      <c r="A104" s="63"/>
      <c r="B104" s="63"/>
      <c r="C104" s="62"/>
      <c r="D104" s="63"/>
      <c r="E104" s="30"/>
      <c r="F104" s="30"/>
      <c r="G104" s="30"/>
      <c r="H104" s="30"/>
      <c r="I104" s="30"/>
      <c r="J104" s="30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</row>
    <row r="105" ht="14.25" customHeight="1">
      <c r="A105" s="63"/>
      <c r="B105" s="63"/>
      <c r="C105" s="62"/>
      <c r="D105" s="63"/>
      <c r="E105" s="30"/>
      <c r="F105" s="30"/>
      <c r="G105" s="30"/>
      <c r="H105" s="30"/>
      <c r="I105" s="30"/>
      <c r="J105" s="30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</row>
    <row r="106" ht="14.25" customHeight="1">
      <c r="A106" s="63"/>
      <c r="B106" s="63"/>
      <c r="C106" s="62"/>
      <c r="D106" s="63"/>
      <c r="E106" s="30"/>
      <c r="F106" s="30"/>
      <c r="G106" s="30"/>
      <c r="H106" s="30"/>
      <c r="I106" s="30"/>
      <c r="J106" s="30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</row>
    <row r="107" ht="14.25" customHeight="1">
      <c r="A107" s="63"/>
      <c r="B107" s="63"/>
      <c r="C107" s="62"/>
      <c r="D107" s="63"/>
      <c r="E107" s="30"/>
      <c r="F107" s="30"/>
      <c r="G107" s="30"/>
      <c r="H107" s="30"/>
      <c r="I107" s="30"/>
      <c r="J107" s="30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</row>
    <row r="108" ht="14.25" customHeight="1">
      <c r="A108" s="63"/>
      <c r="B108" s="63"/>
      <c r="C108" s="62"/>
      <c r="D108" s="63"/>
      <c r="E108" s="30"/>
      <c r="F108" s="30"/>
      <c r="G108" s="30"/>
      <c r="H108" s="30"/>
      <c r="I108" s="30"/>
      <c r="J108" s="30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</row>
    <row r="109" ht="14.25" customHeight="1">
      <c r="A109" s="63"/>
      <c r="B109" s="63"/>
      <c r="C109" s="62"/>
      <c r="D109" s="63"/>
      <c r="E109" s="30"/>
      <c r="F109" s="30"/>
      <c r="G109" s="30"/>
      <c r="H109" s="30"/>
      <c r="I109" s="30"/>
      <c r="J109" s="30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</row>
    <row r="110" ht="14.25" customHeight="1">
      <c r="A110" s="63"/>
      <c r="B110" s="63"/>
      <c r="C110" s="62"/>
      <c r="D110" s="63"/>
      <c r="E110" s="30"/>
      <c r="F110" s="30"/>
      <c r="G110" s="30"/>
      <c r="H110" s="30"/>
      <c r="I110" s="30"/>
      <c r="J110" s="30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</row>
    <row r="111" ht="14.25" customHeight="1">
      <c r="A111" s="63"/>
      <c r="B111" s="63"/>
      <c r="C111" s="62"/>
      <c r="D111" s="63"/>
      <c r="E111" s="30"/>
      <c r="F111" s="30"/>
      <c r="G111" s="30"/>
      <c r="H111" s="30"/>
      <c r="I111" s="30"/>
      <c r="J111" s="30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</row>
    <row r="112" ht="14.25" customHeight="1">
      <c r="A112" s="63"/>
      <c r="B112" s="63"/>
      <c r="C112" s="62"/>
      <c r="D112" s="63"/>
      <c r="E112" s="30"/>
      <c r="F112" s="30"/>
      <c r="G112" s="30"/>
      <c r="H112" s="30"/>
      <c r="I112" s="30"/>
      <c r="J112" s="30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</row>
    <row r="113" ht="14.25" customHeight="1">
      <c r="A113" s="63"/>
      <c r="B113" s="63"/>
      <c r="C113" s="62"/>
      <c r="D113" s="63"/>
      <c r="E113" s="30"/>
      <c r="F113" s="30"/>
      <c r="G113" s="30"/>
      <c r="H113" s="30"/>
      <c r="I113" s="30"/>
      <c r="J113" s="30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</row>
    <row r="114" ht="14.25" customHeight="1">
      <c r="A114" s="63"/>
      <c r="B114" s="63"/>
      <c r="C114" s="62"/>
      <c r="D114" s="63"/>
      <c r="E114" s="30"/>
      <c r="F114" s="30"/>
      <c r="G114" s="30"/>
      <c r="H114" s="30"/>
      <c r="I114" s="30"/>
      <c r="J114" s="30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</row>
    <row r="115" ht="14.25" customHeight="1">
      <c r="A115" s="63"/>
      <c r="B115" s="63"/>
      <c r="C115" s="62"/>
      <c r="D115" s="63"/>
      <c r="E115" s="30"/>
      <c r="F115" s="30"/>
      <c r="G115" s="30"/>
      <c r="H115" s="30"/>
      <c r="I115" s="30"/>
      <c r="J115" s="30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</row>
    <row r="116" ht="14.25" customHeight="1">
      <c r="A116" s="63"/>
      <c r="B116" s="63"/>
      <c r="C116" s="62"/>
      <c r="D116" s="63"/>
      <c r="E116" s="30"/>
      <c r="F116" s="30"/>
      <c r="G116" s="30"/>
      <c r="H116" s="30"/>
      <c r="I116" s="30"/>
      <c r="J116" s="30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</row>
    <row r="117" ht="14.25" customHeight="1">
      <c r="A117" s="63"/>
      <c r="B117" s="63"/>
      <c r="C117" s="62"/>
      <c r="D117" s="63"/>
      <c r="E117" s="30"/>
      <c r="F117" s="30"/>
      <c r="G117" s="30"/>
      <c r="H117" s="30"/>
      <c r="I117" s="30"/>
      <c r="J117" s="30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</row>
    <row r="118" ht="14.25" customHeight="1">
      <c r="A118" s="63"/>
      <c r="B118" s="63"/>
      <c r="C118" s="62"/>
      <c r="D118" s="63"/>
      <c r="E118" s="30"/>
      <c r="F118" s="30"/>
      <c r="G118" s="30"/>
      <c r="H118" s="30"/>
      <c r="I118" s="30"/>
      <c r="J118" s="30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</row>
    <row r="119" ht="14.25" customHeight="1">
      <c r="A119" s="63"/>
      <c r="B119" s="63"/>
      <c r="C119" s="62"/>
      <c r="D119" s="63"/>
      <c r="E119" s="30"/>
      <c r="F119" s="30"/>
      <c r="G119" s="30"/>
      <c r="H119" s="30"/>
      <c r="I119" s="30"/>
      <c r="J119" s="30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</row>
    <row r="120" ht="14.25" customHeight="1">
      <c r="A120" s="63"/>
      <c r="B120" s="63"/>
      <c r="C120" s="62"/>
      <c r="D120" s="63"/>
      <c r="E120" s="30"/>
      <c r="F120" s="30"/>
      <c r="G120" s="30"/>
      <c r="H120" s="30"/>
      <c r="I120" s="30"/>
      <c r="J120" s="30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</row>
    <row r="121" ht="14.25" customHeight="1">
      <c r="A121" s="63"/>
      <c r="B121" s="63"/>
      <c r="C121" s="62"/>
      <c r="D121" s="63"/>
      <c r="E121" s="30"/>
      <c r="F121" s="30"/>
      <c r="G121" s="30"/>
      <c r="H121" s="30"/>
      <c r="I121" s="30"/>
      <c r="J121" s="30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</row>
    <row r="122" ht="14.25" customHeight="1">
      <c r="A122" s="63"/>
      <c r="B122" s="63"/>
      <c r="C122" s="62"/>
      <c r="D122" s="63"/>
      <c r="E122" s="30"/>
      <c r="F122" s="30"/>
      <c r="G122" s="30"/>
      <c r="H122" s="30"/>
      <c r="I122" s="30"/>
      <c r="J122" s="30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</row>
    <row r="123" ht="14.25" customHeight="1">
      <c r="A123" s="63"/>
      <c r="B123" s="63"/>
      <c r="C123" s="62"/>
      <c r="D123" s="63"/>
      <c r="E123" s="30"/>
      <c r="F123" s="30"/>
      <c r="G123" s="30"/>
      <c r="H123" s="30"/>
      <c r="I123" s="30"/>
      <c r="J123" s="30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</row>
    <row r="124" ht="14.25" customHeight="1">
      <c r="A124" s="63"/>
      <c r="B124" s="63"/>
      <c r="C124" s="62"/>
      <c r="D124" s="63"/>
      <c r="E124" s="30"/>
      <c r="F124" s="30"/>
      <c r="G124" s="30"/>
      <c r="H124" s="30"/>
      <c r="I124" s="30"/>
      <c r="J124" s="30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</row>
    <row r="125" ht="14.25" customHeight="1">
      <c r="A125" s="63"/>
      <c r="B125" s="63"/>
      <c r="C125" s="62"/>
      <c r="D125" s="63"/>
      <c r="E125" s="30"/>
      <c r="F125" s="30"/>
      <c r="G125" s="30"/>
      <c r="H125" s="30"/>
      <c r="I125" s="30"/>
      <c r="J125" s="30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</row>
    <row r="126" ht="14.25" customHeight="1">
      <c r="A126" s="63"/>
      <c r="B126" s="63"/>
      <c r="C126" s="62"/>
      <c r="D126" s="63"/>
      <c r="E126" s="30"/>
      <c r="F126" s="30"/>
      <c r="G126" s="30"/>
      <c r="H126" s="30"/>
      <c r="I126" s="30"/>
      <c r="J126" s="30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</row>
    <row r="127" ht="14.25" customHeight="1">
      <c r="A127" s="63"/>
      <c r="B127" s="63"/>
      <c r="C127" s="62"/>
      <c r="D127" s="63"/>
      <c r="E127" s="30"/>
      <c r="F127" s="30"/>
      <c r="G127" s="30"/>
      <c r="H127" s="30"/>
      <c r="I127" s="30"/>
      <c r="J127" s="30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</row>
    <row r="128" ht="14.25" customHeight="1">
      <c r="A128" s="63"/>
      <c r="B128" s="63"/>
      <c r="C128" s="62"/>
      <c r="D128" s="63"/>
      <c r="E128" s="30"/>
      <c r="F128" s="30"/>
      <c r="G128" s="30"/>
      <c r="H128" s="30"/>
      <c r="I128" s="30"/>
      <c r="J128" s="30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</row>
    <row r="129" ht="14.25" customHeight="1">
      <c r="A129" s="63"/>
      <c r="B129" s="63"/>
      <c r="C129" s="62"/>
      <c r="D129" s="63"/>
      <c r="E129" s="30"/>
      <c r="F129" s="30"/>
      <c r="G129" s="30"/>
      <c r="H129" s="30"/>
      <c r="I129" s="30"/>
      <c r="J129" s="30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</row>
    <row r="130" ht="14.25" customHeight="1">
      <c r="A130" s="63"/>
      <c r="B130" s="63"/>
      <c r="C130" s="62"/>
      <c r="D130" s="63"/>
      <c r="E130" s="30"/>
      <c r="F130" s="30"/>
      <c r="G130" s="30"/>
      <c r="H130" s="30"/>
      <c r="I130" s="30"/>
      <c r="J130" s="30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</row>
    <row r="131" ht="14.25" customHeight="1">
      <c r="A131" s="63"/>
      <c r="B131" s="63"/>
      <c r="C131" s="62"/>
      <c r="D131" s="63"/>
      <c r="E131" s="30"/>
      <c r="F131" s="30"/>
      <c r="G131" s="30"/>
      <c r="H131" s="30"/>
      <c r="I131" s="30"/>
      <c r="J131" s="30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</row>
    <row r="132" ht="14.25" customHeight="1">
      <c r="A132" s="63"/>
      <c r="B132" s="63"/>
      <c r="C132" s="62"/>
      <c r="D132" s="63"/>
      <c r="E132" s="30"/>
      <c r="F132" s="30"/>
      <c r="G132" s="30"/>
      <c r="H132" s="30"/>
      <c r="I132" s="30"/>
      <c r="J132" s="30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</row>
    <row r="133" ht="14.25" customHeight="1">
      <c r="A133" s="63"/>
      <c r="B133" s="63"/>
      <c r="C133" s="62"/>
      <c r="D133" s="63"/>
      <c r="E133" s="30"/>
      <c r="F133" s="30"/>
      <c r="G133" s="30"/>
      <c r="H133" s="30"/>
      <c r="I133" s="30"/>
      <c r="J133" s="30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</row>
    <row r="134" ht="14.25" customHeight="1">
      <c r="A134" s="63"/>
      <c r="B134" s="63"/>
      <c r="C134" s="62"/>
      <c r="D134" s="63"/>
      <c r="E134" s="30"/>
      <c r="F134" s="30"/>
      <c r="G134" s="30"/>
      <c r="H134" s="30"/>
      <c r="I134" s="30"/>
      <c r="J134" s="30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</row>
    <row r="135" ht="14.25" customHeight="1">
      <c r="A135" s="63"/>
      <c r="B135" s="63"/>
      <c r="C135" s="62"/>
      <c r="D135" s="63"/>
      <c r="E135" s="30"/>
      <c r="F135" s="30"/>
      <c r="G135" s="30"/>
      <c r="H135" s="30"/>
      <c r="I135" s="30"/>
      <c r="J135" s="30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</row>
    <row r="136" ht="14.25" customHeight="1">
      <c r="A136" s="63"/>
      <c r="B136" s="63"/>
      <c r="C136" s="62"/>
      <c r="D136" s="63"/>
      <c r="E136" s="30"/>
      <c r="F136" s="30"/>
      <c r="G136" s="30"/>
      <c r="H136" s="30"/>
      <c r="I136" s="30"/>
      <c r="J136" s="30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</row>
    <row r="137" ht="14.25" customHeight="1">
      <c r="A137" s="63"/>
      <c r="B137" s="63"/>
      <c r="C137" s="62"/>
      <c r="D137" s="63"/>
      <c r="E137" s="30"/>
      <c r="F137" s="30"/>
      <c r="G137" s="30"/>
      <c r="H137" s="30"/>
      <c r="I137" s="30"/>
      <c r="J137" s="30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</row>
    <row r="138" ht="14.25" customHeight="1">
      <c r="A138" s="63"/>
      <c r="B138" s="63"/>
      <c r="C138" s="62"/>
      <c r="D138" s="63"/>
      <c r="E138" s="30"/>
      <c r="F138" s="30"/>
      <c r="G138" s="30"/>
      <c r="H138" s="30"/>
      <c r="I138" s="30"/>
      <c r="J138" s="30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</row>
    <row r="139" ht="14.25" customHeight="1">
      <c r="A139" s="63"/>
      <c r="B139" s="63"/>
      <c r="C139" s="62"/>
      <c r="D139" s="63"/>
      <c r="E139" s="30"/>
      <c r="F139" s="30"/>
      <c r="G139" s="30"/>
      <c r="H139" s="30"/>
      <c r="I139" s="30"/>
      <c r="J139" s="30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</row>
    <row r="140" ht="14.25" customHeight="1">
      <c r="A140" s="63"/>
      <c r="B140" s="63"/>
      <c r="C140" s="62"/>
      <c r="D140" s="63"/>
      <c r="E140" s="30"/>
      <c r="F140" s="30"/>
      <c r="G140" s="30"/>
      <c r="H140" s="30"/>
      <c r="I140" s="30"/>
      <c r="J140" s="30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</row>
    <row r="141" ht="14.25" customHeight="1">
      <c r="A141" s="63"/>
      <c r="B141" s="63"/>
      <c r="C141" s="62"/>
      <c r="D141" s="63"/>
      <c r="E141" s="30"/>
      <c r="F141" s="30"/>
      <c r="G141" s="30"/>
      <c r="H141" s="30"/>
      <c r="I141" s="30"/>
      <c r="J141" s="30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</row>
    <row r="142" ht="14.25" customHeight="1">
      <c r="A142" s="63"/>
      <c r="B142" s="63"/>
      <c r="C142" s="62"/>
      <c r="D142" s="63"/>
      <c r="E142" s="30"/>
      <c r="F142" s="30"/>
      <c r="G142" s="30"/>
      <c r="H142" s="30"/>
      <c r="I142" s="30"/>
      <c r="J142" s="30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</row>
    <row r="143" ht="14.25" customHeight="1">
      <c r="A143" s="63"/>
      <c r="B143" s="63"/>
      <c r="C143" s="62"/>
      <c r="D143" s="63"/>
      <c r="E143" s="30"/>
      <c r="F143" s="30"/>
      <c r="G143" s="30"/>
      <c r="H143" s="30"/>
      <c r="I143" s="30"/>
      <c r="J143" s="30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</row>
    <row r="144" ht="14.25" customHeight="1">
      <c r="A144" s="63"/>
      <c r="B144" s="63"/>
      <c r="C144" s="62"/>
      <c r="D144" s="63"/>
      <c r="E144" s="30"/>
      <c r="F144" s="30"/>
      <c r="G144" s="30"/>
      <c r="H144" s="30"/>
      <c r="I144" s="30"/>
      <c r="J144" s="30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</row>
    <row r="145" ht="14.25" customHeight="1">
      <c r="A145" s="63"/>
      <c r="B145" s="63"/>
      <c r="C145" s="62"/>
      <c r="D145" s="63"/>
      <c r="E145" s="30"/>
      <c r="F145" s="30"/>
      <c r="G145" s="30"/>
      <c r="H145" s="30"/>
      <c r="I145" s="30"/>
      <c r="J145" s="30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</row>
    <row r="146" ht="14.25" customHeight="1">
      <c r="A146" s="63"/>
      <c r="B146" s="63"/>
      <c r="C146" s="62"/>
      <c r="D146" s="63"/>
      <c r="E146" s="30"/>
      <c r="F146" s="30"/>
      <c r="G146" s="30"/>
      <c r="H146" s="30"/>
      <c r="I146" s="30"/>
      <c r="J146" s="30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</row>
    <row r="147" ht="14.25" customHeight="1">
      <c r="A147" s="63"/>
      <c r="B147" s="63"/>
      <c r="C147" s="62"/>
      <c r="D147" s="63"/>
      <c r="E147" s="30"/>
      <c r="F147" s="30"/>
      <c r="G147" s="30"/>
      <c r="H147" s="30"/>
      <c r="I147" s="30"/>
      <c r="J147" s="30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</row>
    <row r="148" ht="14.25" customHeight="1">
      <c r="A148" s="63"/>
      <c r="B148" s="63"/>
      <c r="C148" s="62"/>
      <c r="D148" s="63"/>
      <c r="E148" s="30"/>
      <c r="F148" s="30"/>
      <c r="G148" s="30"/>
      <c r="H148" s="30"/>
      <c r="I148" s="30"/>
      <c r="J148" s="30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</row>
    <row r="149" ht="14.25" customHeight="1">
      <c r="A149" s="63"/>
      <c r="B149" s="63"/>
      <c r="C149" s="62"/>
      <c r="D149" s="63"/>
      <c r="E149" s="30"/>
      <c r="F149" s="30"/>
      <c r="G149" s="30"/>
      <c r="H149" s="30"/>
      <c r="I149" s="30"/>
      <c r="J149" s="30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</row>
    <row r="150" ht="14.25" customHeight="1">
      <c r="A150" s="63"/>
      <c r="B150" s="63"/>
      <c r="C150" s="62"/>
      <c r="D150" s="63"/>
      <c r="E150" s="30"/>
      <c r="F150" s="30"/>
      <c r="G150" s="30"/>
      <c r="H150" s="30"/>
      <c r="I150" s="30"/>
      <c r="J150" s="30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</row>
    <row r="151" ht="14.25" customHeight="1">
      <c r="A151" s="63"/>
      <c r="B151" s="63"/>
      <c r="C151" s="62"/>
      <c r="D151" s="63"/>
      <c r="E151" s="30"/>
      <c r="F151" s="30"/>
      <c r="G151" s="30"/>
      <c r="H151" s="30"/>
      <c r="I151" s="30"/>
      <c r="J151" s="30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</row>
    <row r="152" ht="14.25" customHeight="1">
      <c r="A152" s="63"/>
      <c r="B152" s="63"/>
      <c r="C152" s="62"/>
      <c r="D152" s="63"/>
      <c r="E152" s="30"/>
      <c r="F152" s="30"/>
      <c r="G152" s="30"/>
      <c r="H152" s="30"/>
      <c r="I152" s="30"/>
      <c r="J152" s="30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</row>
    <row r="153" ht="14.25" customHeight="1">
      <c r="A153" s="63"/>
      <c r="B153" s="63"/>
      <c r="C153" s="62"/>
      <c r="D153" s="63"/>
      <c r="E153" s="30"/>
      <c r="F153" s="30"/>
      <c r="G153" s="30"/>
      <c r="H153" s="30"/>
      <c r="I153" s="30"/>
      <c r="J153" s="30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</row>
    <row r="154" ht="14.25" customHeight="1">
      <c r="A154" s="63"/>
      <c r="B154" s="63"/>
      <c r="C154" s="62"/>
      <c r="D154" s="63"/>
      <c r="E154" s="30"/>
      <c r="F154" s="30"/>
      <c r="G154" s="30"/>
      <c r="H154" s="30"/>
      <c r="I154" s="30"/>
      <c r="J154" s="30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</row>
    <row r="155" ht="14.25" customHeight="1">
      <c r="A155" s="63"/>
      <c r="B155" s="63"/>
      <c r="C155" s="62"/>
      <c r="D155" s="63"/>
      <c r="E155" s="30"/>
      <c r="F155" s="30"/>
      <c r="G155" s="30"/>
      <c r="H155" s="30"/>
      <c r="I155" s="30"/>
      <c r="J155" s="30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</row>
    <row r="156" ht="14.25" customHeight="1">
      <c r="A156" s="63"/>
      <c r="B156" s="63"/>
      <c r="C156" s="62"/>
      <c r="D156" s="63"/>
      <c r="E156" s="30"/>
      <c r="F156" s="30"/>
      <c r="G156" s="30"/>
      <c r="H156" s="30"/>
      <c r="I156" s="30"/>
      <c r="J156" s="30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</row>
    <row r="157" ht="14.25" customHeight="1">
      <c r="A157" s="63"/>
      <c r="B157" s="63"/>
      <c r="C157" s="62"/>
      <c r="D157" s="63"/>
      <c r="E157" s="30"/>
      <c r="F157" s="30"/>
      <c r="G157" s="30"/>
      <c r="H157" s="30"/>
      <c r="I157" s="30"/>
      <c r="J157" s="30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</row>
    <row r="158" ht="14.25" customHeight="1">
      <c r="A158" s="63"/>
      <c r="B158" s="63"/>
      <c r="C158" s="62"/>
      <c r="D158" s="63"/>
      <c r="E158" s="30"/>
      <c r="F158" s="30"/>
      <c r="G158" s="30"/>
      <c r="H158" s="30"/>
      <c r="I158" s="30"/>
      <c r="J158" s="30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</row>
    <row r="159" ht="14.25" customHeight="1">
      <c r="A159" s="63"/>
      <c r="B159" s="63"/>
      <c r="C159" s="62"/>
      <c r="D159" s="63"/>
      <c r="E159" s="30"/>
      <c r="F159" s="30"/>
      <c r="G159" s="30"/>
      <c r="H159" s="30"/>
      <c r="I159" s="30"/>
      <c r="J159" s="30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</row>
    <row r="160" ht="14.25" customHeight="1">
      <c r="A160" s="63"/>
      <c r="B160" s="63"/>
      <c r="C160" s="62"/>
      <c r="D160" s="63"/>
      <c r="E160" s="30"/>
      <c r="F160" s="30"/>
      <c r="G160" s="30"/>
      <c r="H160" s="30"/>
      <c r="I160" s="30"/>
      <c r="J160" s="30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</row>
    <row r="161" ht="14.25" customHeight="1">
      <c r="A161" s="63"/>
      <c r="B161" s="63"/>
      <c r="C161" s="62"/>
      <c r="D161" s="63"/>
      <c r="E161" s="30"/>
      <c r="F161" s="30"/>
      <c r="G161" s="30"/>
      <c r="H161" s="30"/>
      <c r="I161" s="30"/>
      <c r="J161" s="30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</row>
    <row r="162" ht="14.25" customHeight="1">
      <c r="A162" s="63"/>
      <c r="B162" s="63"/>
      <c r="C162" s="62"/>
      <c r="D162" s="63"/>
      <c r="E162" s="30"/>
      <c r="F162" s="30"/>
      <c r="G162" s="30"/>
      <c r="H162" s="30"/>
      <c r="I162" s="30"/>
      <c r="J162" s="30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</row>
    <row r="163" ht="14.25" customHeight="1">
      <c r="A163" s="63"/>
      <c r="B163" s="63"/>
      <c r="C163" s="62"/>
      <c r="D163" s="63"/>
      <c r="E163" s="30"/>
      <c r="F163" s="30"/>
      <c r="G163" s="30"/>
      <c r="H163" s="30"/>
      <c r="I163" s="30"/>
      <c r="J163" s="30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</row>
    <row r="164" ht="14.25" customHeight="1">
      <c r="A164" s="63"/>
      <c r="B164" s="63"/>
      <c r="C164" s="62"/>
      <c r="D164" s="63"/>
      <c r="E164" s="30"/>
      <c r="F164" s="30"/>
      <c r="G164" s="30"/>
      <c r="H164" s="30"/>
      <c r="I164" s="30"/>
      <c r="J164" s="30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</row>
    <row r="165" ht="14.25" customHeight="1">
      <c r="A165" s="63"/>
      <c r="B165" s="63"/>
      <c r="C165" s="62"/>
      <c r="D165" s="63"/>
      <c r="E165" s="30"/>
      <c r="F165" s="30"/>
      <c r="G165" s="30"/>
      <c r="H165" s="30"/>
      <c r="I165" s="30"/>
      <c r="J165" s="30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</row>
    <row r="166" ht="14.25" customHeight="1">
      <c r="A166" s="63"/>
      <c r="B166" s="63"/>
      <c r="C166" s="62"/>
      <c r="D166" s="63"/>
      <c r="E166" s="30"/>
      <c r="F166" s="30"/>
      <c r="G166" s="30"/>
      <c r="H166" s="30"/>
      <c r="I166" s="30"/>
      <c r="J166" s="30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</row>
    <row r="167" ht="14.25" customHeight="1">
      <c r="A167" s="63"/>
      <c r="B167" s="63"/>
      <c r="C167" s="62"/>
      <c r="D167" s="63"/>
      <c r="E167" s="30"/>
      <c r="F167" s="30"/>
      <c r="G167" s="30"/>
      <c r="H167" s="30"/>
      <c r="I167" s="30"/>
      <c r="J167" s="30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</row>
    <row r="168" ht="14.25" customHeight="1">
      <c r="A168" s="63"/>
      <c r="B168" s="63"/>
      <c r="C168" s="62"/>
      <c r="D168" s="63"/>
      <c r="E168" s="30"/>
      <c r="F168" s="30"/>
      <c r="G168" s="30"/>
      <c r="H168" s="30"/>
      <c r="I168" s="30"/>
      <c r="J168" s="30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</row>
    <row r="169" ht="14.25" customHeight="1">
      <c r="A169" s="63"/>
      <c r="B169" s="63"/>
      <c r="C169" s="62"/>
      <c r="D169" s="63"/>
      <c r="E169" s="30"/>
      <c r="F169" s="30"/>
      <c r="G169" s="30"/>
      <c r="H169" s="30"/>
      <c r="I169" s="30"/>
      <c r="J169" s="30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</row>
    <row r="170" ht="14.25" customHeight="1">
      <c r="A170" s="63"/>
      <c r="B170" s="63"/>
      <c r="C170" s="62"/>
      <c r="D170" s="63"/>
      <c r="E170" s="30"/>
      <c r="F170" s="30"/>
      <c r="G170" s="30"/>
      <c r="H170" s="30"/>
      <c r="I170" s="30"/>
      <c r="J170" s="30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</row>
    <row r="171" ht="14.25" customHeight="1">
      <c r="A171" s="63"/>
      <c r="B171" s="63"/>
      <c r="C171" s="62"/>
      <c r="D171" s="63"/>
      <c r="E171" s="30"/>
      <c r="F171" s="30"/>
      <c r="G171" s="30"/>
      <c r="H171" s="30"/>
      <c r="I171" s="30"/>
      <c r="J171" s="30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</row>
    <row r="172" ht="14.25" customHeight="1">
      <c r="A172" s="63"/>
      <c r="B172" s="63"/>
      <c r="C172" s="62"/>
      <c r="D172" s="63"/>
      <c r="E172" s="30"/>
      <c r="F172" s="30"/>
      <c r="G172" s="30"/>
      <c r="H172" s="30"/>
      <c r="I172" s="30"/>
      <c r="J172" s="30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</row>
    <row r="173" ht="14.25" customHeight="1">
      <c r="A173" s="63"/>
      <c r="B173" s="63"/>
      <c r="C173" s="62"/>
      <c r="D173" s="63"/>
      <c r="E173" s="30"/>
      <c r="F173" s="30"/>
      <c r="G173" s="30"/>
      <c r="H173" s="30"/>
      <c r="I173" s="30"/>
      <c r="J173" s="30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</row>
    <row r="174" ht="14.25" customHeight="1">
      <c r="A174" s="63"/>
      <c r="B174" s="63"/>
      <c r="C174" s="62"/>
      <c r="D174" s="63"/>
      <c r="E174" s="30"/>
      <c r="F174" s="30"/>
      <c r="G174" s="30"/>
      <c r="H174" s="30"/>
      <c r="I174" s="30"/>
      <c r="J174" s="30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</row>
    <row r="175" ht="14.25" customHeight="1">
      <c r="A175" s="63"/>
      <c r="B175" s="63"/>
      <c r="C175" s="62"/>
      <c r="D175" s="63"/>
      <c r="E175" s="30"/>
      <c r="F175" s="30"/>
      <c r="G175" s="30"/>
      <c r="H175" s="30"/>
      <c r="I175" s="30"/>
      <c r="J175" s="30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</row>
    <row r="176" ht="14.25" customHeight="1">
      <c r="A176" s="63"/>
      <c r="B176" s="63"/>
      <c r="C176" s="62"/>
      <c r="D176" s="63"/>
      <c r="E176" s="30"/>
      <c r="F176" s="30"/>
      <c r="G176" s="30"/>
      <c r="H176" s="30"/>
      <c r="I176" s="30"/>
      <c r="J176" s="30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</row>
    <row r="177" ht="14.25" customHeight="1">
      <c r="A177" s="63"/>
      <c r="B177" s="63"/>
      <c r="C177" s="62"/>
      <c r="D177" s="63"/>
      <c r="E177" s="30"/>
      <c r="F177" s="30"/>
      <c r="G177" s="30"/>
      <c r="H177" s="30"/>
      <c r="I177" s="30"/>
      <c r="J177" s="30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</row>
    <row r="178" ht="14.25" customHeight="1">
      <c r="A178" s="63"/>
      <c r="B178" s="63"/>
      <c r="C178" s="62"/>
      <c r="D178" s="63"/>
      <c r="E178" s="30"/>
      <c r="F178" s="30"/>
      <c r="G178" s="30"/>
      <c r="H178" s="30"/>
      <c r="I178" s="30"/>
      <c r="J178" s="30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</row>
    <row r="179" ht="14.25" customHeight="1">
      <c r="A179" s="63"/>
      <c r="B179" s="63"/>
      <c r="C179" s="62"/>
      <c r="D179" s="63"/>
      <c r="E179" s="30"/>
      <c r="F179" s="30"/>
      <c r="G179" s="30"/>
      <c r="H179" s="30"/>
      <c r="I179" s="30"/>
      <c r="J179" s="30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</row>
    <row r="180" ht="14.25" customHeight="1">
      <c r="A180" s="63"/>
      <c r="B180" s="63"/>
      <c r="C180" s="62"/>
      <c r="D180" s="63"/>
      <c r="E180" s="30"/>
      <c r="F180" s="30"/>
      <c r="G180" s="30"/>
      <c r="H180" s="30"/>
      <c r="I180" s="30"/>
      <c r="J180" s="30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</row>
    <row r="181" ht="14.25" customHeight="1">
      <c r="A181" s="63"/>
      <c r="B181" s="63"/>
      <c r="C181" s="62"/>
      <c r="D181" s="63"/>
      <c r="E181" s="30"/>
      <c r="F181" s="30"/>
      <c r="G181" s="30"/>
      <c r="H181" s="30"/>
      <c r="I181" s="30"/>
      <c r="J181" s="30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</row>
    <row r="182" ht="14.25" customHeight="1">
      <c r="A182" s="63"/>
      <c r="B182" s="63"/>
      <c r="C182" s="62"/>
      <c r="D182" s="63"/>
      <c r="E182" s="30"/>
      <c r="F182" s="30"/>
      <c r="G182" s="30"/>
      <c r="H182" s="30"/>
      <c r="I182" s="30"/>
      <c r="J182" s="30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</row>
    <row r="183" ht="14.25" customHeight="1">
      <c r="A183" s="63"/>
      <c r="B183" s="63"/>
      <c r="C183" s="62"/>
      <c r="D183" s="63"/>
      <c r="E183" s="30"/>
      <c r="F183" s="30"/>
      <c r="G183" s="30"/>
      <c r="H183" s="30"/>
      <c r="I183" s="30"/>
      <c r="J183" s="30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</row>
    <row r="184" ht="14.25" customHeight="1">
      <c r="A184" s="63"/>
      <c r="B184" s="63"/>
      <c r="C184" s="62"/>
      <c r="D184" s="63"/>
      <c r="E184" s="30"/>
      <c r="F184" s="30"/>
      <c r="G184" s="30"/>
      <c r="H184" s="30"/>
      <c r="I184" s="30"/>
      <c r="J184" s="30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</row>
    <row r="185" ht="14.25" customHeight="1">
      <c r="A185" s="63"/>
      <c r="B185" s="63"/>
      <c r="C185" s="62"/>
      <c r="D185" s="63"/>
      <c r="E185" s="30"/>
      <c r="F185" s="30"/>
      <c r="G185" s="30"/>
      <c r="H185" s="30"/>
      <c r="I185" s="30"/>
      <c r="J185" s="30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</row>
    <row r="186" ht="14.25" customHeight="1">
      <c r="A186" s="63"/>
      <c r="B186" s="63"/>
      <c r="C186" s="62"/>
      <c r="D186" s="63"/>
      <c r="E186" s="30"/>
      <c r="F186" s="30"/>
      <c r="G186" s="30"/>
      <c r="H186" s="30"/>
      <c r="I186" s="30"/>
      <c r="J186" s="30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</row>
    <row r="187" ht="14.25" customHeight="1">
      <c r="A187" s="63"/>
      <c r="B187" s="63"/>
      <c r="C187" s="62"/>
      <c r="D187" s="63"/>
      <c r="E187" s="30"/>
      <c r="F187" s="30"/>
      <c r="G187" s="30"/>
      <c r="H187" s="30"/>
      <c r="I187" s="30"/>
      <c r="J187" s="30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</row>
    <row r="188" ht="14.25" customHeight="1">
      <c r="A188" s="63"/>
      <c r="B188" s="63"/>
      <c r="C188" s="62"/>
      <c r="D188" s="63"/>
      <c r="E188" s="30"/>
      <c r="F188" s="30"/>
      <c r="G188" s="30"/>
      <c r="H188" s="30"/>
      <c r="I188" s="30"/>
      <c r="J188" s="30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</row>
    <row r="189" ht="14.25" customHeight="1">
      <c r="A189" s="63"/>
      <c r="B189" s="63"/>
      <c r="C189" s="62"/>
      <c r="D189" s="63"/>
      <c r="E189" s="30"/>
      <c r="F189" s="30"/>
      <c r="G189" s="30"/>
      <c r="H189" s="30"/>
      <c r="I189" s="30"/>
      <c r="J189" s="30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</row>
    <row r="190" ht="14.25" customHeight="1">
      <c r="A190" s="63"/>
      <c r="B190" s="63"/>
      <c r="C190" s="62"/>
      <c r="D190" s="63"/>
      <c r="E190" s="30"/>
      <c r="F190" s="30"/>
      <c r="G190" s="30"/>
      <c r="H190" s="30"/>
      <c r="I190" s="30"/>
      <c r="J190" s="30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</row>
    <row r="191" ht="14.25" customHeight="1">
      <c r="A191" s="63"/>
      <c r="B191" s="63"/>
      <c r="C191" s="62"/>
      <c r="D191" s="63"/>
      <c r="E191" s="30"/>
      <c r="F191" s="30"/>
      <c r="G191" s="30"/>
      <c r="H191" s="30"/>
      <c r="I191" s="30"/>
      <c r="J191" s="30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</row>
    <row r="192" ht="14.25" customHeight="1">
      <c r="A192" s="63"/>
      <c r="B192" s="63"/>
      <c r="C192" s="62"/>
      <c r="D192" s="63"/>
      <c r="E192" s="30"/>
      <c r="F192" s="30"/>
      <c r="G192" s="30"/>
      <c r="H192" s="30"/>
      <c r="I192" s="30"/>
      <c r="J192" s="30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</row>
    <row r="193" ht="14.25" customHeight="1">
      <c r="A193" s="63"/>
      <c r="B193" s="63"/>
      <c r="C193" s="62"/>
      <c r="D193" s="63"/>
      <c r="E193" s="30"/>
      <c r="F193" s="30"/>
      <c r="G193" s="30"/>
      <c r="H193" s="30"/>
      <c r="I193" s="30"/>
      <c r="J193" s="30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</row>
    <row r="194" ht="14.25" customHeight="1">
      <c r="A194" s="63"/>
      <c r="B194" s="63"/>
      <c r="C194" s="62"/>
      <c r="D194" s="63"/>
      <c r="E194" s="30"/>
      <c r="F194" s="30"/>
      <c r="G194" s="30"/>
      <c r="H194" s="30"/>
      <c r="I194" s="30"/>
      <c r="J194" s="30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</row>
    <row r="195" ht="14.25" customHeight="1">
      <c r="A195" s="63"/>
      <c r="B195" s="63"/>
      <c r="C195" s="62"/>
      <c r="D195" s="63"/>
      <c r="E195" s="30"/>
      <c r="F195" s="30"/>
      <c r="G195" s="30"/>
      <c r="H195" s="30"/>
      <c r="I195" s="30"/>
      <c r="J195" s="30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</row>
    <row r="196" ht="14.25" customHeight="1">
      <c r="A196" s="63"/>
      <c r="B196" s="63"/>
      <c r="C196" s="62"/>
      <c r="D196" s="63"/>
      <c r="E196" s="30"/>
      <c r="F196" s="30"/>
      <c r="G196" s="30"/>
      <c r="H196" s="30"/>
      <c r="I196" s="30"/>
      <c r="J196" s="30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</row>
    <row r="197" ht="14.25" customHeight="1">
      <c r="A197" s="63"/>
      <c r="B197" s="63"/>
      <c r="C197" s="62"/>
      <c r="D197" s="63"/>
      <c r="E197" s="30"/>
      <c r="F197" s="30"/>
      <c r="G197" s="30"/>
      <c r="H197" s="30"/>
      <c r="I197" s="30"/>
      <c r="J197" s="30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</row>
    <row r="198" ht="14.25" customHeight="1">
      <c r="A198" s="63"/>
      <c r="B198" s="63"/>
      <c r="C198" s="62"/>
      <c r="D198" s="63"/>
      <c r="E198" s="30"/>
      <c r="F198" s="30"/>
      <c r="G198" s="30"/>
      <c r="H198" s="30"/>
      <c r="I198" s="30"/>
      <c r="J198" s="30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</row>
    <row r="199" ht="14.25" customHeight="1">
      <c r="A199" s="63"/>
      <c r="B199" s="63"/>
      <c r="C199" s="62"/>
      <c r="D199" s="63"/>
      <c r="E199" s="30"/>
      <c r="F199" s="30"/>
      <c r="G199" s="30"/>
      <c r="H199" s="30"/>
      <c r="I199" s="30"/>
      <c r="J199" s="30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</row>
    <row r="200" ht="14.25" customHeight="1">
      <c r="A200" s="63"/>
      <c r="B200" s="63"/>
      <c r="C200" s="62"/>
      <c r="D200" s="63"/>
      <c r="E200" s="30"/>
      <c r="F200" s="30"/>
      <c r="G200" s="30"/>
      <c r="H200" s="30"/>
      <c r="I200" s="30"/>
      <c r="J200" s="30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</row>
    <row r="201" ht="14.25" customHeight="1">
      <c r="A201" s="63"/>
      <c r="B201" s="63"/>
      <c r="C201" s="62"/>
      <c r="D201" s="63"/>
      <c r="E201" s="30"/>
      <c r="F201" s="30"/>
      <c r="G201" s="30"/>
      <c r="H201" s="30"/>
      <c r="I201" s="30"/>
      <c r="J201" s="30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</row>
    <row r="202" ht="14.25" customHeight="1">
      <c r="A202" s="63"/>
      <c r="B202" s="63"/>
      <c r="C202" s="62"/>
      <c r="D202" s="63"/>
      <c r="E202" s="30"/>
      <c r="F202" s="30"/>
      <c r="G202" s="30"/>
      <c r="H202" s="30"/>
      <c r="I202" s="30"/>
      <c r="J202" s="30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</row>
    <row r="203" ht="14.25" customHeight="1">
      <c r="A203" s="63"/>
      <c r="B203" s="63"/>
      <c r="C203" s="62"/>
      <c r="D203" s="63"/>
      <c r="E203" s="30"/>
      <c r="F203" s="30"/>
      <c r="G203" s="30"/>
      <c r="H203" s="30"/>
      <c r="I203" s="30"/>
      <c r="J203" s="30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</row>
    <row r="204" ht="14.25" customHeight="1">
      <c r="A204" s="63"/>
      <c r="B204" s="63"/>
      <c r="C204" s="62"/>
      <c r="D204" s="63"/>
      <c r="E204" s="30"/>
      <c r="F204" s="30"/>
      <c r="G204" s="30"/>
      <c r="H204" s="30"/>
      <c r="I204" s="30"/>
      <c r="J204" s="30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</row>
    <row r="205" ht="14.25" customHeight="1">
      <c r="A205" s="63"/>
      <c r="B205" s="63"/>
      <c r="C205" s="62"/>
      <c r="D205" s="63"/>
      <c r="E205" s="30"/>
      <c r="F205" s="30"/>
      <c r="G205" s="30"/>
      <c r="H205" s="30"/>
      <c r="I205" s="30"/>
      <c r="J205" s="30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</row>
    <row r="206" ht="14.25" customHeight="1">
      <c r="A206" s="63"/>
      <c r="B206" s="63"/>
      <c r="C206" s="62"/>
      <c r="D206" s="63"/>
      <c r="E206" s="30"/>
      <c r="F206" s="30"/>
      <c r="G206" s="30"/>
      <c r="H206" s="30"/>
      <c r="I206" s="30"/>
      <c r="J206" s="30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</row>
    <row r="207" ht="14.25" customHeight="1">
      <c r="A207" s="63"/>
      <c r="B207" s="63"/>
      <c r="C207" s="62"/>
      <c r="D207" s="63"/>
      <c r="E207" s="30"/>
      <c r="F207" s="30"/>
      <c r="G207" s="30"/>
      <c r="H207" s="30"/>
      <c r="I207" s="30"/>
      <c r="J207" s="30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</row>
    <row r="208" ht="14.25" customHeight="1">
      <c r="A208" s="63"/>
      <c r="B208" s="63"/>
      <c r="C208" s="62"/>
      <c r="D208" s="63"/>
      <c r="E208" s="30"/>
      <c r="F208" s="30"/>
      <c r="G208" s="30"/>
      <c r="H208" s="30"/>
      <c r="I208" s="30"/>
      <c r="J208" s="30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</row>
    <row r="209" ht="14.25" customHeight="1">
      <c r="A209" s="63"/>
      <c r="B209" s="63"/>
      <c r="C209" s="62"/>
      <c r="D209" s="63"/>
      <c r="E209" s="30"/>
      <c r="F209" s="30"/>
      <c r="G209" s="30"/>
      <c r="H209" s="30"/>
      <c r="I209" s="30"/>
      <c r="J209" s="30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</row>
    <row r="210" ht="14.25" customHeight="1">
      <c r="A210" s="63"/>
      <c r="B210" s="63"/>
      <c r="C210" s="62"/>
      <c r="D210" s="63"/>
      <c r="E210" s="30"/>
      <c r="F210" s="30"/>
      <c r="G210" s="30"/>
      <c r="H210" s="30"/>
      <c r="I210" s="30"/>
      <c r="J210" s="30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</row>
    <row r="211" ht="14.25" customHeight="1">
      <c r="A211" s="63"/>
      <c r="B211" s="63"/>
      <c r="C211" s="62"/>
      <c r="D211" s="63"/>
      <c r="E211" s="30"/>
      <c r="F211" s="30"/>
      <c r="G211" s="30"/>
      <c r="H211" s="30"/>
      <c r="I211" s="30"/>
      <c r="J211" s="30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</row>
    <row r="212" ht="14.25" customHeight="1">
      <c r="A212" s="63"/>
      <c r="B212" s="63"/>
      <c r="C212" s="62"/>
      <c r="D212" s="63"/>
      <c r="E212" s="30"/>
      <c r="F212" s="30"/>
      <c r="G212" s="30"/>
      <c r="H212" s="30"/>
      <c r="I212" s="30"/>
      <c r="J212" s="30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</row>
    <row r="213" ht="14.25" customHeight="1">
      <c r="A213" s="63"/>
      <c r="B213" s="63"/>
      <c r="C213" s="62"/>
      <c r="D213" s="63"/>
      <c r="E213" s="30"/>
      <c r="F213" s="30"/>
      <c r="G213" s="30"/>
      <c r="H213" s="30"/>
      <c r="I213" s="30"/>
      <c r="J213" s="30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</row>
    <row r="214" ht="14.25" customHeight="1">
      <c r="A214" s="63"/>
      <c r="B214" s="63"/>
      <c r="C214" s="62"/>
      <c r="D214" s="63"/>
      <c r="E214" s="30"/>
      <c r="F214" s="30"/>
      <c r="G214" s="30"/>
      <c r="H214" s="30"/>
      <c r="I214" s="30"/>
      <c r="J214" s="30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</row>
    <row r="215" ht="14.25" customHeight="1">
      <c r="A215" s="63"/>
      <c r="B215" s="63"/>
      <c r="C215" s="62"/>
      <c r="D215" s="63"/>
      <c r="E215" s="30"/>
      <c r="F215" s="30"/>
      <c r="G215" s="30"/>
      <c r="H215" s="30"/>
      <c r="I215" s="30"/>
      <c r="J215" s="30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</row>
    <row r="216" ht="14.25" customHeight="1">
      <c r="A216" s="63"/>
      <c r="B216" s="63"/>
      <c r="C216" s="62"/>
      <c r="D216" s="63"/>
      <c r="E216" s="30"/>
      <c r="F216" s="30"/>
      <c r="G216" s="30"/>
      <c r="H216" s="30"/>
      <c r="I216" s="30"/>
      <c r="J216" s="30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</row>
    <row r="217" ht="14.25" customHeight="1">
      <c r="A217" s="63"/>
      <c r="B217" s="63"/>
      <c r="C217" s="62"/>
      <c r="D217" s="63"/>
      <c r="E217" s="30"/>
      <c r="F217" s="30"/>
      <c r="G217" s="30"/>
      <c r="H217" s="30"/>
      <c r="I217" s="30"/>
      <c r="J217" s="30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</row>
    <row r="218" ht="14.25" customHeight="1">
      <c r="A218" s="63"/>
      <c r="B218" s="63"/>
      <c r="C218" s="62"/>
      <c r="D218" s="63"/>
      <c r="E218" s="30"/>
      <c r="F218" s="30"/>
      <c r="G218" s="30"/>
      <c r="H218" s="30"/>
      <c r="I218" s="30"/>
      <c r="J218" s="30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</row>
    <row r="219" ht="14.25" customHeight="1">
      <c r="A219" s="63"/>
      <c r="B219" s="63"/>
      <c r="C219" s="62"/>
      <c r="D219" s="63"/>
      <c r="E219" s="30"/>
      <c r="F219" s="30"/>
      <c r="G219" s="30"/>
      <c r="H219" s="30"/>
      <c r="I219" s="30"/>
      <c r="J219" s="30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</row>
    <row r="220" ht="14.25" customHeight="1">
      <c r="A220" s="63"/>
      <c r="B220" s="63"/>
      <c r="C220" s="62"/>
      <c r="D220" s="63"/>
      <c r="E220" s="30"/>
      <c r="F220" s="30"/>
      <c r="G220" s="30"/>
      <c r="H220" s="30"/>
      <c r="I220" s="30"/>
      <c r="J220" s="30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</row>
    <row r="221" ht="14.25" customHeight="1">
      <c r="A221" s="63"/>
      <c r="B221" s="63"/>
      <c r="C221" s="62"/>
      <c r="D221" s="63"/>
      <c r="E221" s="30"/>
      <c r="F221" s="30"/>
      <c r="G221" s="30"/>
      <c r="H221" s="30"/>
      <c r="I221" s="30"/>
      <c r="J221" s="30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</row>
    <row r="222" ht="14.25" customHeight="1">
      <c r="A222" s="63"/>
      <c r="B222" s="63"/>
      <c r="C222" s="62"/>
      <c r="D222" s="63"/>
      <c r="E222" s="30"/>
      <c r="F222" s="30"/>
      <c r="G222" s="30"/>
      <c r="H222" s="30"/>
      <c r="I222" s="30"/>
      <c r="J222" s="30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</row>
    <row r="223" ht="14.25" customHeight="1">
      <c r="A223" s="63"/>
      <c r="B223" s="63"/>
      <c r="C223" s="62"/>
      <c r="D223" s="63"/>
      <c r="E223" s="30"/>
      <c r="F223" s="30"/>
      <c r="G223" s="30"/>
      <c r="H223" s="30"/>
      <c r="I223" s="30"/>
      <c r="J223" s="30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</row>
    <row r="224" ht="14.25" customHeight="1">
      <c r="A224" s="63"/>
      <c r="B224" s="63"/>
      <c r="C224" s="62"/>
      <c r="D224" s="63"/>
      <c r="E224" s="30"/>
      <c r="F224" s="30"/>
      <c r="G224" s="30"/>
      <c r="H224" s="30"/>
      <c r="I224" s="30"/>
      <c r="J224" s="30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</row>
    <row r="225" ht="14.25" customHeight="1">
      <c r="A225" s="63"/>
      <c r="B225" s="63"/>
      <c r="C225" s="62"/>
      <c r="D225" s="63"/>
      <c r="E225" s="30"/>
      <c r="F225" s="30"/>
      <c r="G225" s="30"/>
      <c r="H225" s="30"/>
      <c r="I225" s="30"/>
      <c r="J225" s="30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</row>
    <row r="226" ht="14.25" customHeight="1">
      <c r="A226" s="63"/>
      <c r="B226" s="63"/>
      <c r="C226" s="62"/>
      <c r="D226" s="63"/>
      <c r="E226" s="30"/>
      <c r="F226" s="30"/>
      <c r="G226" s="30"/>
      <c r="H226" s="30"/>
      <c r="I226" s="30"/>
      <c r="J226" s="30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</row>
    <row r="227" ht="14.25" customHeight="1">
      <c r="A227" s="63"/>
      <c r="B227" s="63"/>
      <c r="C227" s="62"/>
      <c r="D227" s="63"/>
      <c r="E227" s="30"/>
      <c r="F227" s="30"/>
      <c r="G227" s="30"/>
      <c r="H227" s="30"/>
      <c r="I227" s="30"/>
      <c r="J227" s="30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</row>
    <row r="228" ht="14.25" customHeight="1">
      <c r="A228" s="63"/>
      <c r="B228" s="63"/>
      <c r="C228" s="62"/>
      <c r="D228" s="63"/>
      <c r="E228" s="30"/>
      <c r="F228" s="30"/>
      <c r="G228" s="30"/>
      <c r="H228" s="30"/>
      <c r="I228" s="30"/>
      <c r="J228" s="30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</row>
    <row r="229" ht="14.25" customHeight="1">
      <c r="A229" s="63"/>
      <c r="B229" s="63"/>
      <c r="C229" s="62"/>
      <c r="D229" s="63"/>
      <c r="E229" s="30"/>
      <c r="F229" s="30"/>
      <c r="G229" s="30"/>
      <c r="H229" s="30"/>
      <c r="I229" s="30"/>
      <c r="J229" s="30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</row>
    <row r="230" ht="14.25" customHeight="1">
      <c r="A230" s="63"/>
      <c r="B230" s="63"/>
      <c r="C230" s="62"/>
      <c r="D230" s="63"/>
      <c r="E230" s="30"/>
      <c r="F230" s="30"/>
      <c r="G230" s="30"/>
      <c r="H230" s="30"/>
      <c r="I230" s="30"/>
      <c r="J230" s="30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</row>
    <row r="231" ht="14.25" customHeight="1">
      <c r="A231" s="63"/>
      <c r="B231" s="63"/>
      <c r="C231" s="62"/>
      <c r="D231" s="63"/>
      <c r="E231" s="30"/>
      <c r="F231" s="30"/>
      <c r="G231" s="30"/>
      <c r="H231" s="30"/>
      <c r="I231" s="30"/>
      <c r="J231" s="30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</row>
    <row r="232" ht="14.25" customHeight="1">
      <c r="A232" s="63"/>
      <c r="B232" s="63"/>
      <c r="C232" s="62"/>
      <c r="D232" s="63"/>
      <c r="E232" s="30"/>
      <c r="F232" s="30"/>
      <c r="G232" s="30"/>
      <c r="H232" s="30"/>
      <c r="I232" s="30"/>
      <c r="J232" s="30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</row>
    <row r="233" ht="14.25" customHeight="1">
      <c r="A233" s="63"/>
      <c r="B233" s="63"/>
      <c r="C233" s="62"/>
      <c r="D233" s="63"/>
      <c r="E233" s="30"/>
      <c r="F233" s="30"/>
      <c r="G233" s="30"/>
      <c r="H233" s="30"/>
      <c r="I233" s="30"/>
      <c r="J233" s="30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</row>
    <row r="234" ht="14.25" customHeight="1">
      <c r="A234" s="63"/>
      <c r="B234" s="63"/>
      <c r="C234" s="62"/>
      <c r="D234" s="63"/>
      <c r="E234" s="30"/>
      <c r="F234" s="30"/>
      <c r="G234" s="30"/>
      <c r="H234" s="30"/>
      <c r="I234" s="30"/>
      <c r="J234" s="30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</row>
    <row r="235" ht="14.25" customHeight="1">
      <c r="A235" s="63"/>
      <c r="B235" s="63"/>
      <c r="C235" s="62"/>
      <c r="D235" s="63"/>
      <c r="E235" s="30"/>
      <c r="F235" s="30"/>
      <c r="G235" s="30"/>
      <c r="H235" s="30"/>
      <c r="I235" s="30"/>
      <c r="J235" s="30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</row>
    <row r="236" ht="14.25" customHeight="1">
      <c r="A236" s="63"/>
      <c r="B236" s="63"/>
      <c r="C236" s="62"/>
      <c r="D236" s="63"/>
      <c r="E236" s="30"/>
      <c r="F236" s="30"/>
      <c r="G236" s="30"/>
      <c r="H236" s="30"/>
      <c r="I236" s="30"/>
      <c r="J236" s="30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</row>
    <row r="237" ht="14.25" customHeight="1">
      <c r="A237" s="63"/>
      <c r="B237" s="63"/>
      <c r="C237" s="62"/>
      <c r="D237" s="63"/>
      <c r="E237" s="30"/>
      <c r="F237" s="30"/>
      <c r="G237" s="30"/>
      <c r="H237" s="30"/>
      <c r="I237" s="30"/>
      <c r="J237" s="30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</row>
    <row r="238" ht="14.25" customHeight="1">
      <c r="A238" s="63"/>
      <c r="B238" s="63"/>
      <c r="C238" s="62"/>
      <c r="D238" s="63"/>
      <c r="E238" s="30"/>
      <c r="F238" s="30"/>
      <c r="G238" s="30"/>
      <c r="H238" s="30"/>
      <c r="I238" s="30"/>
      <c r="J238" s="30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</row>
    <row r="239" ht="14.25" customHeight="1">
      <c r="A239" s="63"/>
      <c r="B239" s="63"/>
      <c r="C239" s="62"/>
      <c r="D239" s="63"/>
      <c r="E239" s="30"/>
      <c r="F239" s="30"/>
      <c r="G239" s="30"/>
      <c r="H239" s="30"/>
      <c r="I239" s="30"/>
      <c r="J239" s="30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</row>
    <row r="240" ht="14.25" customHeight="1">
      <c r="A240" s="63"/>
      <c r="B240" s="63"/>
      <c r="C240" s="62"/>
      <c r="D240" s="63"/>
      <c r="E240" s="30"/>
      <c r="F240" s="30"/>
      <c r="G240" s="30"/>
      <c r="H240" s="30"/>
      <c r="I240" s="30"/>
      <c r="J240" s="30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</row>
    <row r="241" ht="14.25" customHeight="1">
      <c r="A241" s="63"/>
      <c r="B241" s="63"/>
      <c r="C241" s="62"/>
      <c r="D241" s="63"/>
      <c r="E241" s="30"/>
      <c r="F241" s="30"/>
      <c r="G241" s="30"/>
      <c r="H241" s="30"/>
      <c r="I241" s="30"/>
      <c r="J241" s="30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</row>
    <row r="242" ht="14.25" customHeight="1">
      <c r="A242" s="63"/>
      <c r="B242" s="63"/>
      <c r="C242" s="62"/>
      <c r="D242" s="63"/>
      <c r="E242" s="30"/>
      <c r="F242" s="30"/>
      <c r="G242" s="30"/>
      <c r="H242" s="30"/>
      <c r="I242" s="30"/>
      <c r="J242" s="30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</row>
    <row r="243" ht="14.25" customHeight="1">
      <c r="A243" s="63"/>
      <c r="B243" s="63"/>
      <c r="C243" s="62"/>
      <c r="D243" s="63"/>
      <c r="E243" s="30"/>
      <c r="F243" s="30"/>
      <c r="G243" s="30"/>
      <c r="H243" s="30"/>
      <c r="I243" s="30"/>
      <c r="J243" s="30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</row>
    <row r="244" ht="14.25" customHeight="1">
      <c r="A244" s="63"/>
      <c r="B244" s="63"/>
      <c r="C244" s="62"/>
      <c r="D244" s="63"/>
      <c r="E244" s="30"/>
      <c r="F244" s="30"/>
      <c r="G244" s="30"/>
      <c r="H244" s="30"/>
      <c r="I244" s="30"/>
      <c r="J244" s="30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</row>
    <row r="245" ht="14.25" customHeight="1">
      <c r="A245" s="63"/>
      <c r="B245" s="63"/>
      <c r="C245" s="62"/>
      <c r="D245" s="63"/>
      <c r="E245" s="30"/>
      <c r="F245" s="30"/>
      <c r="G245" s="30"/>
      <c r="H245" s="30"/>
      <c r="I245" s="30"/>
      <c r="J245" s="30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</row>
    <row r="246" ht="14.25" customHeight="1">
      <c r="A246" s="63"/>
      <c r="B246" s="63"/>
      <c r="C246" s="62"/>
      <c r="D246" s="63"/>
      <c r="E246" s="30"/>
      <c r="F246" s="30"/>
      <c r="G246" s="30"/>
      <c r="H246" s="30"/>
      <c r="I246" s="30"/>
      <c r="J246" s="30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</row>
    <row r="247" ht="14.25" customHeight="1">
      <c r="A247" s="63"/>
      <c r="B247" s="63"/>
      <c r="C247" s="62"/>
      <c r="D247" s="63"/>
      <c r="E247" s="30"/>
      <c r="F247" s="30"/>
      <c r="G247" s="30"/>
      <c r="H247" s="30"/>
      <c r="I247" s="30"/>
      <c r="J247" s="30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</row>
    <row r="248" ht="14.25" customHeight="1">
      <c r="A248" s="63"/>
      <c r="B248" s="63"/>
      <c r="C248" s="62"/>
      <c r="D248" s="63"/>
      <c r="E248" s="30"/>
      <c r="F248" s="30"/>
      <c r="G248" s="30"/>
      <c r="H248" s="30"/>
      <c r="I248" s="30"/>
      <c r="J248" s="30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</row>
    <row r="249" ht="14.25" customHeight="1">
      <c r="A249" s="63"/>
      <c r="B249" s="63"/>
      <c r="C249" s="62"/>
      <c r="D249" s="63"/>
      <c r="E249" s="30"/>
      <c r="F249" s="30"/>
      <c r="G249" s="30"/>
      <c r="H249" s="30"/>
      <c r="I249" s="30"/>
      <c r="J249" s="30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</row>
    <row r="250" ht="14.25" customHeight="1">
      <c r="A250" s="63"/>
      <c r="B250" s="63"/>
      <c r="C250" s="62"/>
      <c r="D250" s="63"/>
      <c r="E250" s="30"/>
      <c r="F250" s="30"/>
      <c r="G250" s="30"/>
      <c r="H250" s="30"/>
      <c r="I250" s="30"/>
      <c r="J250" s="30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</row>
    <row r="251" ht="14.25" customHeight="1">
      <c r="A251" s="63"/>
      <c r="B251" s="63"/>
      <c r="C251" s="62"/>
      <c r="D251" s="63"/>
      <c r="E251" s="30"/>
      <c r="F251" s="30"/>
      <c r="G251" s="30"/>
      <c r="H251" s="30"/>
      <c r="I251" s="30"/>
      <c r="J251" s="30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</row>
    <row r="252" ht="14.25" customHeight="1">
      <c r="A252" s="63"/>
      <c r="B252" s="63"/>
      <c r="C252" s="62"/>
      <c r="D252" s="63"/>
      <c r="E252" s="30"/>
      <c r="F252" s="30"/>
      <c r="G252" s="30"/>
      <c r="H252" s="30"/>
      <c r="I252" s="30"/>
      <c r="J252" s="30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</row>
    <row r="253" ht="14.25" customHeight="1">
      <c r="A253" s="63"/>
      <c r="B253" s="63"/>
      <c r="C253" s="62"/>
      <c r="D253" s="63"/>
      <c r="E253" s="30"/>
      <c r="F253" s="30"/>
      <c r="G253" s="30"/>
      <c r="H253" s="30"/>
      <c r="I253" s="30"/>
      <c r="J253" s="30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</row>
    <row r="254" ht="14.25" customHeight="1">
      <c r="A254" s="63"/>
      <c r="B254" s="63"/>
      <c r="C254" s="62"/>
      <c r="D254" s="63"/>
      <c r="E254" s="30"/>
      <c r="F254" s="30"/>
      <c r="G254" s="30"/>
      <c r="H254" s="30"/>
      <c r="I254" s="30"/>
      <c r="J254" s="30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</row>
    <row r="255" ht="14.25" customHeight="1">
      <c r="A255" s="63"/>
      <c r="B255" s="63"/>
      <c r="C255" s="62"/>
      <c r="D255" s="63"/>
      <c r="E255" s="30"/>
      <c r="F255" s="30"/>
      <c r="G255" s="30"/>
      <c r="H255" s="30"/>
      <c r="I255" s="30"/>
      <c r="J255" s="30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</row>
    <row r="256" ht="14.25" customHeight="1">
      <c r="A256" s="63"/>
      <c r="B256" s="63"/>
      <c r="C256" s="62"/>
      <c r="D256" s="63"/>
      <c r="E256" s="30"/>
      <c r="F256" s="30"/>
      <c r="G256" s="30"/>
      <c r="H256" s="30"/>
      <c r="I256" s="30"/>
      <c r="J256" s="30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</row>
    <row r="257" ht="14.25" customHeight="1">
      <c r="A257" s="63"/>
      <c r="B257" s="63"/>
      <c r="C257" s="62"/>
      <c r="D257" s="63"/>
      <c r="E257" s="30"/>
      <c r="F257" s="30"/>
      <c r="G257" s="30"/>
      <c r="H257" s="30"/>
      <c r="I257" s="30"/>
      <c r="J257" s="30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</row>
    <row r="258" ht="14.25" customHeight="1">
      <c r="A258" s="63"/>
      <c r="B258" s="63"/>
      <c r="C258" s="62"/>
      <c r="D258" s="63"/>
      <c r="E258" s="30"/>
      <c r="F258" s="30"/>
      <c r="G258" s="30"/>
      <c r="H258" s="30"/>
      <c r="I258" s="30"/>
      <c r="J258" s="30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</row>
    <row r="259" ht="14.25" customHeight="1">
      <c r="A259" s="63"/>
      <c r="B259" s="63"/>
      <c r="C259" s="62"/>
      <c r="D259" s="63"/>
      <c r="E259" s="30"/>
      <c r="F259" s="30"/>
      <c r="G259" s="30"/>
      <c r="H259" s="30"/>
      <c r="I259" s="30"/>
      <c r="J259" s="30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</row>
    <row r="260" ht="14.25" customHeight="1">
      <c r="A260" s="63"/>
      <c r="B260" s="63"/>
      <c r="C260" s="62"/>
      <c r="D260" s="63"/>
      <c r="E260" s="30"/>
      <c r="F260" s="30"/>
      <c r="G260" s="30"/>
      <c r="H260" s="30"/>
      <c r="I260" s="30"/>
      <c r="J260" s="30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