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sharedStrings.xml><?xml version="1.0" encoding="utf-8"?>
<sst xmlns="http://schemas.openxmlformats.org/spreadsheetml/2006/main" count="3827" uniqueCount="1272">
  <si>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</si>
  <si>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</si>
  <si>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</si>
  <si>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</si>
  <si>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</si>
  <si>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</si>
  <si>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</si>
  <si>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</si>
  <si>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</si>
  <si>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</si>
  <si>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</si>
  <si>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</si>
  <si>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</si>
  <si>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</si>
  <si>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RV.ADM05</t>
  </si>
  <si>
    <t>GESTãO DA QUALIDADE</t>
  </si>
  <si>
    <t>MILTON BERNARDES FERREIRA</t>
  </si>
  <si>
    <t>20212.02ADM11N.2N</t>
  </si>
  <si>
    <t>RV.ADM06</t>
  </si>
  <si>
    <t>MARKETING</t>
  </si>
  <si>
    <t>RV.ADM07</t>
  </si>
  <si>
    <t>COOPERATIVISMO E ASSOCIATIVISMO</t>
  </si>
  <si>
    <t>SAMANTHA REZENDE MENDES</t>
  </si>
  <si>
    <t>RV.ADM08</t>
  </si>
  <si>
    <t>ORGANIZAçãO, SISTEMA E MéTODOS</t>
  </si>
  <si>
    <t>LORENA AZEVEDO LIMA</t>
  </si>
  <si>
    <t>RV.ADM405</t>
  </si>
  <si>
    <t>ADMINISTRAçãO DE RECURSOS MATERIAIS, PATRIMONIAIS E LOGíSTICA</t>
  </si>
  <si>
    <t>RV.CON817</t>
  </si>
  <si>
    <t>CONTABILIDADE BáSICA</t>
  </si>
  <si>
    <t>FRANKCIONE BORGES DE ALMEIDA</t>
  </si>
  <si>
    <t>RV.EXA810</t>
  </si>
  <si>
    <t>ESTATíSTICA BáSICA</t>
  </si>
  <si>
    <t>PAULO CARDOZO CARVALHO DE ARAUJO</t>
  </si>
  <si>
    <t>RV.ADM407</t>
  </si>
  <si>
    <t>ADMINISTRAçãO DE RECURSOS HUMANOS</t>
  </si>
  <si>
    <t>20212.02ADM12N.TE</t>
  </si>
  <si>
    <t>RV.PRO13</t>
  </si>
  <si>
    <t>MATEMáTICA IV</t>
  </si>
  <si>
    <t>PAULO HENRIQUE RODRIGUES GONçALVES</t>
  </si>
  <si>
    <t>RV.PRO14</t>
  </si>
  <si>
    <t>MATEMáTICA V</t>
  </si>
  <si>
    <t>RV.PRO33</t>
  </si>
  <si>
    <t>GEOGRAFIA IV</t>
  </si>
  <si>
    <t>FERNANDO UHLMANN SOARES</t>
  </si>
  <si>
    <t>RV.PRO61</t>
  </si>
  <si>
    <t>FíSICA II</t>
  </si>
  <si>
    <t>SALMON LANDI JUNIOR</t>
  </si>
  <si>
    <t>GRAD.ADM.ASI.07</t>
  </si>
  <si>
    <t>ADMINISTRAçãO DOS SISTEMAS DE INFORMAçãO</t>
  </si>
  <si>
    <t>JOSé AURELIO VAZQUEZ RUBIO</t>
  </si>
  <si>
    <t>20212.02ADM20N.2N</t>
  </si>
  <si>
    <t>GRAD.ADM.GP-I.08</t>
  </si>
  <si>
    <t>GESTãO DE PESSOAS I</t>
  </si>
  <si>
    <t>HAIHANI SILVA PASSOS</t>
  </si>
  <si>
    <t>GRAD.ADM.TGA-II.06</t>
  </si>
  <si>
    <t>TEORIA GERAL DA ADMINISTRAçãO II</t>
  </si>
  <si>
    <t>JEAN MARC NACIFE</t>
  </si>
  <si>
    <t>GRAD.EB.02</t>
  </si>
  <si>
    <t>IDALCI CRUVINEL DOS REIS</t>
  </si>
  <si>
    <t>GRAD.MC.05</t>
  </si>
  <si>
    <t>METODOLOGIA CIENTíFICA</t>
  </si>
  <si>
    <t>TAVVS MICAEL ALVES</t>
  </si>
  <si>
    <t>GRAD.ADM.AMP.16</t>
  </si>
  <si>
    <t>ADMINISTRAçãO DE MATERIAIS E PATRIMôNIO</t>
  </si>
  <si>
    <t>20212.02ADM20N.4N</t>
  </si>
  <si>
    <t>GRAD.ADM.EAA.17</t>
  </si>
  <si>
    <t>ECONOMIA APLICADA A ADMINISTRAçãO</t>
  </si>
  <si>
    <t>ROGéRIO ANTôNIO MAURO</t>
  </si>
  <si>
    <t>GRAD.ADM.GFO.15</t>
  </si>
  <si>
    <t>GESTãO FINANCEIRA E ORçAMENTáRIA</t>
  </si>
  <si>
    <t>GRAD.ADM.MARK-I.14</t>
  </si>
  <si>
    <t>MARKETING I</t>
  </si>
  <si>
    <t>CARLOS ANTONIO CARDOSO SOBRINHO</t>
  </si>
  <si>
    <t>GRAD.ADM.OSM.13</t>
  </si>
  <si>
    <t>ORGANIZAçãO SISTEMAS E MéTODOS</t>
  </si>
  <si>
    <t>KENNEDY DE ARAúJO BARBOSA</t>
  </si>
  <si>
    <t>GRAD.ADM.GC.22</t>
  </si>
  <si>
    <t>GESTãO DE CUSTOS</t>
  </si>
  <si>
    <t>RúBIA CRISTINA ARANTES MARQUES</t>
  </si>
  <si>
    <t>20212.02ADM20N.6N</t>
  </si>
  <si>
    <t>GRAD.ADM.GQ.24</t>
  </si>
  <si>
    <t>WENDERSON SOUSA FERREIRA</t>
  </si>
  <si>
    <t>GRAD.ADM.PE.23</t>
  </si>
  <si>
    <t>PLANEJAMENTO ESTRATéGICO</t>
  </si>
  <si>
    <t>GRAD.ADM.RSA.25</t>
  </si>
  <si>
    <t>RESPONSABILIDADE SOCIAL E AMBIENTE</t>
  </si>
  <si>
    <t>GRAD.EMPREENDED.01</t>
  </si>
  <si>
    <t>EMPREENDEDORISMO</t>
  </si>
  <si>
    <t>SILVIA FERREIRA MARQUES SALUSTIANO</t>
  </si>
  <si>
    <t>RV.AGN225</t>
  </si>
  <si>
    <t>TóPICOS ESPECIAIS EM PRODUçãO VEGETAL</t>
  </si>
  <si>
    <t>20212.02AGN21N.5N</t>
  </si>
  <si>
    <t>RAGROP-RV.1</t>
  </si>
  <si>
    <t>IRRIGAçãO E DRENAGEM</t>
  </si>
  <si>
    <t>GILBERTO COLODRO</t>
  </si>
  <si>
    <t>20212.02AGP11M.2M</t>
  </si>
  <si>
    <t>RAGROP-RV.6</t>
  </si>
  <si>
    <t>DESENHO TéCNICO  CONSTRUçõES E INSTALAçõES RURAIS</t>
  </si>
  <si>
    <t>JOãO CLEBER MODERNEL DA SILVEIRA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</si>
  <si>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</si>
  <si>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</si>
  <si>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</si>
  <si>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</si>
  <si>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</si>
  <si>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</si>
  <si>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</si>
  <si>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</si>
  <si>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ELIS APARECIDO BENTO</t>
  </si>
  <si>
    <t>RAGROP-RV.4</t>
  </si>
  <si>
    <t>AGROINDUSTRIA</t>
  </si>
  <si>
    <t>JULIANA APARECIDA CELIA,LIGIA CAMPOS DE MOURA SILVA</t>
  </si>
  <si>
    <t>20212.02AGP11M.4M</t>
  </si>
  <si>
    <t>RV.TAG013</t>
  </si>
  <si>
    <t>BOVINOCULTURA</t>
  </si>
  <si>
    <t>TIAGO PEREIRA GUIMARãES</t>
  </si>
  <si>
    <t>RV.TAG014</t>
  </si>
  <si>
    <t>FRUTICULTURA</t>
  </si>
  <si>
    <t>RV.TAG015</t>
  </si>
  <si>
    <t>PROJETOS AGROPECUáRIOS</t>
  </si>
  <si>
    <t>ANíSIO CORREA DA ROCHA</t>
  </si>
  <si>
    <t>RV.TAG517</t>
  </si>
  <si>
    <t>CULTURAS ANUAIS II</t>
  </si>
  <si>
    <t>ADRIANO PERIN</t>
  </si>
  <si>
    <t>20212.02AGP11V.2V</t>
  </si>
  <si>
    <t>20212.02AGP11V.4V</t>
  </si>
  <si>
    <t>FERNANDO HIGINO DE LIMA E SILVA</t>
  </si>
  <si>
    <t>EDNALVA PATRíCIA DE ANDRADE SILVA</t>
  </si>
  <si>
    <t>GRAD.AIA.01</t>
  </si>
  <si>
    <t>AVALIAçãO DE IMPACTOS AMBIENTAIS</t>
  </si>
  <si>
    <t>CHARLYS ROWEDER</t>
  </si>
  <si>
    <t>20212.02AGR20I.10M</t>
  </si>
  <si>
    <t>GRAD.AP.02</t>
  </si>
  <si>
    <t>AGRICULTURA DE PRECISãO</t>
  </si>
  <si>
    <t>JOSé MILTON ALVES</t>
  </si>
  <si>
    <t>GRAD.PNC.01</t>
  </si>
  <si>
    <t>PLANTAS NATIVAS DO CERRADO</t>
  </si>
  <si>
    <t>GRAD.RAD.01</t>
  </si>
  <si>
    <t>RECUPERAçãO DE ÁREAS DEGRADADAS</t>
  </si>
  <si>
    <t>GRAD.SA.01</t>
  </si>
  <si>
    <t>SISTEMAS AGROFLORESTAIS</t>
  </si>
  <si>
    <t>LEANDRO CARLOS</t>
  </si>
  <si>
    <t>GRAD.SAG.01</t>
  </si>
  <si>
    <t>SECAGEM E ARMAZENAMENTO DE GRãOS</t>
  </si>
  <si>
    <t>OSVALDO RESENDE</t>
  </si>
  <si>
    <t>GRAD.BC.12</t>
  </si>
  <si>
    <t>BIOLOGIA CELULAR</t>
  </si>
  <si>
    <t>SEBASTIãO CARVALHO VASCONCELOS FILHO</t>
  </si>
  <si>
    <t>20212.02AGR20I.1M</t>
  </si>
  <si>
    <t>GRAD.CDI.01</t>
  </si>
  <si>
    <t>CáLCULO DIFERENCIAL E INTEGRAL I</t>
  </si>
  <si>
    <t>GUILHERME GUIMARAES ASCENDINO</t>
  </si>
  <si>
    <t>GRAD.DT.01</t>
  </si>
  <si>
    <t>DESENHO TéCNICO</t>
  </si>
  <si>
    <t>GUILHERME GOMES OLIVEIRA</t>
  </si>
  <si>
    <t>GRAD.EG.07</t>
  </si>
  <si>
    <t>ECOLOGIA GERAL</t>
  </si>
  <si>
    <t>HIPóLITO TADEU FERREIRA DA SILVA</t>
  </si>
  <si>
    <t>GRAD.IA.07</t>
  </si>
  <si>
    <t>INTRODUçãO à AGRONOMIA</t>
  </si>
  <si>
    <t>GRAD.MC.01</t>
  </si>
  <si>
    <t>GRAD.QG.01</t>
  </si>
  <si>
    <t>QUíMICA GERAL</t>
  </si>
  <si>
    <t>JOAO CARLOS PERBONE DE SOUZA</t>
  </si>
  <si>
    <t>GRAD.EB.01</t>
  </si>
  <si>
    <t>20212.02AGR20I.2V</t>
  </si>
  <si>
    <t>GRAD.F.01</t>
  </si>
  <si>
    <t>FíSICA</t>
  </si>
  <si>
    <t>TIAGO CLARIMUNDO RAMOS</t>
  </si>
  <si>
    <t>GRAD.GMS.01</t>
  </si>
  <si>
    <t>GêNESE E MORFOLOGIA DO SOLO</t>
  </si>
  <si>
    <t>CARLOS RIBEIRO RODRIGUES</t>
  </si>
  <si>
    <t>GRAD.M.01</t>
  </si>
  <si>
    <t>MICROBIOLOGIA</t>
  </si>
  <si>
    <t>LUCIANA CRISTINA VITORINO</t>
  </si>
  <si>
    <t>GRAD.OSV.01</t>
  </si>
  <si>
    <t>ORGANOGRAFIA E SISTEMáTICA VEGETAL</t>
  </si>
  <si>
    <t>JULIANA DE FáTIMA SALES</t>
  </si>
  <si>
    <t>GRAD.QO.01</t>
  </si>
  <si>
    <t>QUíMICA ORGâNICA</t>
  </si>
  <si>
    <t>CASSIA CRISTINA FERNANDES ALVES</t>
  </si>
  <si>
    <t>GRAD.AV.1</t>
  </si>
  <si>
    <t>ANATOMIA VEGETAL</t>
  </si>
  <si>
    <t>20212.02AGR20I.3M</t>
  </si>
  <si>
    <t>GRAD.EE.01</t>
  </si>
  <si>
    <t>ESTATíSTICA EXPERIMENTAL</t>
  </si>
  <si>
    <t>AURELIO RUBIO NETO</t>
  </si>
  <si>
    <t>GRAD.EG.05</t>
  </si>
  <si>
    <t>ENTOMOLOGIA GERAL</t>
  </si>
  <si>
    <t>PABLO DA COSTA GONTIJO</t>
  </si>
  <si>
    <t>GRAD.FS.01</t>
  </si>
  <si>
    <t>FíSICA DO SOLO</t>
  </si>
  <si>
    <t>EDUARDO DA COSTA SEVERIANO</t>
  </si>
  <si>
    <t>GRAD.MA.1</t>
  </si>
  <si>
    <t>MICROBIOLOGIA AGRíCOLA</t>
  </si>
  <si>
    <t>EDSON LUIZ SOUCHIE</t>
  </si>
  <si>
    <t>GRAD.QA.01</t>
  </si>
  <si>
    <t>QUíMICA ANALíTICA</t>
  </si>
  <si>
    <t>ANA CAROLINA RIBEIRO AGUIAR</t>
  </si>
  <si>
    <t>GRAD.T.01</t>
  </si>
  <si>
    <t>TOPOGRAFIA - PLANIMETRIA</t>
  </si>
  <si>
    <t>DAVID VIEIRA LIMA</t>
  </si>
  <si>
    <t>GRAD.BB.01</t>
  </si>
  <si>
    <t>BIOQUíMICA BáSICA</t>
  </si>
  <si>
    <t>FERNANDA DOS SANTOS FARNESE,SAMYLLA TASSIA FERREIRA DE FREITAS</t>
  </si>
  <si>
    <t>20212.02AGR20I.4V</t>
  </si>
  <si>
    <t>GRAD.CLS.01</t>
  </si>
  <si>
    <t>CLASSIFICAçãO E LEVANTAMENTO DO SOLO</t>
  </si>
  <si>
    <t>GRAD.EA.31</t>
  </si>
  <si>
    <t>ENTOMOLOGIA AGRíCOLA</t>
  </si>
  <si>
    <t>GRAD.FS.02</t>
  </si>
  <si>
    <t>FERTILIDADE DO SOLO</t>
  </si>
  <si>
    <t>GRAD.MMA.01</t>
  </si>
  <si>
    <t>MECâNICA E MECANIZAçãO AGRíCOLA</t>
  </si>
  <si>
    <t>GRAD.T.02</t>
  </si>
  <si>
    <t>TOPOGRAFIA - ALTIMETRIA</t>
  </si>
  <si>
    <t>GRAD.CIR.01</t>
  </si>
  <si>
    <t>CONSTRUçõES E INSTALAçõES RURAIS</t>
  </si>
  <si>
    <t>LEONARDO DE CASTRO SANTOS</t>
  </si>
  <si>
    <t>20212.02AGR20I.6M</t>
  </si>
  <si>
    <t>GRAD.F.42</t>
  </si>
  <si>
    <t>FITOPATOLOGIA II</t>
  </si>
  <si>
    <t>GRAD.HID.01</t>
  </si>
  <si>
    <t>HIDRáULICA, IRRIGAçãO E DRENAGEM</t>
  </si>
  <si>
    <t>MARCONI BATISTA TEIXEIRA</t>
  </si>
  <si>
    <t>GRAD.MP.01</t>
  </si>
  <si>
    <t>MELHORAMENTO DE PLANTAS</t>
  </si>
  <si>
    <t>PABLO DIEGO SILVA CABRAL</t>
  </si>
  <si>
    <t>GRAD.NMP.04</t>
  </si>
  <si>
    <t>NUTRIçãO MINERAL DE PLANTAS</t>
  </si>
  <si>
    <t>GRAD.PD.01</t>
  </si>
  <si>
    <t>PLANTAS DANINHAS</t>
  </si>
  <si>
    <t>RENATA PEREIRA MARQUES</t>
  </si>
  <si>
    <t>GRAD.PP.39</t>
  </si>
  <si>
    <t>PROPAGAçãO DE PLANTAS</t>
  </si>
  <si>
    <t>GRAD.A.01</t>
  </si>
  <si>
    <t>AGROECOLOGIA</t>
  </si>
  <si>
    <t>JUAREZ MARTINS RODRIGUES</t>
  </si>
  <si>
    <t>20212.02AGR20I.8V</t>
  </si>
  <si>
    <t>GRAD.AR.03</t>
  </si>
  <si>
    <t>ADMINISTRAçãO RURAL</t>
  </si>
  <si>
    <t>GRAD.B.57</t>
  </si>
  <si>
    <t>BOVINOS</t>
  </si>
  <si>
    <t>KAREN MARTINS LEãO</t>
  </si>
  <si>
    <t>GRAD.CSFGAM.01</t>
  </si>
  <si>
    <t>CULTURAS II (SOJA, FEIJãO, GIRASSOL, ALGODãO, MANDIOCA)</t>
  </si>
  <si>
    <t>GRAD.F.02</t>
  </si>
  <si>
    <t>GRAD.SGA.01</t>
  </si>
  <si>
    <t>SISTEMA DE GESTãO AMBIENTAL</t>
  </si>
  <si>
    <t>GRAD.TPA.01</t>
  </si>
  <si>
    <t>TECNOLOGIA DE PRODUTOS AGROPECUáRIOS</t>
  </si>
  <si>
    <t>MELISSA CáSSIA FAVARO BOLDRIN FREIRE</t>
  </si>
  <si>
    <t>RV.AGR238</t>
  </si>
  <si>
    <t>CULTURAS III (CANA-DE-AçúCAR, CAFé E MANDIOCA)</t>
  </si>
  <si>
    <t>20212.02AGR20I.TE</t>
  </si>
  <si>
    <t>RV.AGR239</t>
  </si>
  <si>
    <t>PARQUES E JARDINS</t>
  </si>
  <si>
    <t>RV.HUM206</t>
  </si>
  <si>
    <t>ECONOMIA AGRíCOLA</t>
  </si>
  <si>
    <t>RV.INF207</t>
  </si>
  <si>
    <t>INFORMáTICA</t>
  </si>
  <si>
    <t>ALAERSON MAIA GERALDINE</t>
  </si>
  <si>
    <t>RV.BIO256</t>
  </si>
  <si>
    <t>ZOOLOGIA</t>
  </si>
  <si>
    <t>FLAVIA DE FIGUEIREDO MACHADO</t>
  </si>
  <si>
    <t>20212.02AGR20I.TE2P</t>
  </si>
  <si>
    <t>RV.ZOO234</t>
  </si>
  <si>
    <t>AVES E SUíNOS</t>
  </si>
  <si>
    <t>FABIANA RAMOS DOS SANTOS,TIAGO PEREIRA GUIMARãES</t>
  </si>
  <si>
    <t>20212.02AGR20I.TE6P</t>
  </si>
  <si>
    <t>20212.02ALI11N.2N</t>
  </si>
  <si>
    <t>RV.TAL10</t>
  </si>
  <si>
    <t>LUCIENE DE OLIVEIRA GUERRA</t>
  </si>
  <si>
    <t>RV.TAL11</t>
  </si>
  <si>
    <t>TECNOLOGIA DE BEBIDAS</t>
  </si>
  <si>
    <t>KAREN CARVALHO FERREIRA</t>
  </si>
  <si>
    <t>RV.TAL12</t>
  </si>
  <si>
    <t>TECNOLOGIA DE ÓLEOS E GORDURAS</t>
  </si>
  <si>
    <t>LEANDRO PEREIRA CAPPATO</t>
  </si>
  <si>
    <t>RV.TAL712</t>
  </si>
  <si>
    <t>MICROBIOLOGIA DE ALIMENTOS</t>
  </si>
  <si>
    <t>RVTAL.82</t>
  </si>
  <si>
    <t>ANáLISE DE ALIMENTOS</t>
  </si>
  <si>
    <t>PRISCILA ALONSO DOS SANTOS</t>
  </si>
  <si>
    <t>RV.TAL13</t>
  </si>
  <si>
    <t>TRATAMENTO DE RESíDUOS E EFLUENTES DA INDúSTRIA DE ALIMENTOS</t>
  </si>
  <si>
    <t>EDUARDO MATHEUS GUIMARãES TELES</t>
  </si>
  <si>
    <t>20212.02ALI11N.4N</t>
  </si>
  <si>
    <t>RV.TAL14</t>
  </si>
  <si>
    <t>MéTODOS DE CONSERVAçãO DE ALIMENTOS</t>
  </si>
  <si>
    <t>RV.TAL15</t>
  </si>
  <si>
    <t>HIGIENE E LEGISLAçãO DE ALIMENTOS</t>
  </si>
  <si>
    <t>RV.TAL16</t>
  </si>
  <si>
    <t>TECNOLOGIA DE CEREAIS E PANIFICAçãO</t>
  </si>
  <si>
    <t>RV.TAL17</t>
  </si>
  <si>
    <t>EMBALAGENS E ADITIVOS</t>
  </si>
  <si>
    <t>RV.TAL717</t>
  </si>
  <si>
    <t>CONTROLE DE QUALIDADE</t>
  </si>
  <si>
    <t>RV.QAP428</t>
  </si>
  <si>
    <t>QUíMICA APLICADA</t>
  </si>
  <si>
    <t>LUISMAR DE PAULA SOUZA</t>
  </si>
  <si>
    <t>20212.02ALI11N.TE</t>
  </si>
  <si>
    <t>GRAD.CDI.04</t>
  </si>
  <si>
    <t>CáLCULO DIFERENCIAL E INTEGRAL II</t>
  </si>
  <si>
    <t>LUCAS FRANCO DE ASSIS</t>
  </si>
  <si>
    <t>20212.02ALI20I.2M</t>
  </si>
  <si>
    <t>GRAD.DT.02</t>
  </si>
  <si>
    <t>GRAD.FOTB.01</t>
  </si>
  <si>
    <t>FíSICA - ONDAS E TERMODINâMICA BáSICA</t>
  </si>
  <si>
    <t>GRAD.QA.02</t>
  </si>
  <si>
    <t>GEOVANY ALBINO DE SOUZA</t>
  </si>
  <si>
    <t>GRAD.QO.02</t>
  </si>
  <si>
    <t>GRAD.BA.01</t>
  </si>
  <si>
    <t>BIOQUíMICA DE ALIMENTOS</t>
  </si>
  <si>
    <t>20212.02ALI20I.4V</t>
  </si>
  <si>
    <t>GRAD.CN.01</t>
  </si>
  <si>
    <t>CáLCULO NUMéRICO</t>
  </si>
  <si>
    <t>CAIKE DA ROCHA DAMKE</t>
  </si>
  <si>
    <t>GRAD.FQ.02</t>
  </si>
  <si>
    <t>FíSICO-QUíMICA II</t>
  </si>
  <si>
    <t>GRAD.FT.01</t>
  </si>
  <si>
    <t>FENôMENOS DE TRANSPORTE I</t>
  </si>
  <si>
    <t>OSVALDO VALARINI JUNIOR</t>
  </si>
  <si>
    <t>GRAD.MICROBIOL.01</t>
  </si>
  <si>
    <t>GRAD.QA.03</t>
  </si>
  <si>
    <t>QUíMICA DE ALIMENTOS</t>
  </si>
  <si>
    <t>GEOVANA ROCHA PLáCIDO</t>
  </si>
  <si>
    <t>GRAD.AS.02</t>
  </si>
  <si>
    <t>ANáLISE SENSORIAL</t>
  </si>
  <si>
    <t>MARIANA BURANELO EGEA,KAREN CARVALHO FERREIRA</t>
  </si>
  <si>
    <t>20212.02ALI20I.6M</t>
  </si>
  <si>
    <t>GRAD.FT.03</t>
  </si>
  <si>
    <t>FENôMENOS DE TRANSPORTE III</t>
  </si>
  <si>
    <t>ROGéRIO FAVARETO</t>
  </si>
  <si>
    <t>GRAD.HIL.01</t>
  </si>
  <si>
    <t>HIGIENE INDUSTRIAL E LEGISLAçãO</t>
  </si>
  <si>
    <t>GRAD.II.01</t>
  </si>
  <si>
    <t>INSTALAçõES INDUSTRIAIS</t>
  </si>
  <si>
    <t>GRAD.MC.03</t>
  </si>
  <si>
    <t>MéTODOS COMPUTACIONAIS I</t>
  </si>
  <si>
    <t>ANDRé DA CUNHA RIBEIRO</t>
  </si>
  <si>
    <t>GRAD.RM.01</t>
  </si>
  <si>
    <t>RESISTêNCIA DOS MATERIAIS</t>
  </si>
  <si>
    <t>GRAD.ASC.01</t>
  </si>
  <si>
    <t>AUTOMAçãO, SIMULAçãO E CONTROLE</t>
  </si>
  <si>
    <t>MáRCIO DA SILVA VILELA</t>
  </si>
  <si>
    <t>20212.02ALI20I.8V</t>
  </si>
  <si>
    <t>GRAD.BIOENG.01</t>
  </si>
  <si>
    <t>BIOENGENHARIA</t>
  </si>
  <si>
    <t>RAPHAELA GABRI BITENCOURT,OSVALDO VALARINI JUNIOR</t>
  </si>
  <si>
    <t>GRAD.OU.02</t>
  </si>
  <si>
    <t>OPERAçõES UNITáRIAS II</t>
  </si>
  <si>
    <t>RAPHAELA GABRI BITENCOURT</t>
  </si>
  <si>
    <t>GRAD.TFH.01</t>
  </si>
  <si>
    <t>TECNOLOGIA DE FRUTAS E HORTALIçAS</t>
  </si>
  <si>
    <t>GRAD.TLD.01</t>
  </si>
  <si>
    <t>TECNOLOGIA DE LEITE E DERIVADOS</t>
  </si>
  <si>
    <t>RV.HUM223</t>
  </si>
  <si>
    <t>EDUCAçãO E CULTURA ÉTINICO-RACIAL BRASILEIRA</t>
  </si>
  <si>
    <t>SANDRA MARA SANTOS LEMOS</t>
  </si>
  <si>
    <t>20212.02ALI20I.TE</t>
  </si>
  <si>
    <t>SEALIM-RV.1</t>
  </si>
  <si>
    <t>LIBRAS E INCLUSãO ESCOLAR</t>
  </si>
  <si>
    <t>CALIXTO JUNIOR DE SOUZA</t>
  </si>
  <si>
    <t>GRAD.AV.03</t>
  </si>
  <si>
    <t>VALDNéA CASAGRANDE DALVI</t>
  </si>
  <si>
    <t>20212.02BIO22N.2N</t>
  </si>
  <si>
    <t>GRAD.FSHE.01</t>
  </si>
  <si>
    <t>FUNDAMENTOS SóCIO-HISTóRICOS DA EDUCAçãO</t>
  </si>
  <si>
    <t>GRAD.HISTOLOG.01</t>
  </si>
  <si>
    <t>HISTOLOGIA</t>
  </si>
  <si>
    <t>TIAGO CARNEVALLE ROMAO,PAULO HENRIQUE MATAYOSHI CALIXTO</t>
  </si>
  <si>
    <t>GRAD.ZI-I.01</t>
  </si>
  <si>
    <t>ZOOLOGIA DOS INVERTEBRADOS I</t>
  </si>
  <si>
    <t>FERNANDO HENRIQUE ANTONIOLLI FARACHE,FLAVIA DE FIGUEIREDO MACHADO</t>
  </si>
  <si>
    <t>GRAD. ZV.01</t>
  </si>
  <si>
    <t>ZOOLOGIA DOS VERTEBRADOS</t>
  </si>
  <si>
    <t>FáBIO MARTINS VILAR DE CARVALHO,JANIO CORDEIRO MOREIRA</t>
  </si>
  <si>
    <t>20212.02BIO22N.4N</t>
  </si>
  <si>
    <t>GRAD.BABP.01</t>
  </si>
  <si>
    <t>BIOLOGIA DE ALGAS, BRIóFITAS E PTERIDóFITAS</t>
  </si>
  <si>
    <t>GISELE CRISTINA DE OLIVEIRA MENINO</t>
  </si>
  <si>
    <t>GRAD.DIDáT.01</t>
  </si>
  <si>
    <t>DIDáTICA</t>
  </si>
  <si>
    <t>ROSENILDE NOGUEIRA PANIAGO</t>
  </si>
  <si>
    <t>GRAD.EG.03</t>
  </si>
  <si>
    <t>FáBIO MARTINS VILAR DE CARVALHO</t>
  </si>
  <si>
    <t>GRAD.FV.05</t>
  </si>
  <si>
    <t>FISIOLOGIA VEGETAL</t>
  </si>
  <si>
    <t>PAULO EDUARDO DE MENEZES SILVA,FERNANDA DOS SANTOS FARNESE</t>
  </si>
  <si>
    <t>GRAD.ACV.02</t>
  </si>
  <si>
    <t>ANATOMIA COMPARADA DE VERTEBRADOS</t>
  </si>
  <si>
    <t>FáBIO MARTINS VILAR DE CARVALHO,FLAVIA DE FIGUEIREDO MACHADO</t>
  </si>
  <si>
    <t>20212.02BIO22N.6N</t>
  </si>
  <si>
    <t>GRAD.BIOF.01</t>
  </si>
  <si>
    <t>BIOFíSICA</t>
  </si>
  <si>
    <t>FáBIO HENRIQUE DYSZY</t>
  </si>
  <si>
    <t>GRAD.GOTPD.01</t>
  </si>
  <si>
    <t>GESTãO E ORGANIZAçãO DO TRABALHO PEDAGóGICO/DOCENTE</t>
  </si>
  <si>
    <t>WILCIENE NUNES DO VALE</t>
  </si>
  <si>
    <t>GRAD.MG.02</t>
  </si>
  <si>
    <t>MICROBIOLOGIA GERAL</t>
  </si>
  <si>
    <t>SAMYLLA TASSIA FERREIRA DE FREITAS</t>
  </si>
  <si>
    <t>GRAD.FCV.01</t>
  </si>
  <si>
    <t>FISIOLOGIA COMPARADA DE VERTEBRADOS</t>
  </si>
  <si>
    <t>ALESSANDRO RIBEIRO DE MORAIS,FLAVIA DE FIGUEIREDO MACHADO</t>
  </si>
  <si>
    <t>20212.02BIO22N.8N</t>
  </si>
  <si>
    <t>GRAD.GP.01</t>
  </si>
  <si>
    <t>GEOLOGIA E PALEONTOLOGIA</t>
  </si>
  <si>
    <t>RAFAEL MARQUES PEREIRA LEAL,JANIO CORDEIRO MOREIRA</t>
  </si>
  <si>
    <t>GRAD.PARASITOL.01</t>
  </si>
  <si>
    <t>PARASITOLOGIA</t>
  </si>
  <si>
    <t>TIAGO CARNEVALLE ROMAO</t>
  </si>
  <si>
    <t>GRAD.PE.02</t>
  </si>
  <si>
    <t>POLíTICAS EDUCACIONAIS</t>
  </si>
  <si>
    <t>RENATA SILVA PAMPLONA</t>
  </si>
  <si>
    <t>RV.BIO354</t>
  </si>
  <si>
    <t>SISTEMáTICA VEGETAL</t>
  </si>
  <si>
    <t>20212.02BIO22N.TE</t>
  </si>
  <si>
    <t>GRAD.BB.02</t>
  </si>
  <si>
    <t>BIOSSEGURANçA E BIOéTICA</t>
  </si>
  <si>
    <t>20212.02BIO23I.2M</t>
  </si>
  <si>
    <t>GRAD.BIOESTAT.01</t>
  </si>
  <si>
    <t>BIOESTATíSTICA</t>
  </si>
  <si>
    <t>GRAD.EG.01</t>
  </si>
  <si>
    <t>ALESSANDRO RIBEIRO DE MORAIS</t>
  </si>
  <si>
    <t>GRAD.GENéT.01</t>
  </si>
  <si>
    <t>GENéTICA I</t>
  </si>
  <si>
    <t>MARIA ANDREIA CORREA MENDONçA</t>
  </si>
  <si>
    <t>GRAD.HISTOL.01</t>
  </si>
  <si>
    <t>PAULO HENRIQUE MATAYOSHI CALIXTO</t>
  </si>
  <si>
    <t>GRAD.ZI.01</t>
  </si>
  <si>
    <t>LIA RAQUEL DE SOUZA SANTOS,FERNANDO HENRIQUE ANTONIOLLI FARACHE</t>
  </si>
  <si>
    <t>20212.02BIO23I.4V</t>
  </si>
  <si>
    <t>GRAD.EPC.01</t>
  </si>
  <si>
    <t>ECOLOGIA DE POPULAçõES E COMUNIDADES</t>
  </si>
  <si>
    <t>GRAD.LA.01</t>
  </si>
  <si>
    <t>LEGISLAçãO AMBIENTAL</t>
  </si>
  <si>
    <t>GRAD.MOV.01</t>
  </si>
  <si>
    <t>MORFOLOGIA E ORGANOGRAFIA VEGETAL</t>
  </si>
  <si>
    <t>JULIANA DE FáTIMA SALES,GISELE CRISTINA DE OLIVEIRA MENINO</t>
  </si>
  <si>
    <t>GRAD.ZV.01</t>
  </si>
  <si>
    <t>ZOOLOGIA DOS VERTEBRADOS I</t>
  </si>
  <si>
    <t>JANIO CORDEIRO MOREIRA</t>
  </si>
  <si>
    <t>GRAD.ACV.01</t>
  </si>
  <si>
    <t>20212.02BIO23I.6M</t>
  </si>
  <si>
    <t>GRAD.CMB.01</t>
  </si>
  <si>
    <t>CONSERVAçãO E MANEJO DA BIODIVERSIDADE</t>
  </si>
  <si>
    <t>GRAD.FV.02</t>
  </si>
  <si>
    <t>FERNANDA DOS SANTOS FARNESE</t>
  </si>
  <si>
    <t>GRAD.IIA.01</t>
  </si>
  <si>
    <t>INDICADORES DE IMPACTO AMBIENTAL</t>
  </si>
  <si>
    <t>GRAD.IMUNOL.01</t>
  </si>
  <si>
    <t>IMUNOLOGIA</t>
  </si>
  <si>
    <t>LAURO BUCKER NETO</t>
  </si>
  <si>
    <t>GRAD.MA.01</t>
  </si>
  <si>
    <t>MICROBIOLOGIA AMBIENTAL</t>
  </si>
  <si>
    <t>GRAD.BIOGEOG.01</t>
  </si>
  <si>
    <t>BIOGEOGRAFIA</t>
  </si>
  <si>
    <t>20212.02BIO23I.8V</t>
  </si>
  <si>
    <t>GRAD.BIOTECNOLOG.01</t>
  </si>
  <si>
    <t>BIOTECNOLOGIA</t>
  </si>
  <si>
    <t>GRAD.EA.03</t>
  </si>
  <si>
    <t>EDUCAçãO AMBIENTAL</t>
  </si>
  <si>
    <t>GRAD.LPB.01</t>
  </si>
  <si>
    <t>LEGISLAçãO PROFISSIONAL DO BIóLOGO</t>
  </si>
  <si>
    <t>GRAD.NMP.01</t>
  </si>
  <si>
    <t>LUCAS ANJOS DE SOUZA</t>
  </si>
  <si>
    <t>GRAD.SGAS.01</t>
  </si>
  <si>
    <t>SISTEMAS DE GESTãO AMBIENTAL E SéRIE ISO 14000</t>
  </si>
  <si>
    <t>GRAD.SP.01</t>
  </si>
  <si>
    <t>SAúDE PúBLICA</t>
  </si>
  <si>
    <t>CTBIOTRV.21</t>
  </si>
  <si>
    <t>20212.02BTC11N.2N</t>
  </si>
  <si>
    <t>CTBIOTRV.22</t>
  </si>
  <si>
    <t>GENéTICA</t>
  </si>
  <si>
    <t>CTBIOTRV.23</t>
  </si>
  <si>
    <t>CTBIOTRV.26</t>
  </si>
  <si>
    <t>BIOQUíMICA APLICADA</t>
  </si>
  <si>
    <t>RV.TAL607</t>
  </si>
  <si>
    <t>RV.TAL727</t>
  </si>
  <si>
    <t>OPERAçõES UNITáRIAS</t>
  </si>
  <si>
    <t>CTBIOTRV.14</t>
  </si>
  <si>
    <t>TECNOLOGIA ENZIMáTICA E DE PROCESSOS FERMENTATIVOS INDUSTRIAIS</t>
  </si>
  <si>
    <t>20212.02BTC11N.4N</t>
  </si>
  <si>
    <t>CTBIOTRV.15</t>
  </si>
  <si>
    <t>TECNOLOGIA DE CULTIVO DE CéLULAS E TECIDOS VEGETAIS</t>
  </si>
  <si>
    <t>FABIANO GUIMARãES SILVA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</si>
  <si>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</si>
  <si>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</si>
  <si>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</si>
  <si>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</si>
  <si>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</si>
  <si>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</si>
  <si>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</si>
  <si>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GRAD.CDI.03</t>
  </si>
  <si>
    <t>20212.02CDC20I.2M</t>
  </si>
  <si>
    <t>GRAD.GAAL.01</t>
  </si>
  <si>
    <t>GEOMETRIA ANALíTICA E ÁLGEBRA LINEAR</t>
  </si>
  <si>
    <t>MARCIO ANTONIO FERREIRA BELO FILHO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</si>
  <si>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</si>
  <si>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</si>
  <si>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</si>
  <si>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</si>
  <si>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</si>
  <si>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HEYDE FRANCIELLE DO CARMO FRANçA</t>
  </si>
  <si>
    <t>GRAD.MD.01</t>
  </si>
  <si>
    <t>MATEMáTICA DISCRETA</t>
  </si>
  <si>
    <t>GRAD.SD.01</t>
  </si>
  <si>
    <t>SISTEMAS DIGITAIS</t>
  </si>
  <si>
    <t>GRAD.ANAPROJALG.01</t>
  </si>
  <si>
    <t>ANáLISE E PROJETOS DE ALGORITMOS</t>
  </si>
  <si>
    <t>20212.02CDC20I.4V</t>
  </si>
  <si>
    <t>GRAD.BD.01</t>
  </si>
  <si>
    <t>BANCO DE DADOS</t>
  </si>
  <si>
    <t>HEVERTON BARROS DE MACEDO</t>
  </si>
  <si>
    <t>GRAD.ED.02</t>
  </si>
  <si>
    <t>ESTRUTURAS DE DADOS II</t>
  </si>
  <si>
    <t>GRAD.PLP.02</t>
  </si>
  <si>
    <t>PRáTICA DE LABORATóRIO DE PESQUISA (FUNDAMENTAçãO)</t>
  </si>
  <si>
    <t>GRAD.PO.01</t>
  </si>
  <si>
    <t>PESQUISA OPERACIONAL</t>
  </si>
  <si>
    <t>GRAD.RC.01</t>
  </si>
  <si>
    <t>REDES DE COMPUTADORES I</t>
  </si>
  <si>
    <t>RAFAEL CARVALHO MENDONçA</t>
  </si>
  <si>
    <t>20212.02CDC20I.6M</t>
  </si>
  <si>
    <t>GRAD.CG.01</t>
  </si>
  <si>
    <t>COMPUTAçãO GRáFICA</t>
  </si>
  <si>
    <t>DOUGLAS CEDRIM OLIVEIRA</t>
  </si>
  <si>
    <t>GRAD.COMPILAD.01</t>
  </si>
  <si>
    <t>COMPILADORES</t>
  </si>
  <si>
    <t>GRAD.PLP.04</t>
  </si>
  <si>
    <t>PRáTICA DE LABORATóRIO DE PESQUISA (MATURAçãO 2)</t>
  </si>
  <si>
    <t>ADRIANO SOARES DE OLIVEIRA BAILãO</t>
  </si>
  <si>
    <t>GRAD.SO.01</t>
  </si>
  <si>
    <t>SISTEMAS OPERACIONAIS</t>
  </si>
  <si>
    <t>GRAD.EE.02</t>
  </si>
  <si>
    <t>20212.02CDC20I.8V</t>
  </si>
  <si>
    <t>GRAD.MASU.01</t>
  </si>
  <si>
    <t>MEIO AMBIENTE E SUSTENTABILIDADE URBANA</t>
  </si>
  <si>
    <t>GRAD.PP.01</t>
  </si>
  <si>
    <t>PROGRAMAçãO PARALELA</t>
  </si>
  <si>
    <t>GRAD.RI.01</t>
  </si>
  <si>
    <t>RECUPERAçãO DA INFORMAçãO</t>
  </si>
  <si>
    <t>GRAD.SAS.01</t>
  </si>
  <si>
    <t>SEGURANçA E AUDITORIA DE SISTEMAS</t>
  </si>
  <si>
    <t>GRAD.FC.01</t>
  </si>
  <si>
    <t>FíSICA PARA COMPUTAçãO</t>
  </si>
  <si>
    <t>20212.02CDC20I.TE</t>
  </si>
  <si>
    <t>20212.02CIV20I.2M</t>
  </si>
  <si>
    <t>GRAD.FE-II.01</t>
  </si>
  <si>
    <t>FíSICA EXPERIMENTAL II</t>
  </si>
  <si>
    <t>GUSTAVO QUEREZA DE FREITAS</t>
  </si>
  <si>
    <t>GRAD.FíSICA II.01</t>
  </si>
  <si>
    <t>GRAD.PROJARQ.01</t>
  </si>
  <si>
    <t>PROJETO ARQUITETôNICO</t>
  </si>
  <si>
    <t>LAVINNIA BARROS RIBEIRO</t>
  </si>
  <si>
    <t>GRAD.TOPOG.01</t>
  </si>
  <si>
    <t>GRAD..MV.01</t>
  </si>
  <si>
    <t>MECâNICA VETORIAL</t>
  </si>
  <si>
    <t>HUGO LEONARDO SOUZA LARA LEãO</t>
  </si>
  <si>
    <t>20212.02CIV20I.4V</t>
  </si>
  <si>
    <t>GRAD.GEOLOG.01</t>
  </si>
  <si>
    <t>GEOLOGIA</t>
  </si>
  <si>
    <t>BRUNO DE OLIVEIRA COSTA COUTO</t>
  </si>
  <si>
    <t>GRAD.ICEM.01</t>
  </si>
  <si>
    <t>INTRODUçãO EM CIêNCIAS E ENGENHARIA DOS MATERIAIS</t>
  </si>
  <si>
    <t>ALEXSANDRO DOS SANTOS FELIPE</t>
  </si>
  <si>
    <t>GRAD.MC.02</t>
  </si>
  <si>
    <t>DARLIANE DE CASTRO SANTOS</t>
  </si>
  <si>
    <t>GRAD.MCC- I.01</t>
  </si>
  <si>
    <t>MATERIAIS DE CONSTRUçãO CIVIL I</t>
  </si>
  <si>
    <t>BACUS DE OLIVEIRA NAHIME</t>
  </si>
  <si>
    <t>GRAD.METCOMP.01</t>
  </si>
  <si>
    <t>MéTODOS COMPUTACIONAIS</t>
  </si>
  <si>
    <t>GRAD.CC-I.01</t>
  </si>
  <si>
    <t>CONSTRUçãO CIVIL I</t>
  </si>
  <si>
    <t>FLAVIO HIOCHIO SATO</t>
  </si>
  <si>
    <t>20212.02CIV20I.6M</t>
  </si>
  <si>
    <t>GRAD.EM.01</t>
  </si>
  <si>
    <t>ESTRUTURAS DE MADEIRA</t>
  </si>
  <si>
    <t>MARCEL WILLIAN REIS SALES</t>
  </si>
  <si>
    <t>GRAD.HIDRA.II.01</t>
  </si>
  <si>
    <t>HIDRáULICA II</t>
  </si>
  <si>
    <t>MARCONI BATISTA TEIXEIRA,HUGO LEONARDO SOUZA LARA LEãO</t>
  </si>
  <si>
    <t>GRAD.IPH.02</t>
  </si>
  <si>
    <t>INSTALAçõES PREDIAIS HIDROSSANITáRIAS</t>
  </si>
  <si>
    <t>GRAD.MS-II.01</t>
  </si>
  <si>
    <t>MECâNICA DOS SOLOS II</t>
  </si>
  <si>
    <t>GRAD.RM-II.01</t>
  </si>
  <si>
    <t>RESISTêNCIA DOS MATERIAIS II</t>
  </si>
  <si>
    <t>MICHELL MACEDO ALVES</t>
  </si>
  <si>
    <t>GRAD.ECA-II.02</t>
  </si>
  <si>
    <t>ESTRUTURAS DE CONCRETO ARMADO II</t>
  </si>
  <si>
    <t>20212.02CIV20I.8V</t>
  </si>
  <si>
    <t>GRAD.ET.01</t>
  </si>
  <si>
    <t>ENGENHARIA DE TRáFEGO</t>
  </si>
  <si>
    <t>PHILIPPE BARBOSA SILVA</t>
  </si>
  <si>
    <t>GRAD.FUNDAç.01</t>
  </si>
  <si>
    <t>FUNDAçõES</t>
  </si>
  <si>
    <t>ICARO VITERBRE DEBIQUE SOUSA</t>
  </si>
  <si>
    <t>GRAD.MOT.01</t>
  </si>
  <si>
    <t>MACIçOS E OBRAS DE TERRA</t>
  </si>
  <si>
    <t>GRAD.PAVIMENT.01</t>
  </si>
  <si>
    <t>PAVIMENTAçãO</t>
  </si>
  <si>
    <t>WILLER MOTA FERREIRA</t>
  </si>
  <si>
    <t>GRAD.PCP.01</t>
  </si>
  <si>
    <t>PONTES E CONCRETO PROTENDIDO</t>
  </si>
  <si>
    <t>GRAD.PORTAERO.01</t>
  </si>
  <si>
    <t>PORTOS E AEROPORTOS</t>
  </si>
  <si>
    <t>RV.ENG240</t>
  </si>
  <si>
    <t>TEORIA DAS ESTRUTURAS II</t>
  </si>
  <si>
    <t>20212.02CIV20I.TE</t>
  </si>
  <si>
    <t>RV.ENG243</t>
  </si>
  <si>
    <t>INSTALAçõES ELéTRICAS PREDIAIS</t>
  </si>
  <si>
    <t>JOAO AREIS FERREIRA BARBOSA JUNIOR</t>
  </si>
  <si>
    <t>RV.ADM12</t>
  </si>
  <si>
    <t>ADMINISTRAçãO FINANCEIRA</t>
  </si>
  <si>
    <t>FLAVIA FARIA LOPES</t>
  </si>
  <si>
    <t>20212.02COT11N.2N</t>
  </si>
  <si>
    <t>RV.CON004</t>
  </si>
  <si>
    <t>CONTABILIDADE COMERCIAL</t>
  </si>
  <si>
    <t>RV.CON005</t>
  </si>
  <si>
    <t>PRáTICA CONTáBIL I</t>
  </si>
  <si>
    <t>RAQUEL MARIA PRADO</t>
  </si>
  <si>
    <t>RV.CON100</t>
  </si>
  <si>
    <t>CONTABILIDADE FISCAL</t>
  </si>
  <si>
    <t>RV.CON107</t>
  </si>
  <si>
    <t>CONTABILIDADE DE CUSTOS</t>
  </si>
  <si>
    <t>20212.02EAM20I.2M</t>
  </si>
  <si>
    <t>GRAD.PTUR.01</t>
  </si>
  <si>
    <t>PLANEJAMENTO TERRITORIAL URBANO E RURAL</t>
  </si>
  <si>
    <t>GRAD.QAAI.01</t>
  </si>
  <si>
    <t>QUíMICA AMBIENTAL E ANáLISES INSTRUMENTAIS</t>
  </si>
  <si>
    <t>20212.02EAM20I.4V</t>
  </si>
  <si>
    <t>GRAD.POLAGU.01</t>
  </si>
  <si>
    <t>POLUIçãO DA ÁGUA</t>
  </si>
  <si>
    <t>LUCAS PERES ANGELINI</t>
  </si>
  <si>
    <t>GRAD.PS.02</t>
  </si>
  <si>
    <t>POLUIçãO DO SOLO</t>
  </si>
  <si>
    <t>RAFAEL MARQUES PEREIRA LEAL</t>
  </si>
  <si>
    <t>GRAD.SEDO.01</t>
  </si>
  <si>
    <t>SéRIES E EQUAçõES DIFERENCIAIS ORDINáRIAS</t>
  </si>
  <si>
    <t>WELLINGTON DONIZETE GUIMARãES</t>
  </si>
  <si>
    <t>GRAD.EIA.02</t>
  </si>
  <si>
    <t>ESTUDO DE IMPACTOS AMBIENTAIS</t>
  </si>
  <si>
    <t>20212.02EAM20I.6M</t>
  </si>
  <si>
    <t>GRAD.FT.02</t>
  </si>
  <si>
    <t>FENôMENOS DE TRANSPORTE II</t>
  </si>
  <si>
    <t>GRAD.G.01</t>
  </si>
  <si>
    <t>GEOPROCESSAMENTO</t>
  </si>
  <si>
    <t>GRAD.HIDRáUL.01</t>
  </si>
  <si>
    <t>HIDRáULICA I</t>
  </si>
  <si>
    <t>GRAD.TARI.01</t>
  </si>
  <si>
    <t>TRATAMENTO DE ÁGUAS RESIDUáRIAS INDUSTRIAIS</t>
  </si>
  <si>
    <t>ÉDIO DAMáSIO DA SILVA JUNIOR</t>
  </si>
  <si>
    <t>GRAD.ELEE.01</t>
  </si>
  <si>
    <t>ELETRICIDADE E ELETROTéCNICA</t>
  </si>
  <si>
    <t>20212.02EAM20I.8V</t>
  </si>
  <si>
    <t>GRAD.ER.03</t>
  </si>
  <si>
    <t>ENERGIAS RENOVáVEIS</t>
  </si>
  <si>
    <t>GRAD.EVA.01</t>
  </si>
  <si>
    <t>ECONOMIA E VALORAçãO AMBIENTAL</t>
  </si>
  <si>
    <t>GRAD.MBH.01</t>
  </si>
  <si>
    <t>MANEJO DE BACIAS HIDROGRáFICAS</t>
  </si>
  <si>
    <t>GRAD.MRA.01</t>
  </si>
  <si>
    <t>MéTODOS DE REMEDIAçãO DE ÁREAS CONTAMINADAS</t>
  </si>
  <si>
    <t>GRAD.TAA.01</t>
  </si>
  <si>
    <t>TRATAMENTO DE ÁGUA DE ABASTECIMENTO</t>
  </si>
  <si>
    <t>GRAD.TES.01</t>
  </si>
  <si>
    <t>TRATAMENTO DE ESGOTO SANITáRIO</t>
  </si>
  <si>
    <t>RV.MCC001</t>
  </si>
  <si>
    <t>MATERIAIS DE CONSTRUçãO II</t>
  </si>
  <si>
    <t>20212.02EDI11N.2N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</si>
  <si>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</si>
  <si>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</si>
  <si>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</si>
  <si>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</si>
  <si>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</si>
  <si>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</si>
  <si>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</si>
  <si>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RV.EPD002</t>
  </si>
  <si>
    <t>20212.02EDI11N.4N</t>
  </si>
  <si>
    <t>RV.GOT001</t>
  </si>
  <si>
    <t>GERENCIAMENTO E ORçAMENTO</t>
  </si>
  <si>
    <t>RV.IEC001</t>
  </si>
  <si>
    <t>INSTALAçõES ELéTRICAS</t>
  </si>
  <si>
    <t>RV.PFL001</t>
  </si>
  <si>
    <t>PROJETO FINAL</t>
  </si>
  <si>
    <t>RV.SOT001</t>
  </si>
  <si>
    <t>SEGURANçA E ORGANIZAçãO DO TRABALHO</t>
  </si>
  <si>
    <t>RV.TC-II001</t>
  </si>
  <si>
    <t>TéCNICAS CONSTRUTIVAS II</t>
  </si>
  <si>
    <t>RV.PRO41</t>
  </si>
  <si>
    <t>HISTóRIA II</t>
  </si>
  <si>
    <t>20212.02EDI12N.TE</t>
  </si>
  <si>
    <t>RV.PRO50</t>
  </si>
  <si>
    <t>BIOLOGIA I</t>
  </si>
  <si>
    <t>RV.PRO60</t>
  </si>
  <si>
    <t>FíSICA I</t>
  </si>
  <si>
    <t>RV.TADM12</t>
  </si>
  <si>
    <t>GRAD.ENQ.CDI-II.08</t>
  </si>
  <si>
    <t>20212.02ENQ20I.2M</t>
  </si>
  <si>
    <t>GRAD.ENQ.EB.13</t>
  </si>
  <si>
    <t>GRAD.ENQ.FE-II.10</t>
  </si>
  <si>
    <t>GRAD.ENQ.FIS-II.09</t>
  </si>
  <si>
    <t>GRAD.ENQ.QIE.12</t>
  </si>
  <si>
    <t>QUíMICA INORGâNICA EXPERIMENTAL</t>
  </si>
  <si>
    <t>ELOIZA DA SILVA NUNES</t>
  </si>
  <si>
    <t>GRAD.ENQ.QI-I.11</t>
  </si>
  <si>
    <t>QUíMICA INORGâNICA I</t>
  </si>
  <si>
    <t>WESLEY RENATO VIALI</t>
  </si>
  <si>
    <t>GRAD.ENQ.QO-I.14</t>
  </si>
  <si>
    <t>QUíMICA ORGâNICA I</t>
  </si>
  <si>
    <t>GRAD.ENQ.FQ-I.16</t>
  </si>
  <si>
    <t>FíSICO-QUíMICA I</t>
  </si>
  <si>
    <t>20212.02ENQ20I.4V</t>
  </si>
  <si>
    <t>GRAD.ENQ.FT-I.25</t>
  </si>
  <si>
    <t>GRAD.ENQ.QAQ.26</t>
  </si>
  <si>
    <t>QUíMICA ANALíTICA QUANTITATIVA</t>
  </si>
  <si>
    <t>POLYANA FERNANDES PEREIRA</t>
  </si>
  <si>
    <t>GRAD.ENQ.QOE.24</t>
  </si>
  <si>
    <t>QUíMICA ORGâNICA EXPERIMENTAL</t>
  </si>
  <si>
    <t>RODRIGO BRAGHIROLI</t>
  </si>
  <si>
    <t>GRAD.ENQ.QO-II.23</t>
  </si>
  <si>
    <t>QUíMICA ORGâNICA II</t>
  </si>
  <si>
    <t>GRAD.ENQ.RM.22</t>
  </si>
  <si>
    <t>RV.INF610</t>
  </si>
  <si>
    <t>FUNDAMENTOS DE INFORMáTICA</t>
  </si>
  <si>
    <t>FáBIO MONTANHA RAMOS</t>
  </si>
  <si>
    <t>20212.02INF11N.1N</t>
  </si>
  <si>
    <t>RV.INF618</t>
  </si>
  <si>
    <t>LóGICA DE PROGRAMAçãO</t>
  </si>
  <si>
    <t>RV.INF619</t>
  </si>
  <si>
    <t>MATEMáTICA PARA INFORMáTICA</t>
  </si>
  <si>
    <t>RV.INF64</t>
  </si>
  <si>
    <t>MANUTENçãO DE COMPUTADORES</t>
  </si>
  <si>
    <t>20212.02INF11N.2N</t>
  </si>
  <si>
    <t>RV.INF97</t>
  </si>
  <si>
    <t>DESENVOLVIMENTO DE INTERFACES WEB II</t>
  </si>
  <si>
    <t>RV.INF99</t>
  </si>
  <si>
    <t>LINGUAGEM DE PROGRAMAçãO I</t>
  </si>
  <si>
    <t>20212.02INF11N.3N</t>
  </si>
  <si>
    <t>RV.INF61</t>
  </si>
  <si>
    <t>ÉTICA E LEGISLAçãO</t>
  </si>
  <si>
    <t>RV.INF63</t>
  </si>
  <si>
    <t>DESENVOLVIMENTO DE PROJETO FINAL I</t>
  </si>
  <si>
    <t>RV.INF85</t>
  </si>
  <si>
    <t>RV.INF94</t>
  </si>
  <si>
    <t>LINGUAGEM DE PROGRAMAçãO II</t>
  </si>
  <si>
    <t>RV.INF60</t>
  </si>
  <si>
    <t>DESENVOLVIMENTO DE PROJETO FINAL II</t>
  </si>
  <si>
    <t>20212.02INF11N.4N</t>
  </si>
  <si>
    <t>RV.INF88</t>
  </si>
  <si>
    <t>DESENVOLVIMENTO PARA DISPOSITIVOS MóVEIS</t>
  </si>
  <si>
    <t>RV.INF91</t>
  </si>
  <si>
    <t>REDES DE COMPUTADORES II</t>
  </si>
  <si>
    <t>RV.ING412</t>
  </si>
  <si>
    <t>INGLêS INSTRUMENTAL</t>
  </si>
  <si>
    <t>20212.02QUI10N.2N</t>
  </si>
  <si>
    <t>RV.QUI725</t>
  </si>
  <si>
    <t>QUíMICA INORGâNICA</t>
  </si>
  <si>
    <t>RV.QUI726</t>
  </si>
  <si>
    <t>RV.QUI731</t>
  </si>
  <si>
    <t>RV.QUI737</t>
  </si>
  <si>
    <t>QUíMICA E DESENVOLVIMENTO TECNOLóGICO</t>
  </si>
  <si>
    <t>SUZANA MARIA LOURES DE OLIVEIRA MARCIONILIO</t>
  </si>
  <si>
    <t>RV.QUI124</t>
  </si>
  <si>
    <t>PROCESSOS QUíMICOS INDUSTRIAIS</t>
  </si>
  <si>
    <t>20212.02QUI10N.TE</t>
  </si>
  <si>
    <t>GRAD.CáLCULO.01</t>
  </si>
  <si>
    <t>CáLCULO</t>
  </si>
  <si>
    <t>20212.02QUI22N.2N</t>
  </si>
  <si>
    <t>GRAD.FQ.01</t>
  </si>
  <si>
    <t>GRAD.FQIE.01</t>
  </si>
  <si>
    <t>FíSICO-QUíMICA I EXPERIMENTAL</t>
  </si>
  <si>
    <t>GRAD.PAQG.01</t>
  </si>
  <si>
    <t>PRáTICAS ACADêMICAS DE QUíMICA GERAL</t>
  </si>
  <si>
    <t>CELSO MARTINS BELISáRIO</t>
  </si>
  <si>
    <t>GRAD.QG-II.01</t>
  </si>
  <si>
    <t>QUíMICA GERAL II</t>
  </si>
  <si>
    <t>20212.02QUI22N.4N</t>
  </si>
  <si>
    <t>GRAD.FGE-II.01</t>
  </si>
  <si>
    <t>FíSICA GERAL E EXPERIMENTAL II</t>
  </si>
  <si>
    <t>GRAD.PAQAQ.01</t>
  </si>
  <si>
    <t>PRáTICAS ACADêMICAS DE QUíMICA ANALíTICA QUALITATIVA</t>
  </si>
  <si>
    <t>GRAD.QAQ.03</t>
  </si>
  <si>
    <t>20212.02QUI22N.6N</t>
  </si>
  <si>
    <t>GRAD.PAQI.01</t>
  </si>
  <si>
    <t>PRáTICAS ACADêMICAS DE QUíMICA INORGâNICA</t>
  </si>
  <si>
    <t>GRAD.QIE.02</t>
  </si>
  <si>
    <t>GRAD.QI-II.01</t>
  </si>
  <si>
    <t>QUíMICA INORGâNICA II</t>
  </si>
  <si>
    <t>GRAD.QO-I.01</t>
  </si>
  <si>
    <t>GRAD.SCE.02</t>
  </si>
  <si>
    <t>SOCIEDADE CULTURA E EDUCAçãO</t>
  </si>
  <si>
    <t>EMIVAL DA CUNHA RIBEIRO</t>
  </si>
  <si>
    <t>GRAD.QOE.01</t>
  </si>
  <si>
    <t>20212.02QUI22N.7N</t>
  </si>
  <si>
    <t>GRAD.AO.02</t>
  </si>
  <si>
    <t>ANáLISE ORGâNICA</t>
  </si>
  <si>
    <t>20212.02QUI22N.8N</t>
  </si>
  <si>
    <t>GRAD.PAI.01</t>
  </si>
  <si>
    <t>PRáTICAS ACADêMICAS INTERDISCIPLINARES</t>
  </si>
  <si>
    <t>GRAD.QAI.01</t>
  </si>
  <si>
    <t>QUíMICA ANALíTICA INSTRUMENTAL</t>
  </si>
  <si>
    <t>ELOIZA DA SILVA NUNES,WESLEY RENATO VIALI</t>
  </si>
  <si>
    <t>GRAD.QUIAMB.01</t>
  </si>
  <si>
    <t>QUíMICA AMBIENTAL</t>
  </si>
  <si>
    <t>RV.QUI239</t>
  </si>
  <si>
    <t>FíSICO-QUíMICA EXPERIMENTAL III</t>
  </si>
  <si>
    <t>20212.02QUI22N.TE</t>
  </si>
  <si>
    <t>RV.QUI241</t>
  </si>
  <si>
    <t>ANáLISE ORGâNICA EXPERIMENTAL</t>
  </si>
  <si>
    <t>RV.QUI254</t>
  </si>
  <si>
    <t>QUíMICA FINA APLICADA</t>
  </si>
  <si>
    <t>GRAD.ER.01</t>
  </si>
  <si>
    <t>20212.02SAM21N.4N</t>
  </si>
  <si>
    <t>GRAD.GAP.01</t>
  </si>
  <si>
    <t>GESTãO DE ÁGUAS PLUVIAIS</t>
  </si>
  <si>
    <t>GRAD.GEOPROCESS.01</t>
  </si>
  <si>
    <t>GRAD.GRS.02</t>
  </si>
  <si>
    <t>GESTãO DE RESíDUOS SóLIDOS</t>
  </si>
  <si>
    <t>GRAD.SP.02</t>
  </si>
  <si>
    <t>GRAD.APA.02</t>
  </si>
  <si>
    <t>AUDITORIA E PERíCIA AMBIENTAL</t>
  </si>
  <si>
    <t>20212.02SAM21N.6N</t>
  </si>
  <si>
    <t>GRAD.ECRER.01</t>
  </si>
  <si>
    <t>EDUCAçãO, CULTURA E RELAçõES ÉTNICO RACIAIS</t>
  </si>
  <si>
    <t>GRAD.LIBRAS.01</t>
  </si>
  <si>
    <t>LIBRAS</t>
  </si>
  <si>
    <t>GRAD.TAAA.01</t>
  </si>
  <si>
    <t>TRATAMENTO AVANçADO DE ÁGUA DE ABASTECIMENTO</t>
  </si>
  <si>
    <t>GRAD.TAR-II.01</t>
  </si>
  <si>
    <t>TRATAMENTO DE ÁGUAS RESIDUáRIAS II</t>
  </si>
  <si>
    <t>GRAD.TRSUI.01</t>
  </si>
  <si>
    <t>TRATAMENTO DE RESíDUOS SóLIDOS URBANOS E INDUSTRIAIS</t>
  </si>
  <si>
    <t>CTSTRARV.32</t>
  </si>
  <si>
    <t>SEGURANçA DO TRABALHO II</t>
  </si>
  <si>
    <t>LAURA REZENDE SOUZA</t>
  </si>
  <si>
    <t>20212.02SGT11N.2N</t>
  </si>
  <si>
    <t>CTSTRARV.33</t>
  </si>
  <si>
    <t>DIREITO DO TRABALHO II</t>
  </si>
  <si>
    <t>MáRCIA CRISTINA PUYDINGER DE FAZIO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</si>
  <si>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</si>
  <si>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</si>
  <si>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</si>
  <si>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</si>
  <si>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</si>
  <si>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</si>
  <si>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</si>
  <si>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</si>
  <si>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TADMRV33</t>
  </si>
  <si>
    <t>CTSTRARV.23</t>
  </si>
  <si>
    <t>ERGONOMIA</t>
  </si>
  <si>
    <t>LUIZA FERREIRA REZENDE DE MEDEIROS</t>
  </si>
  <si>
    <t>20212.02SGT11N.4N</t>
  </si>
  <si>
    <t>CTSTRARV.44</t>
  </si>
  <si>
    <t>SEGURANçA DO TRABALHO RURAL</t>
  </si>
  <si>
    <t>CTSTRARV.45</t>
  </si>
  <si>
    <t>BIOSSEGURANçA E BIOTéTICA</t>
  </si>
  <si>
    <t>CTSTRARV.46</t>
  </si>
  <si>
    <t>GESTãO E LEGISLAçãO AMBIENTAL II</t>
  </si>
  <si>
    <t>CTSTRARV.47</t>
  </si>
  <si>
    <t>ÉTICA DO TRABALHO</t>
  </si>
  <si>
    <t>CTSTRARV.48</t>
  </si>
  <si>
    <t>GESTãO DE QUALIDADE</t>
  </si>
  <si>
    <t>CTSTRARV.49</t>
  </si>
  <si>
    <t>PROJETO DE CURSO</t>
  </si>
  <si>
    <t>ALINE DITOMASO</t>
  </si>
  <si>
    <t>20212.02ZOO20I.2M</t>
  </si>
  <si>
    <t>GRAD.FMB.02</t>
  </si>
  <si>
    <t>FíSICA-MECâNICA BáSICA</t>
  </si>
  <si>
    <t>GRAD.GMS.02</t>
  </si>
  <si>
    <t>GRAD.IBPZ.01</t>
  </si>
  <si>
    <t>INFORMáTICA BáSICA PARA A ZOOTECNIA</t>
  </si>
  <si>
    <t>FRANCISCO RIBEIRO DE ARAUJO NETO</t>
  </si>
  <si>
    <t>GRAD.ZOOLOGIA.01</t>
  </si>
  <si>
    <t>ADRIANO CARVALHO COSTA</t>
  </si>
  <si>
    <t>20212.02ZOO20I.4V</t>
  </si>
  <si>
    <t>GRAD.FA.02</t>
  </si>
  <si>
    <t>FISIOLOGIA ANIMAL</t>
  </si>
  <si>
    <t>KáTIA CYLENE GUIMARãES</t>
  </si>
  <si>
    <t>GRAD.FS.03</t>
  </si>
  <si>
    <t>GRAD.FV.03</t>
  </si>
  <si>
    <t>PAULO EDUARDO DE MENEZES SILVA</t>
  </si>
  <si>
    <t>GRAD.GENéTICA.01</t>
  </si>
  <si>
    <t>GRAD.MIA.01</t>
  </si>
  <si>
    <t>MICROBIOLOGIA E IMUNOLOGIA ANIMAL</t>
  </si>
  <si>
    <t>JéSSIKA  MARA MARTINS RIBEIRO</t>
  </si>
  <si>
    <t>GRAD.CBEA.01</t>
  </si>
  <si>
    <t>COMPORTAMENTO E BEM-ESTAR ANIMAL</t>
  </si>
  <si>
    <t>20212.02ZOO20I.6M</t>
  </si>
  <si>
    <t>GRAD.CIR.02</t>
  </si>
  <si>
    <t>GRAD.ECORUR.01</t>
  </si>
  <si>
    <t>ECONOMIA RURAL</t>
  </si>
  <si>
    <t>GRAD.NNR.01</t>
  </si>
  <si>
    <t>NUTRIçãO DE NãO RUMINANTES</t>
  </si>
  <si>
    <t>CIBELE SILVA MINAFRA</t>
  </si>
  <si>
    <t>GRAD.NR.01</t>
  </si>
  <si>
    <t>NUTRIçãO DE RUMINANTES</t>
  </si>
  <si>
    <t>GRAD.PASTAGENS.01</t>
  </si>
  <si>
    <t>PASTAGENS</t>
  </si>
  <si>
    <t>KáTIA APARECIDA DE PINHO COSTA</t>
  </si>
  <si>
    <t>GRAD.RA.01</t>
  </si>
  <si>
    <t>REPRODUçãO ANIMAL</t>
  </si>
  <si>
    <t>GRAD.BCB.01</t>
  </si>
  <si>
    <t>BOVINOCULTURA DE CORTE E BUBALINOCULTURA</t>
  </si>
  <si>
    <t>20212.02ZOO20I.8V</t>
  </si>
  <si>
    <t>GRAD.CO.01</t>
  </si>
  <si>
    <t>CAPRINOCULTURA E OVINOCULTURA</t>
  </si>
  <si>
    <t>GRAD.FRA.01</t>
  </si>
  <si>
    <t>FáBRICA DE RAçãO ANIMAL</t>
  </si>
  <si>
    <t>GRAD.SER.01</t>
  </si>
  <si>
    <t>SOCIOLOGIA E EXTENSãO RURAL</t>
  </si>
  <si>
    <t>GRAD.SUINOCULT.01</t>
  </si>
  <si>
    <t>SUINOCULTURA</t>
  </si>
  <si>
    <t>ANA PAULA CARDOSO GOMIDE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</si>
  <si>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</si>
  <si>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</si>
  <si>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</si>
  <si>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</si>
  <si>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</si>
  <si>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</si>
  <si>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</si>
  <si>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</si>
  <si>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RENATO CRUVINEL DE OLIVEIRA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</si>
  <si>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</si>
  <si>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</si>
  <si>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</si>
  <si>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</si>
  <si>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</si>
  <si>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</si>
  <si>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</si>
  <si>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</si>
  <si>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PROF.15</t>
  </si>
  <si>
    <t>PROF.16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</si>
  <si>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</si>
  <si>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</si>
  <si>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</si>
  <si>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</si>
  <si>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</si>
  <si>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</si>
  <si>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</si>
  <si>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</si>
  <si>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</si>
  <si>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</si>
  <si>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</si>
  <si>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</si>
  <si>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</si>
  <si>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</si>
  <si>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</si>
  <si>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JACSON ZUCHI</t>
  </si>
  <si>
    <t>PROF.32</t>
  </si>
  <si>
    <t>PROF.33</t>
  </si>
  <si>
    <t>PROF.34</t>
  </si>
  <si>
    <t>PROF.35</t>
  </si>
  <si>
    <t>PROF.36</t>
  </si>
  <si>
    <t>JULIANA APARECIDA CELIA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</si>
  <si>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</si>
  <si>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</si>
  <si>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</si>
  <si>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</si>
  <si>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</si>
  <si>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</si>
  <si>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</si>
  <si>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</si>
  <si>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</si>
  <si>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</si>
  <si>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</si>
  <si>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</si>
  <si>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</si>
  <si>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</si>
  <si>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</si>
  <si>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</si>
  <si>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ADRIANO JAKELAITIS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</si>
  <si>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</si>
  <si>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</si>
  <si>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</si>
  <si>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</si>
  <si>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</si>
  <si>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</si>
  <si>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</si>
  <si>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</si>
  <si>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</si>
  <si>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</si>
  <si>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</si>
  <si>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</si>
  <si>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</si>
  <si>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LEANDRO RODRIGUES DA SILVA SOUZA</t>
  </si>
  <si>
    <t>PROF.66</t>
  </si>
  <si>
    <t>PROF.67</t>
  </si>
  <si>
    <t>PROF.68</t>
  </si>
  <si>
    <t>LIA RAQUEL DE SOUZA SANTOS</t>
  </si>
  <si>
    <t>PROF.69</t>
  </si>
  <si>
    <t>PROF.70</t>
  </si>
  <si>
    <t>PROF.71</t>
  </si>
  <si>
    <t>PROF.72</t>
  </si>
  <si>
    <t>PROF.73</t>
  </si>
  <si>
    <t>MARIANA BURANELO EGEA</t>
  </si>
  <si>
    <t>PROF.74</t>
  </si>
  <si>
    <t>PROF.75</t>
  </si>
  <si>
    <t>PROF.76</t>
  </si>
  <si>
    <t>PROF.77</t>
  </si>
  <si>
    <t>PROF.78</t>
  </si>
  <si>
    <t>PROF.79</t>
  </si>
  <si>
    <t>LETíCIA FLEURY VIANA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</si>
  <si>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</si>
  <si>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</si>
  <si>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</si>
  <si>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</si>
  <si>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</si>
  <si>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</si>
  <si>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</si>
  <si>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</si>
  <si>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</si>
  <si>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</si>
  <si>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</si>
  <si>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</si>
  <si>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</si>
  <si>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</si>
  <si>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FERNANDO HENRIQUE ANTONIOLLI FARACHE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</si>
  <si>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</si>
  <si>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</si>
  <si>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</si>
  <si>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</si>
  <si>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</si>
  <si>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</si>
  <si>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</si>
  <si>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</si>
  <si>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</si>
  <si>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</si>
  <si>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</si>
  <si>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</si>
  <si>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</si>
  <si>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</si>
  <si>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PRISCILA FERREIRA BATISTA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</si>
  <si>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</si>
  <si>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</si>
  <si>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</si>
  <si>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</si>
  <si>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</si>
  <si>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</si>
  <si>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</si>
  <si>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</si>
  <si>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</si>
  <si>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</si>
  <si>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</si>
  <si>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</si>
  <si>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</si>
  <si>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</si>
  <si>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</si>
  <si>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BRUNA OLIVEIRA CAMPOS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</si>
  <si>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</si>
  <si>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</si>
  <si>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</si>
  <si>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</si>
  <si>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</si>
  <si>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</si>
  <si>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</si>
  <si>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</si>
  <si>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</si>
  <si>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</si>
  <si>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</si>
  <si>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</si>
  <si>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</si>
  <si>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</si>
  <si>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PROF.137</t>
  </si>
  <si>
    <t>PROF.138</t>
  </si>
  <si>
    <t>HELLIOMAR PEREIRA BARBOSA</t>
  </si>
  <si>
    <t>PROF.139</t>
  </si>
  <si>
    <t>PROF.140</t>
  </si>
  <si>
    <t>PAULO SéRGIO PEREIRA</t>
  </si>
  <si>
    <t>PROF.141</t>
  </si>
  <si>
    <t>PROF.142</t>
  </si>
  <si>
    <t>PROF.143</t>
  </si>
  <si>
    <t>PROF.144</t>
  </si>
  <si>
    <t>PROF.145</t>
  </si>
  <si>
    <t>PROF.146</t>
  </si>
  <si>
    <t>PROF.147</t>
  </si>
  <si>
    <t>PROF.148</t>
  </si>
  <si>
    <t>MARCO ANTôNIO PEREIRA DA SILVA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</si>
  <si>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</si>
  <si>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</si>
  <si>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</si>
  <si>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</si>
  <si>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</si>
  <si>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</si>
  <si>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</si>
  <si>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</si>
  <si>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</si>
  <si>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</si>
  <si>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</si>
  <si>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</si>
  <si>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</si>
  <si>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</si>
  <si>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</si>
  <si>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</si>
  <si>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</si>
  <si>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</si>
  <si>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</si>
  <si>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</si>
  <si>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</si>
  <si>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</si>
  <si>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</si>
  <si>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</si>
  <si>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</si>
  <si>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</si>
  <si>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</si>
  <si>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</si>
  <si>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</si>
  <si>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</si>
  <si>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</si>
  <si>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</si>
  <si>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</si>
  <si>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</si>
  <si>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</si>
  <si>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</si>
  <si>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</si>
  <si>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</si>
  <si>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</si>
  <si>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</si>
  <si>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</si>
  <si>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</si>
  <si>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</si>
  <si>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</si>
  <si>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</si>
  <si>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</si>
  <si>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</si>
  <si>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</si>
  <si>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</si>
  <si>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</si>
  <si>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</si>
  <si>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</si>
  <si>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</si>
  <si>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</si>
  <si>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</si>
  <si>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</si>
  <si>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</si>
  <si>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</si>
  <si>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</si>
  <si>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</si>
  <si>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</si>
  <si>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</si>
  <si>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</si>
  <si>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</si>
  <si>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Manhã</t>
  </si>
  <si>
    <t>Tarde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</si>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</sst>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4" fontId="2" numFmtId="0" xfId="0" applyBorder="1" applyFont="1"/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1" fillId="4" fontId="2" numFmtId="0" xfId="0" applyAlignment="1" applyBorder="1" applyFont="1">
      <alignment vertical="bottom"/>
    </xf>
    <xf borderId="0" fillId="10" fontId="1" numFmtId="49" xfId="0" applyFill="1" applyFont="1" applyNumberFormat="1"/>
    <xf borderId="1" fillId="5" fontId="1" numFmtId="49" xfId="0" applyBorder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10" fontId="5" numFmtId="49" xfId="0" applyAlignment="1" applyBorder="1" applyFont="1" applyNumberFormat="1">
      <alignment readingOrder="0"/>
    </xf>
    <xf borderId="1" fillId="5" fontId="2" numFmtId="49" xfId="0" applyAlignment="1" applyBorder="1" applyFont="1" applyNumberFormat="1">
      <alignment readingOrder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6" numFmtId="49" xfId="0" applyAlignment="1" applyBorder="1" applyFont="1" applyNumberFormat="1">
      <alignment readingOrder="0" vertical="bottom"/>
    </xf>
    <xf borderId="1" fillId="0" fontId="6" numFmtId="49" xfId="0" applyAlignment="1" applyBorder="1" applyFont="1" applyNumberFormat="1">
      <alignment readingOrder="0" vertical="bottom"/>
    </xf>
    <xf borderId="1" fillId="5" fontId="6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5" fontId="5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5.43"/>
    <col customWidth="1" min="2" max="2" width="61.57"/>
    <col customWidth="1" min="3" max="3" width="54.14"/>
    <col customWidth="1" min="4" max="4" width="19.0"/>
    <col customWidth="1" min="5" max="5" width="10.86"/>
    <col customWidth="1" min="6" max="6" width="6.71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INDEX(Turmas!C2:C106,MATCH(D2,Turmas!A2:A106,0))</f>
        <v>Noite</v>
      </c>
      <c r="F2" s="14">
        <v>0.0</v>
      </c>
      <c r="G2" s="15">
        <v>3.0</v>
      </c>
      <c r="H2" s="15">
        <v>0.0</v>
      </c>
      <c r="I2" s="16" t="str">
        <f t="shared" ref="I2:I402" si="1">ifs(E2 = "Manhã", "7-16", E2 = "Tarde", "1-6,13-16", E2 = "Noite", "1-12", E2 = "Integral", "13-16")</f>
        <v>1-12</v>
      </c>
      <c r="J2" s="16" t="str">
        <f t="shared" ref="J2:J402" si="2">ifs(E2 = "Manhã", "7-16", E2 = "Tarde", "1-6,13-16", E2 = "Noite", "1-12", E2 = "Integral", "13-16")</f>
        <v>1-12</v>
      </c>
      <c r="K2" s="16" t="str">
        <f t="shared" ref="K2:K402" si="3">ifs(E2 = "Manhã", "7-16", E2 = "Tarde", "1-6,13-16", E2 = "Noite", "1-12", E2 = "Integral", "13-16")</f>
        <v>1-12</v>
      </c>
      <c r="L2" s="16" t="str">
        <f t="shared" ref="L2:L402" si="4">ifs(E2 = "Manhã", "7-16", E2 = "Tarde", "1-6,13-16", E2 = "Noite", "1-12", E2 = "Integral", "13-16")</f>
        <v>1-12</v>
      </c>
      <c r="M2" s="16" t="str">
        <f t="shared" ref="M2:M402" si="5">ifs(E2 = "Manhã", "7-16", E2 = "Tarde", "1-6,13-16", E2 = "Noite", "1-12", E2 = "Integral", "13-16")</f>
        <v>1-12</v>
      </c>
      <c r="N2" s="16" t="str">
        <f t="shared" ref="N2:N402" si="6">ifs(E2 = "Manhã", "1-16", E2 = "Tarde", "1-16", E2 = "Noite", "0", E2 = "Integral", "1-16")</f>
        <v>0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16</v>
      </c>
      <c r="D3" s="12" t="s">
        <v>17</v>
      </c>
      <c r="E3" s="13" t="str">
        <f t="array" ref="E3">INDEX(Turmas!C2:C106,MATCH(D3,Turmas!A2:A106,0))</f>
        <v>Noite</v>
      </c>
      <c r="F3" s="14">
        <v>0.0</v>
      </c>
      <c r="G3" s="15">
        <v>3.0</v>
      </c>
      <c r="H3" s="15">
        <v>0.0</v>
      </c>
      <c r="I3" s="16" t="str">
        <f t="shared" si="1"/>
        <v>1-12</v>
      </c>
      <c r="J3" s="16" t="str">
        <f t="shared" si="2"/>
        <v>1-12</v>
      </c>
      <c r="K3" s="16" t="str">
        <f t="shared" si="3"/>
        <v>1-12</v>
      </c>
      <c r="L3" s="16" t="str">
        <f t="shared" si="4"/>
        <v>1-12</v>
      </c>
      <c r="M3" s="16" t="str">
        <f t="shared" si="5"/>
        <v>1-12</v>
      </c>
      <c r="N3" s="16" t="str">
        <f t="shared" si="6"/>
        <v>0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20</v>
      </c>
      <c r="B4" s="10" t="s">
        <v>21</v>
      </c>
      <c r="C4" s="11" t="s">
        <v>22</v>
      </c>
      <c r="D4" s="12" t="s">
        <v>17</v>
      </c>
      <c r="E4" s="13" t="str">
        <f t="array" ref="E4">INDEX(Turmas!C2:C106,MATCH(D4,Turmas!A2:A106,0))</f>
        <v>Noite</v>
      </c>
      <c r="F4" s="14">
        <v>0.0</v>
      </c>
      <c r="G4" s="15">
        <v>3.0</v>
      </c>
      <c r="H4" s="15">
        <v>0.0</v>
      </c>
      <c r="I4" s="16" t="str">
        <f t="shared" si="1"/>
        <v>1-12</v>
      </c>
      <c r="J4" s="16" t="str">
        <f t="shared" si="2"/>
        <v>1-12</v>
      </c>
      <c r="K4" s="16" t="str">
        <f t="shared" si="3"/>
        <v>1-12</v>
      </c>
      <c r="L4" s="16" t="str">
        <f t="shared" si="4"/>
        <v>1-12</v>
      </c>
      <c r="M4" s="16" t="str">
        <f t="shared" si="5"/>
        <v>1-12</v>
      </c>
      <c r="N4" s="16" t="str">
        <f t="shared" si="6"/>
        <v>0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23</v>
      </c>
      <c r="B5" s="10" t="s">
        <v>24</v>
      </c>
      <c r="C5" s="11" t="s">
        <v>25</v>
      </c>
      <c r="D5" s="12" t="s">
        <v>17</v>
      </c>
      <c r="E5" s="13" t="str">
        <f t="array" ref="E5">INDEX(Turmas!C2:C106,MATCH(D5,Turmas!A2:A106,0))</f>
        <v>Noite</v>
      </c>
      <c r="F5" s="14">
        <v>0.0</v>
      </c>
      <c r="G5" s="15">
        <v>3.0</v>
      </c>
      <c r="H5" s="15">
        <v>0.0</v>
      </c>
      <c r="I5" s="16" t="str">
        <f t="shared" si="1"/>
        <v>1-12</v>
      </c>
      <c r="J5" s="16" t="str">
        <f t="shared" si="2"/>
        <v>1-12</v>
      </c>
      <c r="K5" s="16" t="str">
        <f t="shared" si="3"/>
        <v>1-12</v>
      </c>
      <c r="L5" s="16" t="str">
        <f t="shared" si="4"/>
        <v>1-12</v>
      </c>
      <c r="M5" s="16" t="str">
        <f t="shared" si="5"/>
        <v>1-12</v>
      </c>
      <c r="N5" s="16" t="str">
        <f t="shared" si="6"/>
        <v>0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26</v>
      </c>
      <c r="B6" s="10" t="s">
        <v>27</v>
      </c>
      <c r="C6" s="11" t="s">
        <v>25</v>
      </c>
      <c r="D6" s="12" t="s">
        <v>17</v>
      </c>
      <c r="E6" s="13" t="str">
        <f t="array" ref="E6">INDEX(Turmas!C2:C106,MATCH(D6,Turmas!A2:A106,0))</f>
        <v>Noite</v>
      </c>
      <c r="F6" s="14">
        <v>0.0</v>
      </c>
      <c r="G6" s="15">
        <v>4.0</v>
      </c>
      <c r="H6" s="15">
        <v>0.0</v>
      </c>
      <c r="I6" s="16" t="str">
        <f t="shared" si="1"/>
        <v>1-12</v>
      </c>
      <c r="J6" s="16" t="str">
        <f t="shared" si="2"/>
        <v>1-12</v>
      </c>
      <c r="K6" s="16" t="str">
        <f t="shared" si="3"/>
        <v>1-12</v>
      </c>
      <c r="L6" s="16" t="str">
        <f t="shared" si="4"/>
        <v>1-12</v>
      </c>
      <c r="M6" s="16" t="str">
        <f t="shared" si="5"/>
        <v>1-12</v>
      </c>
      <c r="N6" s="16" t="str">
        <f t="shared" si="6"/>
        <v>0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28</v>
      </c>
      <c r="B7" s="10" t="s">
        <v>29</v>
      </c>
      <c r="C7" s="11" t="s">
        <v>30</v>
      </c>
      <c r="D7" s="12" t="s">
        <v>17</v>
      </c>
      <c r="E7" s="13" t="str">
        <f t="array" ref="E7">INDEX(Turmas!C2:C106,MATCH(D7,Turmas!A2:A106,0))</f>
        <v>Noite</v>
      </c>
      <c r="F7" s="14">
        <v>0.0</v>
      </c>
      <c r="G7" s="15">
        <v>4.0</v>
      </c>
      <c r="H7" s="15">
        <v>0.0</v>
      </c>
      <c r="I7" s="16" t="str">
        <f t="shared" si="1"/>
        <v>1-12</v>
      </c>
      <c r="J7" s="16" t="str">
        <f t="shared" si="2"/>
        <v>1-12</v>
      </c>
      <c r="K7" s="16" t="str">
        <f t="shared" si="3"/>
        <v>1-12</v>
      </c>
      <c r="L7" s="16" t="str">
        <f t="shared" si="4"/>
        <v>1-12</v>
      </c>
      <c r="M7" s="16" t="str">
        <f t="shared" si="5"/>
        <v>1-12</v>
      </c>
      <c r="N7" s="16" t="str">
        <f t="shared" si="6"/>
        <v>0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31</v>
      </c>
      <c r="B8" s="10" t="s">
        <v>32</v>
      </c>
      <c r="C8" s="11" t="s">
        <v>33</v>
      </c>
      <c r="D8" s="12" t="s">
        <v>17</v>
      </c>
      <c r="E8" s="13" t="str">
        <f t="array" ref="E8">INDEX(Turmas!C2:C106,MATCH(D8,Turmas!A2:A106,0))</f>
        <v>Noite</v>
      </c>
      <c r="F8" s="14">
        <v>0.0</v>
      </c>
      <c r="G8" s="15">
        <v>3.0</v>
      </c>
      <c r="H8" s="15">
        <v>0.0</v>
      </c>
      <c r="I8" s="16" t="str">
        <f t="shared" si="1"/>
        <v>1-12</v>
      </c>
      <c r="J8" s="16" t="str">
        <f t="shared" si="2"/>
        <v>1-12</v>
      </c>
      <c r="K8" s="16" t="str">
        <f t="shared" si="3"/>
        <v>1-12</v>
      </c>
      <c r="L8" s="16" t="str">
        <f t="shared" si="4"/>
        <v>1-12</v>
      </c>
      <c r="M8" s="16" t="str">
        <f t="shared" si="5"/>
        <v>1-12</v>
      </c>
      <c r="N8" s="16" t="str">
        <f t="shared" si="6"/>
        <v>0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34</v>
      </c>
      <c r="B9" s="10" t="s">
        <v>35</v>
      </c>
      <c r="C9" s="11" t="s">
        <v>25</v>
      </c>
      <c r="D9" s="12" t="s">
        <v>36</v>
      </c>
      <c r="E9" s="13" t="str">
        <f t="array" ref="E9">INDEX(Turmas!C2:C106,MATCH(D9,Turmas!A2:A106,0))</f>
        <v>Noite</v>
      </c>
      <c r="F9" s="14">
        <v>10.0</v>
      </c>
      <c r="G9" s="15">
        <v>3.0</v>
      </c>
      <c r="H9" s="15">
        <v>0.0</v>
      </c>
      <c r="I9" s="16" t="str">
        <f t="shared" si="1"/>
        <v>1-12</v>
      </c>
      <c r="J9" s="16" t="str">
        <f t="shared" si="2"/>
        <v>1-12</v>
      </c>
      <c r="K9" s="16" t="str">
        <f t="shared" si="3"/>
        <v>1-12</v>
      </c>
      <c r="L9" s="16" t="str">
        <f t="shared" si="4"/>
        <v>1-12</v>
      </c>
      <c r="M9" s="16" t="str">
        <f t="shared" si="5"/>
        <v>1-12</v>
      </c>
      <c r="N9" s="16" t="str">
        <f t="shared" si="6"/>
        <v>0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37</v>
      </c>
      <c r="B10" s="10" t="s">
        <v>38</v>
      </c>
      <c r="C10" s="11" t="s">
        <v>39</v>
      </c>
      <c r="D10" s="12" t="s">
        <v>36</v>
      </c>
      <c r="E10" s="18" t="str">
        <f t="array" ref="E10">INDEX(Turmas!C2:C106,MATCH(D10,Turmas!A2:A106,0))</f>
        <v>Noite</v>
      </c>
      <c r="F10" s="14">
        <v>0.0</v>
      </c>
      <c r="G10" s="15">
        <v>3.0</v>
      </c>
      <c r="H10" s="15">
        <v>0.0</v>
      </c>
      <c r="I10" s="16" t="str">
        <f t="shared" si="1"/>
        <v>1-12</v>
      </c>
      <c r="J10" s="16" t="str">
        <f t="shared" si="2"/>
        <v>1-12</v>
      </c>
      <c r="K10" s="16" t="str">
        <f t="shared" si="3"/>
        <v>1-12</v>
      </c>
      <c r="L10" s="16" t="str">
        <f t="shared" si="4"/>
        <v>1-12</v>
      </c>
      <c r="M10" s="16" t="str">
        <f t="shared" si="5"/>
        <v>1-12</v>
      </c>
      <c r="N10" s="16" t="str">
        <f t="shared" si="6"/>
        <v>0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40</v>
      </c>
      <c r="B11" s="10" t="s">
        <v>41</v>
      </c>
      <c r="C11" s="11" t="s">
        <v>39</v>
      </c>
      <c r="D11" s="12" t="s">
        <v>36</v>
      </c>
      <c r="E11" s="13" t="str">
        <f t="array" ref="E11">INDEX(Turmas!C2:C106,MATCH(D11,Turmas!A2:A106,0))</f>
        <v>Noite</v>
      </c>
      <c r="F11" s="14">
        <v>0.0</v>
      </c>
      <c r="G11" s="15">
        <v>4.0</v>
      </c>
      <c r="H11" s="15">
        <v>0.0</v>
      </c>
      <c r="I11" s="16" t="str">
        <f t="shared" si="1"/>
        <v>1-12</v>
      </c>
      <c r="J11" s="16" t="str">
        <f t="shared" si="2"/>
        <v>1-12</v>
      </c>
      <c r="K11" s="16" t="str">
        <f t="shared" si="3"/>
        <v>1-12</v>
      </c>
      <c r="L11" s="16" t="str">
        <f t="shared" si="4"/>
        <v>1-12</v>
      </c>
      <c r="M11" s="16" t="str">
        <f t="shared" si="5"/>
        <v>1-12</v>
      </c>
      <c r="N11" s="16" t="str">
        <f t="shared" si="6"/>
        <v>0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42</v>
      </c>
      <c r="B12" s="10" t="s">
        <v>43</v>
      </c>
      <c r="C12" s="11" t="s">
        <v>44</v>
      </c>
      <c r="D12" s="12" t="s">
        <v>36</v>
      </c>
      <c r="E12" s="13" t="str">
        <f t="array" ref="E12">INDEX(Turmas!C2:C106,MATCH(D12,Turmas!A2:A106,0))</f>
        <v>Noite</v>
      </c>
      <c r="F12" s="14">
        <v>0.0</v>
      </c>
      <c r="G12" s="15">
        <v>3.0</v>
      </c>
      <c r="H12" s="15">
        <v>0.0</v>
      </c>
      <c r="I12" s="16" t="str">
        <f t="shared" si="1"/>
        <v>1-12</v>
      </c>
      <c r="J12" s="16" t="str">
        <f t="shared" si="2"/>
        <v>1-12</v>
      </c>
      <c r="K12" s="16" t="str">
        <f t="shared" si="3"/>
        <v>1-12</v>
      </c>
      <c r="L12" s="16" t="str">
        <f t="shared" si="4"/>
        <v>1-12</v>
      </c>
      <c r="M12" s="16" t="str">
        <f t="shared" si="5"/>
        <v>1-12</v>
      </c>
      <c r="N12" s="16" t="str">
        <f t="shared" si="6"/>
        <v>0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45</v>
      </c>
      <c r="B13" s="10" t="s">
        <v>46</v>
      </c>
      <c r="C13" s="11" t="s">
        <v>47</v>
      </c>
      <c r="D13" s="12" t="s">
        <v>36</v>
      </c>
      <c r="E13" s="13" t="str">
        <f t="array" ref="E13">INDEX(Turmas!C2:C106,MATCH(D13,Turmas!A2:A106,0))</f>
        <v>Noite</v>
      </c>
      <c r="F13" s="14">
        <v>0.0</v>
      </c>
      <c r="G13" s="15">
        <v>3.0</v>
      </c>
      <c r="H13" s="15">
        <v>0.0</v>
      </c>
      <c r="I13" s="16" t="str">
        <f t="shared" si="1"/>
        <v>1-12</v>
      </c>
      <c r="J13" s="16" t="str">
        <f t="shared" si="2"/>
        <v>1-12</v>
      </c>
      <c r="K13" s="16" t="str">
        <f t="shared" si="3"/>
        <v>1-12</v>
      </c>
      <c r="L13" s="16" t="str">
        <f t="shared" si="4"/>
        <v>1-12</v>
      </c>
      <c r="M13" s="16" t="str">
        <f t="shared" si="5"/>
        <v>1-12</v>
      </c>
      <c r="N13" s="16" t="str">
        <f t="shared" si="6"/>
        <v>0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48</v>
      </c>
      <c r="B14" s="10" t="s">
        <v>49</v>
      </c>
      <c r="C14" s="11" t="s">
        <v>50</v>
      </c>
      <c r="D14" s="12" t="s">
        <v>51</v>
      </c>
      <c r="E14" s="13" t="str">
        <f t="array" ref="E14">INDEX(Turmas!C2:C106,MATCH(D14,Turmas!A2:A106,0))</f>
        <v>Noite</v>
      </c>
      <c r="F14" s="14">
        <v>0.0</v>
      </c>
      <c r="G14" s="15">
        <v>4.0</v>
      </c>
      <c r="H14" s="15">
        <v>0.0</v>
      </c>
      <c r="I14" s="16" t="str">
        <f t="shared" si="1"/>
        <v>1-12</v>
      </c>
      <c r="J14" s="16" t="str">
        <f t="shared" si="2"/>
        <v>1-12</v>
      </c>
      <c r="K14" s="16" t="str">
        <f t="shared" si="3"/>
        <v>1-12</v>
      </c>
      <c r="L14" s="16" t="str">
        <f t="shared" si="4"/>
        <v>1-12</v>
      </c>
      <c r="M14" s="16" t="str">
        <f t="shared" si="5"/>
        <v>1-12</v>
      </c>
      <c r="N14" s="16" t="str">
        <f t="shared" si="6"/>
        <v>0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52</v>
      </c>
      <c r="B15" s="10" t="s">
        <v>53</v>
      </c>
      <c r="C15" s="11" t="s">
        <v>54</v>
      </c>
      <c r="D15" s="12" t="s">
        <v>51</v>
      </c>
      <c r="E15" s="13" t="str">
        <f t="array" ref="E15">INDEX(Turmas!C2:C106,MATCH(D15,Turmas!A2:A106,0))</f>
        <v>Noite</v>
      </c>
      <c r="F15" s="14">
        <v>0.0</v>
      </c>
      <c r="G15" s="15">
        <v>4.0</v>
      </c>
      <c r="H15" s="15">
        <v>0.0</v>
      </c>
      <c r="I15" s="16" t="str">
        <f t="shared" si="1"/>
        <v>1-12</v>
      </c>
      <c r="J15" s="16" t="str">
        <f t="shared" si="2"/>
        <v>1-12</v>
      </c>
      <c r="K15" s="16" t="str">
        <f t="shared" si="3"/>
        <v>1-12</v>
      </c>
      <c r="L15" s="16" t="str">
        <f t="shared" si="4"/>
        <v>1-12</v>
      </c>
      <c r="M15" s="16" t="str">
        <f t="shared" si="5"/>
        <v>1-12</v>
      </c>
      <c r="N15" s="16" t="str">
        <f t="shared" si="6"/>
        <v>0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55</v>
      </c>
      <c r="B16" s="10" t="s">
        <v>56</v>
      </c>
      <c r="C16" s="11" t="s">
        <v>57</v>
      </c>
      <c r="D16" s="12" t="s">
        <v>51</v>
      </c>
      <c r="E16" s="13" t="str">
        <f t="array" ref="E16">INDEX(Turmas!C2:C106,MATCH(D16,Turmas!A2:A106,0))</f>
        <v>Noite</v>
      </c>
      <c r="F16" s="14">
        <v>0.0</v>
      </c>
      <c r="G16" s="15">
        <v>4.0</v>
      </c>
      <c r="H16" s="15">
        <v>0.0</v>
      </c>
      <c r="I16" s="16" t="str">
        <f t="shared" si="1"/>
        <v>1-12</v>
      </c>
      <c r="J16" s="16" t="str">
        <f t="shared" si="2"/>
        <v>1-12</v>
      </c>
      <c r="K16" s="16" t="str">
        <f t="shared" si="3"/>
        <v>1-12</v>
      </c>
      <c r="L16" s="16" t="str">
        <f t="shared" si="4"/>
        <v>1-12</v>
      </c>
      <c r="M16" s="16" t="str">
        <f t="shared" si="5"/>
        <v>1-12</v>
      </c>
      <c r="N16" s="16" t="str">
        <f t="shared" si="6"/>
        <v>0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58</v>
      </c>
      <c r="B17" s="10" t="s">
        <v>32</v>
      </c>
      <c r="C17" s="11" t="s">
        <v>59</v>
      </c>
      <c r="D17" s="12" t="s">
        <v>51</v>
      </c>
      <c r="E17" s="13" t="str">
        <f t="array" ref="E17">INDEX(Turmas!C2:C106,MATCH(D17,Turmas!A2:A106,0))</f>
        <v>Noite</v>
      </c>
      <c r="F17" s="14">
        <v>0.0</v>
      </c>
      <c r="G17" s="15">
        <v>4.0</v>
      </c>
      <c r="H17" s="15">
        <v>0.0</v>
      </c>
      <c r="I17" s="16" t="str">
        <f t="shared" si="1"/>
        <v>1-12</v>
      </c>
      <c r="J17" s="16" t="str">
        <f t="shared" si="2"/>
        <v>1-12</v>
      </c>
      <c r="K17" s="16" t="str">
        <f t="shared" si="3"/>
        <v>1-12</v>
      </c>
      <c r="L17" s="16" t="str">
        <f t="shared" si="4"/>
        <v>1-12</v>
      </c>
      <c r="M17" s="16" t="str">
        <f t="shared" si="5"/>
        <v>1-12</v>
      </c>
      <c r="N17" s="16" t="str">
        <f t="shared" si="6"/>
        <v>0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60</v>
      </c>
      <c r="B18" s="10" t="s">
        <v>61</v>
      </c>
      <c r="C18" s="11" t="s">
        <v>62</v>
      </c>
      <c r="D18" s="12" t="s">
        <v>51</v>
      </c>
      <c r="E18" s="13" t="str">
        <f t="array" ref="E18">INDEX(Turmas!C2:C106,MATCH(D18,Turmas!A2:A106,0))</f>
        <v>Noite</v>
      </c>
      <c r="F18" s="14">
        <v>0.0</v>
      </c>
      <c r="G18" s="15">
        <v>4.0</v>
      </c>
      <c r="H18" s="15">
        <v>0.0</v>
      </c>
      <c r="I18" s="16" t="str">
        <f t="shared" si="1"/>
        <v>1-12</v>
      </c>
      <c r="J18" s="16" t="str">
        <f t="shared" si="2"/>
        <v>1-12</v>
      </c>
      <c r="K18" s="16" t="str">
        <f t="shared" si="3"/>
        <v>1-12</v>
      </c>
      <c r="L18" s="16" t="str">
        <f t="shared" si="4"/>
        <v>1-12</v>
      </c>
      <c r="M18" s="16" t="str">
        <f t="shared" si="5"/>
        <v>1-12</v>
      </c>
      <c r="N18" s="16" t="str">
        <f t="shared" si="6"/>
        <v>0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63</v>
      </c>
      <c r="B19" s="10" t="s">
        <v>64</v>
      </c>
      <c r="C19" s="11" t="s">
        <v>50</v>
      </c>
      <c r="D19" s="12" t="s">
        <v>65</v>
      </c>
      <c r="E19" s="13" t="str">
        <f t="array" ref="E19">INDEX(Turmas!C2:C106,MATCH(D19,Turmas!A2:A106,0))</f>
        <v>Noite</v>
      </c>
      <c r="F19" s="14">
        <v>0.0</v>
      </c>
      <c r="G19" s="15">
        <v>4.0</v>
      </c>
      <c r="H19" s="15">
        <v>0.0</v>
      </c>
      <c r="I19" s="16" t="str">
        <f t="shared" si="1"/>
        <v>1-12</v>
      </c>
      <c r="J19" s="16" t="str">
        <f t="shared" si="2"/>
        <v>1-12</v>
      </c>
      <c r="K19" s="16" t="str">
        <f t="shared" si="3"/>
        <v>1-12</v>
      </c>
      <c r="L19" s="16" t="str">
        <f t="shared" si="4"/>
        <v>1-12</v>
      </c>
      <c r="M19" s="16" t="str">
        <f t="shared" si="5"/>
        <v>1-12</v>
      </c>
      <c r="N19" s="16" t="str">
        <f t="shared" si="6"/>
        <v>0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66</v>
      </c>
      <c r="B20" s="10" t="s">
        <v>67</v>
      </c>
      <c r="C20" s="11" t="s">
        <v>68</v>
      </c>
      <c r="D20" s="12" t="s">
        <v>65</v>
      </c>
      <c r="E20" s="13" t="str">
        <f t="array" ref="E20">INDEX(Turmas!C2:C106,MATCH(D20,Turmas!A2:A106,0))</f>
        <v>Noite</v>
      </c>
      <c r="F20" s="14">
        <v>0.0</v>
      </c>
      <c r="G20" s="15">
        <v>4.0</v>
      </c>
      <c r="H20" s="15">
        <v>0.0</v>
      </c>
      <c r="I20" s="16" t="str">
        <f t="shared" si="1"/>
        <v>1-12</v>
      </c>
      <c r="J20" s="16" t="str">
        <f t="shared" si="2"/>
        <v>1-12</v>
      </c>
      <c r="K20" s="16" t="str">
        <f t="shared" si="3"/>
        <v>1-12</v>
      </c>
      <c r="L20" s="16" t="str">
        <f t="shared" si="4"/>
        <v>1-12</v>
      </c>
      <c r="M20" s="16" t="str">
        <f t="shared" si="5"/>
        <v>1-12</v>
      </c>
      <c r="N20" s="16" t="str">
        <f t="shared" si="6"/>
        <v>0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69</v>
      </c>
      <c r="B21" s="10" t="s">
        <v>70</v>
      </c>
      <c r="C21" s="11" t="s">
        <v>57</v>
      </c>
      <c r="D21" s="12" t="s">
        <v>65</v>
      </c>
      <c r="E21" s="13" t="str">
        <f t="array" ref="E21">INDEX(Turmas!C2:C106,MATCH(D21,Turmas!A2:A106,0))</f>
        <v>Noite</v>
      </c>
      <c r="F21" s="14">
        <v>0.0</v>
      </c>
      <c r="G21" s="15">
        <v>4.0</v>
      </c>
      <c r="H21" s="15">
        <v>0.0</v>
      </c>
      <c r="I21" s="16" t="str">
        <f t="shared" si="1"/>
        <v>1-12</v>
      </c>
      <c r="J21" s="16" t="str">
        <f t="shared" si="2"/>
        <v>1-12</v>
      </c>
      <c r="K21" s="16" t="str">
        <f t="shared" si="3"/>
        <v>1-12</v>
      </c>
      <c r="L21" s="16" t="str">
        <f t="shared" si="4"/>
        <v>1-12</v>
      </c>
      <c r="M21" s="16" t="str">
        <f t="shared" si="5"/>
        <v>1-12</v>
      </c>
      <c r="N21" s="16" t="str">
        <f t="shared" si="6"/>
        <v>0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71</v>
      </c>
      <c r="B22" s="10" t="s">
        <v>72</v>
      </c>
      <c r="C22" s="11" t="s">
        <v>73</v>
      </c>
      <c r="D22" s="12" t="s">
        <v>65</v>
      </c>
      <c r="E22" s="13" t="str">
        <f t="array" ref="E22">INDEX(Turmas!C2:C106,MATCH(D22,Turmas!A2:A106,0))</f>
        <v>Noite</v>
      </c>
      <c r="F22" s="14">
        <v>0.0</v>
      </c>
      <c r="G22" s="15">
        <v>4.0</v>
      </c>
      <c r="H22" s="15">
        <v>0.0</v>
      </c>
      <c r="I22" s="16" t="str">
        <f t="shared" si="1"/>
        <v>1-12</v>
      </c>
      <c r="J22" s="16" t="str">
        <f t="shared" si="2"/>
        <v>1-12</v>
      </c>
      <c r="K22" s="16" t="str">
        <f t="shared" si="3"/>
        <v>1-12</v>
      </c>
      <c r="L22" s="16" t="str">
        <f t="shared" si="4"/>
        <v>1-12</v>
      </c>
      <c r="M22" s="16" t="str">
        <f t="shared" si="5"/>
        <v>1-12</v>
      </c>
      <c r="N22" s="16" t="str">
        <f t="shared" si="6"/>
        <v>0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74</v>
      </c>
      <c r="B23" s="10" t="s">
        <v>75</v>
      </c>
      <c r="C23" s="11" t="s">
        <v>76</v>
      </c>
      <c r="D23" s="12" t="s">
        <v>65</v>
      </c>
      <c r="E23" s="13" t="str">
        <f t="array" ref="E23">INDEX(Turmas!C2:C106,MATCH(D23,Turmas!A2:A106,0))</f>
        <v>Noite</v>
      </c>
      <c r="F23" s="14">
        <v>0.0</v>
      </c>
      <c r="G23" s="15">
        <v>4.0</v>
      </c>
      <c r="H23" s="15">
        <v>0.0</v>
      </c>
      <c r="I23" s="16" t="str">
        <f t="shared" si="1"/>
        <v>1-12</v>
      </c>
      <c r="J23" s="16" t="str">
        <f t="shared" si="2"/>
        <v>1-12</v>
      </c>
      <c r="K23" s="16" t="str">
        <f t="shared" si="3"/>
        <v>1-12</v>
      </c>
      <c r="L23" s="16" t="str">
        <f t="shared" si="4"/>
        <v>1-12</v>
      </c>
      <c r="M23" s="16" t="str">
        <f t="shared" si="5"/>
        <v>1-12</v>
      </c>
      <c r="N23" s="16" t="str">
        <f t="shared" si="6"/>
        <v>0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77</v>
      </c>
      <c r="B24" s="10" t="s">
        <v>78</v>
      </c>
      <c r="C24" s="11" t="s">
        <v>79</v>
      </c>
      <c r="D24" s="12" t="s">
        <v>80</v>
      </c>
      <c r="E24" s="13" t="str">
        <f t="array" ref="E24">INDEX(Turmas!C2:C106,MATCH(D24,Turmas!A2:A106,0))</f>
        <v>Noite</v>
      </c>
      <c r="F24" s="14">
        <v>0.0</v>
      </c>
      <c r="G24" s="15">
        <v>4.0</v>
      </c>
      <c r="H24" s="15">
        <v>0.0</v>
      </c>
      <c r="I24" s="16" t="str">
        <f t="shared" si="1"/>
        <v>1-12</v>
      </c>
      <c r="J24" s="16" t="str">
        <f t="shared" si="2"/>
        <v>1-12</v>
      </c>
      <c r="K24" s="16" t="str">
        <f t="shared" si="3"/>
        <v>1-12</v>
      </c>
      <c r="L24" s="16" t="str">
        <f t="shared" si="4"/>
        <v>1-12</v>
      </c>
      <c r="M24" s="16" t="str">
        <f t="shared" si="5"/>
        <v>1-12</v>
      </c>
      <c r="N24" s="16" t="str">
        <f t="shared" si="6"/>
        <v>0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81</v>
      </c>
      <c r="B25" s="10" t="s">
        <v>15</v>
      </c>
      <c r="C25" s="11" t="s">
        <v>82</v>
      </c>
      <c r="D25" s="12" t="s">
        <v>80</v>
      </c>
      <c r="E25" s="13" t="str">
        <f t="array" ref="E25">INDEX(Turmas!C2:C106,MATCH(D25,Turmas!A2:A106,0))</f>
        <v>Noite</v>
      </c>
      <c r="F25" s="14">
        <v>0.0</v>
      </c>
      <c r="G25" s="15">
        <v>4.0</v>
      </c>
      <c r="H25" s="15">
        <v>0.0</v>
      </c>
      <c r="I25" s="16" t="str">
        <f t="shared" si="1"/>
        <v>1-12</v>
      </c>
      <c r="J25" s="16" t="str">
        <f t="shared" si="2"/>
        <v>1-12</v>
      </c>
      <c r="K25" s="16" t="str">
        <f t="shared" si="3"/>
        <v>1-12</v>
      </c>
      <c r="L25" s="16" t="str">
        <f t="shared" si="4"/>
        <v>1-12</v>
      </c>
      <c r="M25" s="16" t="str">
        <f t="shared" si="5"/>
        <v>1-12</v>
      </c>
      <c r="N25" s="16" t="str">
        <f t="shared" si="6"/>
        <v>0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83</v>
      </c>
      <c r="B26" s="10" t="s">
        <v>84</v>
      </c>
      <c r="C26" s="11" t="s">
        <v>76</v>
      </c>
      <c r="D26" s="12" t="s">
        <v>80</v>
      </c>
      <c r="E26" s="13" t="str">
        <f t="array" ref="E26">INDEX(Turmas!C2:C106,MATCH(D26,Turmas!A2:A106,0))</f>
        <v>Noite</v>
      </c>
      <c r="F26" s="14">
        <v>0.0</v>
      </c>
      <c r="G26" s="15">
        <v>4.0</v>
      </c>
      <c r="H26" s="15">
        <v>0.0</v>
      </c>
      <c r="I26" s="16" t="str">
        <f t="shared" si="1"/>
        <v>1-12</v>
      </c>
      <c r="J26" s="16" t="str">
        <f t="shared" si="2"/>
        <v>1-12</v>
      </c>
      <c r="K26" s="16" t="str">
        <f t="shared" si="3"/>
        <v>1-12</v>
      </c>
      <c r="L26" s="16" t="str">
        <f t="shared" si="4"/>
        <v>1-12</v>
      </c>
      <c r="M26" s="16" t="str">
        <f t="shared" si="5"/>
        <v>1-12</v>
      </c>
      <c r="N26" s="16" t="str">
        <f t="shared" si="6"/>
        <v>0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85</v>
      </c>
      <c r="B27" s="10" t="s">
        <v>86</v>
      </c>
      <c r="C27" s="11" t="s">
        <v>30</v>
      </c>
      <c r="D27" s="12" t="s">
        <v>80</v>
      </c>
      <c r="E27" s="13" t="str">
        <f t="array" ref="E27">INDEX(Turmas!C2:C106,MATCH(D27,Turmas!A2:A106,0))</f>
        <v>Noite</v>
      </c>
      <c r="F27" s="14">
        <v>0.0</v>
      </c>
      <c r="G27" s="15">
        <v>4.0</v>
      </c>
      <c r="H27" s="15">
        <v>0.0</v>
      </c>
      <c r="I27" s="16" t="str">
        <f t="shared" si="1"/>
        <v>1-12</v>
      </c>
      <c r="J27" s="16" t="str">
        <f t="shared" si="2"/>
        <v>1-12</v>
      </c>
      <c r="K27" s="16" t="str">
        <f t="shared" si="3"/>
        <v>1-12</v>
      </c>
      <c r="L27" s="16" t="str">
        <f t="shared" si="4"/>
        <v>1-12</v>
      </c>
      <c r="M27" s="16" t="str">
        <f t="shared" si="5"/>
        <v>1-12</v>
      </c>
      <c r="N27" s="16" t="str">
        <f t="shared" si="6"/>
        <v>0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87</v>
      </c>
      <c r="B28" s="10" t="s">
        <v>88</v>
      </c>
      <c r="C28" s="11" t="s">
        <v>89</v>
      </c>
      <c r="D28" s="12" t="s">
        <v>80</v>
      </c>
      <c r="E28" s="13" t="str">
        <f t="array" ref="E28">INDEX(Turmas!C2:C106,MATCH(D28,Turmas!A2:A106,0))</f>
        <v>Noite</v>
      </c>
      <c r="F28" s="14">
        <v>0.0</v>
      </c>
      <c r="G28" s="15">
        <v>4.0</v>
      </c>
      <c r="H28" s="15">
        <v>0.0</v>
      </c>
      <c r="I28" s="16" t="str">
        <f t="shared" si="1"/>
        <v>1-12</v>
      </c>
      <c r="J28" s="16" t="str">
        <f t="shared" si="2"/>
        <v>1-12</v>
      </c>
      <c r="K28" s="16" t="str">
        <f t="shared" si="3"/>
        <v>1-12</v>
      </c>
      <c r="L28" s="16" t="str">
        <f t="shared" si="4"/>
        <v>1-12</v>
      </c>
      <c r="M28" s="16" t="str">
        <f t="shared" si="5"/>
        <v>1-12</v>
      </c>
      <c r="N28" s="16" t="str">
        <f t="shared" si="6"/>
        <v>0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90</v>
      </c>
      <c r="B29" s="10" t="s">
        <v>91</v>
      </c>
      <c r="C29" s="11" t="s">
        <v>82</v>
      </c>
      <c r="D29" s="12" t="s">
        <v>92</v>
      </c>
      <c r="E29" s="13" t="str">
        <f t="array" ref="E29">INDEX(Turmas!C2:C106,MATCH(D29,Turmas!A2:A106,0))</f>
        <v>Noite</v>
      </c>
      <c r="F29" s="14">
        <v>0.0</v>
      </c>
      <c r="G29" s="15">
        <v>4.0</v>
      </c>
      <c r="H29" s="15">
        <v>0.0</v>
      </c>
      <c r="I29" s="16" t="str">
        <f t="shared" si="1"/>
        <v>1-12</v>
      </c>
      <c r="J29" s="16" t="str">
        <f t="shared" si="2"/>
        <v>1-12</v>
      </c>
      <c r="K29" s="16" t="str">
        <f t="shared" si="3"/>
        <v>1-12</v>
      </c>
      <c r="L29" s="16" t="str">
        <f t="shared" si="4"/>
        <v>1-12</v>
      </c>
      <c r="M29" s="16" t="str">
        <f t="shared" si="5"/>
        <v>1-12</v>
      </c>
      <c r="N29" s="16" t="str">
        <f t="shared" si="6"/>
        <v>0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93</v>
      </c>
      <c r="B30" s="10" t="s">
        <v>94</v>
      </c>
      <c r="C30" s="11" t="s">
        <v>95</v>
      </c>
      <c r="D30" s="12" t="s">
        <v>96</v>
      </c>
      <c r="E30" s="13" t="str">
        <f t="array" ref="E30">INDEX(Turmas!C2:C106,MATCH(D30,Turmas!A2:A106,0))</f>
        <v>Manhã</v>
      </c>
      <c r="F30" s="14">
        <v>0.0</v>
      </c>
      <c r="G30" s="15">
        <v>4.0</v>
      </c>
      <c r="H30" s="15">
        <v>0.0</v>
      </c>
      <c r="I30" s="16" t="str">
        <f t="shared" si="1"/>
        <v>7-16</v>
      </c>
      <c r="J30" s="16" t="str">
        <f t="shared" si="2"/>
        <v>7-16</v>
      </c>
      <c r="K30" s="16" t="str">
        <f t="shared" si="3"/>
        <v>7-16</v>
      </c>
      <c r="L30" s="16" t="str">
        <f t="shared" si="4"/>
        <v>7-16</v>
      </c>
      <c r="M30" s="16" t="str">
        <f t="shared" si="5"/>
        <v>7-16</v>
      </c>
      <c r="N30" s="16" t="str">
        <f t="shared" si="6"/>
        <v>1-16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97</v>
      </c>
      <c r="B31" s="10" t="s">
        <v>98</v>
      </c>
      <c r="C31" s="11" t="s">
        <v>99</v>
      </c>
      <c r="D31" s="12" t="s">
        <v>96</v>
      </c>
      <c r="E31" s="13" t="str">
        <f t="array" ref="E31">INDEX(Turmas!C2:C106,MATCH(D31,Turmas!A2:A106,0))</f>
        <v>Manhã</v>
      </c>
      <c r="F31" s="14">
        <v>0.0</v>
      </c>
      <c r="G31" s="15">
        <v>4.0</v>
      </c>
      <c r="H31" s="15">
        <v>0.0</v>
      </c>
      <c r="I31" s="16" t="str">
        <f t="shared" si="1"/>
        <v>7-16</v>
      </c>
      <c r="J31" s="16" t="str">
        <f t="shared" si="2"/>
        <v>7-16</v>
      </c>
      <c r="K31" s="16" t="str">
        <f t="shared" si="3"/>
        <v>7-16</v>
      </c>
      <c r="L31" s="16" t="str">
        <f t="shared" si="4"/>
        <v>7-16</v>
      </c>
      <c r="M31" s="16" t="str">
        <f t="shared" si="5"/>
        <v>7-16</v>
      </c>
      <c r="N31" s="16" t="str">
        <f t="shared" si="6"/>
        <v>1-16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100</v>
      </c>
      <c r="B32" s="10" t="s">
        <v>101</v>
      </c>
      <c r="C32" s="11" t="s">
        <v>102</v>
      </c>
      <c r="D32" s="12" t="s">
        <v>96</v>
      </c>
      <c r="E32" s="13" t="str">
        <f t="array" ref="E32">INDEX(Turmas!C2:C106,MATCH(D32,Turmas!A2:A106,0))</f>
        <v>Manhã</v>
      </c>
      <c r="F32" s="14">
        <v>0.0</v>
      </c>
      <c r="G32" s="15">
        <v>4.0</v>
      </c>
      <c r="H32" s="15">
        <v>0.0</v>
      </c>
      <c r="I32" s="16" t="str">
        <f t="shared" si="1"/>
        <v>7-16</v>
      </c>
      <c r="J32" s="16" t="str">
        <f t="shared" si="2"/>
        <v>7-16</v>
      </c>
      <c r="K32" s="16" t="str">
        <f t="shared" si="3"/>
        <v>7-16</v>
      </c>
      <c r="L32" s="16" t="str">
        <f t="shared" si="4"/>
        <v>7-16</v>
      </c>
      <c r="M32" s="16" t="str">
        <f t="shared" si="5"/>
        <v>7-16</v>
      </c>
      <c r="N32" s="16" t="str">
        <f t="shared" si="6"/>
        <v>1-16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103</v>
      </c>
      <c r="B33" s="19" t="s">
        <v>104</v>
      </c>
      <c r="C33" s="11" t="s">
        <v>105</v>
      </c>
      <c r="D33" s="12" t="s">
        <v>96</v>
      </c>
      <c r="E33" s="13" t="str">
        <f t="array" ref="E33">INDEX(Turmas!C2:C106,MATCH(D33,Turmas!A2:A106,0))</f>
        <v>Manhã</v>
      </c>
      <c r="F33" s="20">
        <v>0.0</v>
      </c>
      <c r="G33" s="15">
        <v>4.0</v>
      </c>
      <c r="H33" s="15">
        <v>0.0</v>
      </c>
      <c r="I33" s="16" t="str">
        <f t="shared" si="1"/>
        <v>7-16</v>
      </c>
      <c r="J33" s="16" t="str">
        <f t="shared" si="2"/>
        <v>7-16</v>
      </c>
      <c r="K33" s="16" t="str">
        <f t="shared" si="3"/>
        <v>7-16</v>
      </c>
      <c r="L33" s="16" t="str">
        <f t="shared" si="4"/>
        <v>7-16</v>
      </c>
      <c r="M33" s="16" t="str">
        <f t="shared" si="5"/>
        <v>7-16</v>
      </c>
      <c r="N33" s="16" t="str">
        <f t="shared" si="6"/>
        <v>1-16</v>
      </c>
      <c r="O33" s="21"/>
      <c r="P33" s="21"/>
      <c r="Q33" s="21"/>
      <c r="R33" s="21"/>
      <c r="S33" s="21"/>
      <c r="T33" s="21"/>
      <c r="U33" s="21"/>
      <c r="V33" s="21"/>
      <c r="W33" s="21"/>
    </row>
    <row r="34" ht="14.25" customHeight="1">
      <c r="A34" s="9" t="s">
        <v>106</v>
      </c>
      <c r="B34" s="10" t="s">
        <v>107</v>
      </c>
      <c r="C34" s="11" t="s">
        <v>108</v>
      </c>
      <c r="D34" s="12" t="s">
        <v>96</v>
      </c>
      <c r="E34" s="13" t="str">
        <f t="array" ref="E34">INDEX(Turmas!C2:C106,MATCH(D34,Turmas!A2:A106,0))</f>
        <v>Manhã</v>
      </c>
      <c r="F34" s="14">
        <v>0.0</v>
      </c>
      <c r="G34" s="15">
        <v>3.0</v>
      </c>
      <c r="H34" s="15">
        <v>0.0</v>
      </c>
      <c r="I34" s="16" t="str">
        <f t="shared" si="1"/>
        <v>7-16</v>
      </c>
      <c r="J34" s="16" t="str">
        <f t="shared" si="2"/>
        <v>7-16</v>
      </c>
      <c r="K34" s="16" t="str">
        <f t="shared" si="3"/>
        <v>7-16</v>
      </c>
      <c r="L34" s="16" t="str">
        <f t="shared" si="4"/>
        <v>7-16</v>
      </c>
      <c r="M34" s="16" t="str">
        <f t="shared" si="5"/>
        <v>7-16</v>
      </c>
      <c r="N34" s="16" t="str">
        <f t="shared" si="6"/>
        <v>1-16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109</v>
      </c>
      <c r="B35" s="10" t="s">
        <v>110</v>
      </c>
      <c r="C35" s="11" t="s">
        <v>111</v>
      </c>
      <c r="D35" s="12" t="s">
        <v>112</v>
      </c>
      <c r="E35" s="13" t="str">
        <f t="array" ref="E35">INDEX(Turmas!C2:C106,MATCH(D35,Turmas!A2:A106,0))</f>
        <v>Manhã</v>
      </c>
      <c r="F35" s="14">
        <v>0.0</v>
      </c>
      <c r="G35" s="15">
        <v>4.0</v>
      </c>
      <c r="H35" s="15">
        <v>0.0</v>
      </c>
      <c r="I35" s="16" t="str">
        <f t="shared" si="1"/>
        <v>7-16</v>
      </c>
      <c r="J35" s="16" t="str">
        <f t="shared" si="2"/>
        <v>7-16</v>
      </c>
      <c r="K35" s="16" t="str">
        <f t="shared" si="3"/>
        <v>7-16</v>
      </c>
      <c r="L35" s="16" t="str">
        <f t="shared" si="4"/>
        <v>7-16</v>
      </c>
      <c r="M35" s="16" t="str">
        <f t="shared" si="5"/>
        <v>7-16</v>
      </c>
      <c r="N35" s="16" t="str">
        <f t="shared" si="6"/>
        <v>1-16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113</v>
      </c>
      <c r="B36" s="10" t="s">
        <v>114</v>
      </c>
      <c r="C36" s="11" t="s">
        <v>115</v>
      </c>
      <c r="D36" s="12" t="s">
        <v>112</v>
      </c>
      <c r="E36" s="13" t="str">
        <f t="array" ref="E36">INDEX(Turmas!C2:C106,MATCH(D36,Turmas!A2:A106,0))</f>
        <v>Manhã</v>
      </c>
      <c r="F36" s="14">
        <v>0.0</v>
      </c>
      <c r="G36" s="15">
        <v>4.0</v>
      </c>
      <c r="H36" s="15">
        <v>0.0</v>
      </c>
      <c r="I36" s="16" t="str">
        <f t="shared" si="1"/>
        <v>7-16</v>
      </c>
      <c r="J36" s="16" t="str">
        <f t="shared" si="2"/>
        <v>7-16</v>
      </c>
      <c r="K36" s="16" t="str">
        <f t="shared" si="3"/>
        <v>7-16</v>
      </c>
      <c r="L36" s="16" t="str">
        <f t="shared" si="4"/>
        <v>7-16</v>
      </c>
      <c r="M36" s="16" t="str">
        <f t="shared" si="5"/>
        <v>7-16</v>
      </c>
      <c r="N36" s="16" t="str">
        <f t="shared" si="6"/>
        <v>1-16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116</v>
      </c>
      <c r="B37" s="10" t="s">
        <v>117</v>
      </c>
      <c r="C37" s="11" t="s">
        <v>105</v>
      </c>
      <c r="D37" s="12" t="s">
        <v>112</v>
      </c>
      <c r="E37" s="13" t="str">
        <f t="array" ref="E37">INDEX(Turmas!C2:C106,MATCH(D37,Turmas!A2:A106,0))</f>
        <v>Manhã</v>
      </c>
      <c r="F37" s="14">
        <v>0.0</v>
      </c>
      <c r="G37" s="15">
        <v>4.0</v>
      </c>
      <c r="H37" s="15">
        <v>0.0</v>
      </c>
      <c r="I37" s="16" t="str">
        <f t="shared" si="1"/>
        <v>7-16</v>
      </c>
      <c r="J37" s="16" t="str">
        <f t="shared" si="2"/>
        <v>7-16</v>
      </c>
      <c r="K37" s="16" t="str">
        <f t="shared" si="3"/>
        <v>7-16</v>
      </c>
      <c r="L37" s="16" t="str">
        <f t="shared" si="4"/>
        <v>7-16</v>
      </c>
      <c r="M37" s="16" t="str">
        <f t="shared" si="5"/>
        <v>7-16</v>
      </c>
      <c r="N37" s="16" t="str">
        <f t="shared" si="6"/>
        <v>1-16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118</v>
      </c>
      <c r="B38" s="10" t="s">
        <v>119</v>
      </c>
      <c r="C38" s="11" t="s">
        <v>120</v>
      </c>
      <c r="D38" s="12" t="s">
        <v>112</v>
      </c>
      <c r="E38" s="13" t="str">
        <f t="array" ref="E38">INDEX(Turmas!C2:C106,MATCH(D38,Turmas!A2:A106,0))</f>
        <v>Manhã</v>
      </c>
      <c r="F38" s="14">
        <v>0.0</v>
      </c>
      <c r="G38" s="15">
        <v>4.0</v>
      </c>
      <c r="H38" s="15">
        <v>0.0</v>
      </c>
      <c r="I38" s="16" t="str">
        <f t="shared" si="1"/>
        <v>7-16</v>
      </c>
      <c r="J38" s="16" t="str">
        <f t="shared" si="2"/>
        <v>7-16</v>
      </c>
      <c r="K38" s="16" t="str">
        <f t="shared" si="3"/>
        <v>7-16</v>
      </c>
      <c r="L38" s="16" t="str">
        <f t="shared" si="4"/>
        <v>7-16</v>
      </c>
      <c r="M38" s="16" t="str">
        <f t="shared" si="5"/>
        <v>7-16</v>
      </c>
      <c r="N38" s="16" t="str">
        <f t="shared" si="6"/>
        <v>1-16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121</v>
      </c>
      <c r="B39" s="10" t="s">
        <v>122</v>
      </c>
      <c r="C39" s="11" t="s">
        <v>123</v>
      </c>
      <c r="D39" s="12" t="s">
        <v>112</v>
      </c>
      <c r="E39" s="13" t="str">
        <f t="array" ref="E39">INDEX(Turmas!C2:C106,MATCH(D39,Turmas!A2:A106,0))</f>
        <v>Manhã</v>
      </c>
      <c r="F39" s="14">
        <v>0.0</v>
      </c>
      <c r="G39" s="15">
        <v>4.0</v>
      </c>
      <c r="H39" s="15">
        <v>0.0</v>
      </c>
      <c r="I39" s="16" t="str">
        <f t="shared" si="1"/>
        <v>7-16</v>
      </c>
      <c r="J39" s="16" t="str">
        <f t="shared" si="2"/>
        <v>7-16</v>
      </c>
      <c r="K39" s="16" t="str">
        <f t="shared" si="3"/>
        <v>7-16</v>
      </c>
      <c r="L39" s="16" t="str">
        <f t="shared" si="4"/>
        <v>7-16</v>
      </c>
      <c r="M39" s="16" t="str">
        <f t="shared" si="5"/>
        <v>7-16</v>
      </c>
      <c r="N39" s="16" t="str">
        <f t="shared" si="6"/>
        <v>1-16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93</v>
      </c>
      <c r="B40" s="10" t="s">
        <v>94</v>
      </c>
      <c r="C40" s="11" t="s">
        <v>95</v>
      </c>
      <c r="D40" s="12" t="s">
        <v>124</v>
      </c>
      <c r="E40" s="13" t="str">
        <f t="array" ref="E40">INDEX(Turmas!C2:C106,MATCH(D40,Turmas!A2:A106,0))</f>
        <v>Tarde</v>
      </c>
      <c r="F40" s="14">
        <v>0.0</v>
      </c>
      <c r="G40" s="15">
        <v>4.0</v>
      </c>
      <c r="H40" s="15">
        <v>0.0</v>
      </c>
      <c r="I40" s="16" t="str">
        <f t="shared" si="1"/>
        <v>1-6,13-16</v>
      </c>
      <c r="J40" s="16" t="str">
        <f t="shared" si="2"/>
        <v>1-6,13-16</v>
      </c>
      <c r="K40" s="16" t="str">
        <f t="shared" si="3"/>
        <v>1-6,13-16</v>
      </c>
      <c r="L40" s="16" t="str">
        <f t="shared" si="4"/>
        <v>1-6,13-16</v>
      </c>
      <c r="M40" s="16" t="str">
        <f t="shared" si="5"/>
        <v>1-6,13-16</v>
      </c>
      <c r="N40" s="16" t="str">
        <f t="shared" si="6"/>
        <v>1-16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97</v>
      </c>
      <c r="B41" s="10" t="s">
        <v>98</v>
      </c>
      <c r="C41" s="11" t="s">
        <v>99</v>
      </c>
      <c r="D41" s="12" t="s">
        <v>124</v>
      </c>
      <c r="E41" s="13" t="str">
        <f t="array" ref="E41">INDEX(Turmas!C2:C106,MATCH(D41,Turmas!A2:A106,0))</f>
        <v>Tarde</v>
      </c>
      <c r="F41" s="14">
        <v>0.0</v>
      </c>
      <c r="G41" s="15">
        <v>4.0</v>
      </c>
      <c r="H41" s="15">
        <v>0.0</v>
      </c>
      <c r="I41" s="16" t="str">
        <f t="shared" si="1"/>
        <v>1-6,13-16</v>
      </c>
      <c r="J41" s="16" t="str">
        <f t="shared" si="2"/>
        <v>1-6,13-16</v>
      </c>
      <c r="K41" s="16" t="str">
        <f t="shared" si="3"/>
        <v>1-6,13-16</v>
      </c>
      <c r="L41" s="16" t="str">
        <f t="shared" si="4"/>
        <v>1-6,13-16</v>
      </c>
      <c r="M41" s="16" t="str">
        <f t="shared" si="5"/>
        <v>1-6,13-16</v>
      </c>
      <c r="N41" s="16" t="str">
        <f t="shared" si="6"/>
        <v>1-16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100</v>
      </c>
      <c r="B42" s="10" t="s">
        <v>101</v>
      </c>
      <c r="C42" s="11" t="s">
        <v>102</v>
      </c>
      <c r="D42" s="12" t="s">
        <v>124</v>
      </c>
      <c r="E42" s="13" t="str">
        <f t="array" ref="E42">INDEX(Turmas!C2:C106,MATCH(D42,Turmas!A2:A106,0))</f>
        <v>Tarde</v>
      </c>
      <c r="F42" s="14">
        <v>0.0</v>
      </c>
      <c r="G42" s="15">
        <v>4.0</v>
      </c>
      <c r="H42" s="15">
        <v>0.0</v>
      </c>
      <c r="I42" s="16" t="str">
        <f t="shared" si="1"/>
        <v>1-6,13-16</v>
      </c>
      <c r="J42" s="16" t="str">
        <f t="shared" si="2"/>
        <v>1-6,13-16</v>
      </c>
      <c r="K42" s="16" t="str">
        <f t="shared" si="3"/>
        <v>1-6,13-16</v>
      </c>
      <c r="L42" s="16" t="str">
        <f t="shared" si="4"/>
        <v>1-6,13-16</v>
      </c>
      <c r="M42" s="16" t="str">
        <f t="shared" si="5"/>
        <v>1-6,13-16</v>
      </c>
      <c r="N42" s="16" t="str">
        <f t="shared" si="6"/>
        <v>1-16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103</v>
      </c>
      <c r="B43" s="10" t="s">
        <v>104</v>
      </c>
      <c r="C43" s="11" t="s">
        <v>105</v>
      </c>
      <c r="D43" s="12" t="s">
        <v>124</v>
      </c>
      <c r="E43" s="13" t="str">
        <f t="array" ref="E43">INDEX(Turmas!C2:C106,MATCH(D43,Turmas!A2:A106,0))</f>
        <v>Tarde</v>
      </c>
      <c r="F43" s="14">
        <v>0.0</v>
      </c>
      <c r="G43" s="15">
        <v>4.0</v>
      </c>
      <c r="H43" s="15">
        <v>0.0</v>
      </c>
      <c r="I43" s="16" t="str">
        <f t="shared" si="1"/>
        <v>1-6,13-16</v>
      </c>
      <c r="J43" s="16" t="str">
        <f t="shared" si="2"/>
        <v>1-6,13-16</v>
      </c>
      <c r="K43" s="16" t="str">
        <f t="shared" si="3"/>
        <v>1-6,13-16</v>
      </c>
      <c r="L43" s="16" t="str">
        <f t="shared" si="4"/>
        <v>1-6,13-16</v>
      </c>
      <c r="M43" s="16" t="str">
        <f t="shared" si="5"/>
        <v>1-6,13-16</v>
      </c>
      <c r="N43" s="16" t="str">
        <f t="shared" si="6"/>
        <v>1-16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106</v>
      </c>
      <c r="B44" s="10" t="s">
        <v>107</v>
      </c>
      <c r="C44" s="11" t="s">
        <v>108</v>
      </c>
      <c r="D44" s="12" t="s">
        <v>124</v>
      </c>
      <c r="E44" s="13" t="str">
        <f t="array" ref="E44">INDEX(Turmas!C2:C106,MATCH(D44,Turmas!A2:A106,0))</f>
        <v>Tarde</v>
      </c>
      <c r="F44" s="14">
        <v>0.0</v>
      </c>
      <c r="G44" s="15">
        <v>3.0</v>
      </c>
      <c r="H44" s="15">
        <v>0.0</v>
      </c>
      <c r="I44" s="16" t="str">
        <f t="shared" si="1"/>
        <v>1-6,13-16</v>
      </c>
      <c r="J44" s="16" t="str">
        <f t="shared" si="2"/>
        <v>1-6,13-16</v>
      </c>
      <c r="K44" s="16" t="str">
        <f t="shared" si="3"/>
        <v>1-6,13-16</v>
      </c>
      <c r="L44" s="16" t="str">
        <f t="shared" si="4"/>
        <v>1-6,13-16</v>
      </c>
      <c r="M44" s="16" t="str">
        <f t="shared" si="5"/>
        <v>1-6,13-16</v>
      </c>
      <c r="N44" s="16" t="str">
        <f t="shared" si="6"/>
        <v>1-16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109</v>
      </c>
      <c r="B45" s="10" t="s">
        <v>110</v>
      </c>
      <c r="C45" s="11" t="s">
        <v>111</v>
      </c>
      <c r="D45" s="12" t="s">
        <v>125</v>
      </c>
      <c r="E45" s="13" t="str">
        <f t="array" ref="E45">INDEX(Turmas!C2:C106,MATCH(D45,Turmas!A2:A106,0))</f>
        <v>Tarde</v>
      </c>
      <c r="F45" s="14">
        <v>0.0</v>
      </c>
      <c r="G45" s="15">
        <v>4.0</v>
      </c>
      <c r="H45" s="15">
        <v>0.0</v>
      </c>
      <c r="I45" s="16" t="str">
        <f t="shared" si="1"/>
        <v>1-6,13-16</v>
      </c>
      <c r="J45" s="16" t="str">
        <f t="shared" si="2"/>
        <v>1-6,13-16</v>
      </c>
      <c r="K45" s="16" t="str">
        <f t="shared" si="3"/>
        <v>1-6,13-16</v>
      </c>
      <c r="L45" s="16" t="str">
        <f t="shared" si="4"/>
        <v>1-6,13-16</v>
      </c>
      <c r="M45" s="16" t="str">
        <f t="shared" si="5"/>
        <v>1-6,13-16</v>
      </c>
      <c r="N45" s="16" t="str">
        <f t="shared" si="6"/>
        <v>1-16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113</v>
      </c>
      <c r="B46" s="10" t="s">
        <v>114</v>
      </c>
      <c r="C46" s="11" t="s">
        <v>115</v>
      </c>
      <c r="D46" s="12" t="s">
        <v>125</v>
      </c>
      <c r="E46" s="13" t="str">
        <f t="array" ref="E46">INDEX(Turmas!C2:C106,MATCH(D46,Turmas!A2:A106,0))</f>
        <v>Tarde</v>
      </c>
      <c r="F46" s="14">
        <v>0.0</v>
      </c>
      <c r="G46" s="15">
        <v>4.0</v>
      </c>
      <c r="H46" s="15">
        <v>0.0</v>
      </c>
      <c r="I46" s="16" t="str">
        <f t="shared" si="1"/>
        <v>1-6,13-16</v>
      </c>
      <c r="J46" s="16" t="str">
        <f t="shared" si="2"/>
        <v>1-6,13-16</v>
      </c>
      <c r="K46" s="16" t="str">
        <f t="shared" si="3"/>
        <v>1-6,13-16</v>
      </c>
      <c r="L46" s="16" t="str">
        <f t="shared" si="4"/>
        <v>1-6,13-16</v>
      </c>
      <c r="M46" s="16" t="str">
        <f t="shared" si="5"/>
        <v>1-6,13-16</v>
      </c>
      <c r="N46" s="16" t="str">
        <f t="shared" si="6"/>
        <v>1-16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116</v>
      </c>
      <c r="B47" s="10" t="s">
        <v>117</v>
      </c>
      <c r="C47" s="11" t="s">
        <v>126</v>
      </c>
      <c r="D47" s="12" t="s">
        <v>125</v>
      </c>
      <c r="E47" s="13" t="str">
        <f t="array" ref="E47">INDEX(Turmas!C2:C106,MATCH(D47,Turmas!A2:A106,0))</f>
        <v>Tarde</v>
      </c>
      <c r="F47" s="14">
        <v>0.0</v>
      </c>
      <c r="G47" s="15">
        <v>4.0</v>
      </c>
      <c r="H47" s="15">
        <v>0.0</v>
      </c>
      <c r="I47" s="16" t="str">
        <f t="shared" si="1"/>
        <v>1-6,13-16</v>
      </c>
      <c r="J47" s="16" t="str">
        <f t="shared" si="2"/>
        <v>1-6,13-16</v>
      </c>
      <c r="K47" s="16" t="str">
        <f t="shared" si="3"/>
        <v>1-6,13-16</v>
      </c>
      <c r="L47" s="16" t="str">
        <f t="shared" si="4"/>
        <v>1-6,13-16</v>
      </c>
      <c r="M47" s="16" t="str">
        <f t="shared" si="5"/>
        <v>1-6,13-16</v>
      </c>
      <c r="N47" s="16" t="str">
        <f t="shared" si="6"/>
        <v>1-16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118</v>
      </c>
      <c r="B48" s="10" t="s">
        <v>119</v>
      </c>
      <c r="C48" s="11" t="s">
        <v>120</v>
      </c>
      <c r="D48" s="12" t="s">
        <v>125</v>
      </c>
      <c r="E48" s="13" t="str">
        <f t="array" ref="E48">INDEX(Turmas!C2:C106,MATCH(D48,Turmas!A2:A106,0))</f>
        <v>Tarde</v>
      </c>
      <c r="F48" s="14">
        <v>0.0</v>
      </c>
      <c r="G48" s="15">
        <v>4.0</v>
      </c>
      <c r="H48" s="15">
        <v>0.0</v>
      </c>
      <c r="I48" s="16" t="str">
        <f t="shared" si="1"/>
        <v>1-6,13-16</v>
      </c>
      <c r="J48" s="16" t="str">
        <f t="shared" si="2"/>
        <v>1-6,13-16</v>
      </c>
      <c r="K48" s="16" t="str">
        <f t="shared" si="3"/>
        <v>1-6,13-16</v>
      </c>
      <c r="L48" s="16" t="str">
        <f t="shared" si="4"/>
        <v>1-6,13-16</v>
      </c>
      <c r="M48" s="16" t="str">
        <f t="shared" si="5"/>
        <v>1-6,13-16</v>
      </c>
      <c r="N48" s="16" t="str">
        <f t="shared" si="6"/>
        <v>1-16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121</v>
      </c>
      <c r="B49" s="10" t="s">
        <v>122</v>
      </c>
      <c r="C49" s="11" t="s">
        <v>127</v>
      </c>
      <c r="D49" s="12" t="s">
        <v>125</v>
      </c>
      <c r="E49" s="13" t="str">
        <f t="array" ref="E49">INDEX(Turmas!C2:C106,MATCH(D49,Turmas!A2:A106,0))</f>
        <v>Tarde</v>
      </c>
      <c r="F49" s="14">
        <v>0.0</v>
      </c>
      <c r="G49" s="15">
        <v>4.0</v>
      </c>
      <c r="H49" s="15">
        <v>0.0</v>
      </c>
      <c r="I49" s="16" t="str">
        <f t="shared" si="1"/>
        <v>1-6,13-16</v>
      </c>
      <c r="J49" s="16" t="str">
        <f t="shared" si="2"/>
        <v>1-6,13-16</v>
      </c>
      <c r="K49" s="16" t="str">
        <f t="shared" si="3"/>
        <v>1-6,13-16</v>
      </c>
      <c r="L49" s="16" t="str">
        <f t="shared" si="4"/>
        <v>1-6,13-16</v>
      </c>
      <c r="M49" s="16" t="str">
        <f t="shared" si="5"/>
        <v>1-6,13-16</v>
      </c>
      <c r="N49" s="16" t="str">
        <f t="shared" si="6"/>
        <v>1-16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128</v>
      </c>
      <c r="B50" s="10" t="s">
        <v>129</v>
      </c>
      <c r="C50" s="11" t="s">
        <v>130</v>
      </c>
      <c r="D50" s="12" t="s">
        <v>131</v>
      </c>
      <c r="E50" s="13" t="str">
        <f t="array" ref="E50">INDEX(Turmas!C2:C106,MATCH(D50,Turmas!A2:A106,0))</f>
        <v>Manhã</v>
      </c>
      <c r="F50" s="14">
        <v>0.0</v>
      </c>
      <c r="G50" s="15">
        <v>3.0</v>
      </c>
      <c r="H50" s="15">
        <v>0.0</v>
      </c>
      <c r="I50" s="16" t="str">
        <f t="shared" si="1"/>
        <v>7-16</v>
      </c>
      <c r="J50" s="16" t="str">
        <f t="shared" si="2"/>
        <v>7-16</v>
      </c>
      <c r="K50" s="16" t="str">
        <f t="shared" si="3"/>
        <v>7-16</v>
      </c>
      <c r="L50" s="16" t="str">
        <f t="shared" si="4"/>
        <v>7-16</v>
      </c>
      <c r="M50" s="16" t="str">
        <f t="shared" si="5"/>
        <v>7-16</v>
      </c>
      <c r="N50" s="16" t="str">
        <f t="shared" si="6"/>
        <v>1-16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132</v>
      </c>
      <c r="B51" s="10" t="s">
        <v>133</v>
      </c>
      <c r="C51" s="11" t="s">
        <v>134</v>
      </c>
      <c r="D51" s="12" t="s">
        <v>131</v>
      </c>
      <c r="E51" s="13" t="str">
        <f t="array" ref="E51">INDEX(Turmas!C2:C106,MATCH(D51,Turmas!A2:A106,0))</f>
        <v>Manhã</v>
      </c>
      <c r="F51" s="14">
        <v>0.0</v>
      </c>
      <c r="G51" s="15">
        <v>3.0</v>
      </c>
      <c r="H51" s="15">
        <v>0.0</v>
      </c>
      <c r="I51" s="16" t="str">
        <f t="shared" si="1"/>
        <v>7-16</v>
      </c>
      <c r="J51" s="16" t="str">
        <f t="shared" si="2"/>
        <v>7-16</v>
      </c>
      <c r="K51" s="16" t="str">
        <f t="shared" si="3"/>
        <v>7-16</v>
      </c>
      <c r="L51" s="16" t="str">
        <f t="shared" si="4"/>
        <v>7-16</v>
      </c>
      <c r="M51" s="16" t="str">
        <f t="shared" si="5"/>
        <v>7-16</v>
      </c>
      <c r="N51" s="16" t="str">
        <f t="shared" si="6"/>
        <v>1-16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135</v>
      </c>
      <c r="B52" s="10" t="s">
        <v>136</v>
      </c>
      <c r="C52" s="11" t="s">
        <v>130</v>
      </c>
      <c r="D52" s="12" t="s">
        <v>131</v>
      </c>
      <c r="E52" s="13" t="str">
        <f t="array" ref="E52">INDEX(Turmas!C2:C106,MATCH(D52,Turmas!A2:A106,0))</f>
        <v>Manhã</v>
      </c>
      <c r="F52" s="14">
        <v>0.0</v>
      </c>
      <c r="G52" s="15">
        <v>3.0</v>
      </c>
      <c r="H52" s="15">
        <v>0.0</v>
      </c>
      <c r="I52" s="16" t="str">
        <f t="shared" si="1"/>
        <v>7-16</v>
      </c>
      <c r="J52" s="16" t="str">
        <f t="shared" si="2"/>
        <v>7-16</v>
      </c>
      <c r="K52" s="16" t="str">
        <f t="shared" si="3"/>
        <v>7-16</v>
      </c>
      <c r="L52" s="16" t="str">
        <f t="shared" si="4"/>
        <v>7-16</v>
      </c>
      <c r="M52" s="16" t="str">
        <f t="shared" si="5"/>
        <v>7-16</v>
      </c>
      <c r="N52" s="16" t="str">
        <f t="shared" si="6"/>
        <v>1-16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137</v>
      </c>
      <c r="B53" s="10" t="s">
        <v>138</v>
      </c>
      <c r="C53" s="11" t="s">
        <v>95</v>
      </c>
      <c r="D53" s="12" t="s">
        <v>131</v>
      </c>
      <c r="E53" s="13" t="str">
        <f t="array" ref="E53">INDEX(Turmas!C2:C106,MATCH(D53,Turmas!A2:A106,0))</f>
        <v>Manhã</v>
      </c>
      <c r="F53" s="14">
        <v>0.0</v>
      </c>
      <c r="G53" s="15">
        <v>4.0</v>
      </c>
      <c r="H53" s="15">
        <v>0.0</v>
      </c>
      <c r="I53" s="16" t="str">
        <f t="shared" si="1"/>
        <v>7-16</v>
      </c>
      <c r="J53" s="16" t="str">
        <f t="shared" si="2"/>
        <v>7-16</v>
      </c>
      <c r="K53" s="16" t="str">
        <f t="shared" si="3"/>
        <v>7-16</v>
      </c>
      <c r="L53" s="16" t="str">
        <f t="shared" si="4"/>
        <v>7-16</v>
      </c>
      <c r="M53" s="16" t="str">
        <f t="shared" si="5"/>
        <v>7-16</v>
      </c>
      <c r="N53" s="16" t="str">
        <f t="shared" si="6"/>
        <v>1-16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139</v>
      </c>
      <c r="B54" s="10" t="s">
        <v>140</v>
      </c>
      <c r="C54" s="11" t="s">
        <v>141</v>
      </c>
      <c r="D54" s="12" t="s">
        <v>131</v>
      </c>
      <c r="E54" s="13" t="str">
        <f t="array" ref="E54">INDEX(Turmas!C2:C106,MATCH(D54,Turmas!A2:A106,0))</f>
        <v>Manhã</v>
      </c>
      <c r="F54" s="14">
        <v>0.0</v>
      </c>
      <c r="G54" s="15">
        <v>4.0</v>
      </c>
      <c r="H54" s="15">
        <v>0.0</v>
      </c>
      <c r="I54" s="16" t="str">
        <f t="shared" si="1"/>
        <v>7-16</v>
      </c>
      <c r="J54" s="16" t="str">
        <f t="shared" si="2"/>
        <v>7-16</v>
      </c>
      <c r="K54" s="16" t="str">
        <f t="shared" si="3"/>
        <v>7-16</v>
      </c>
      <c r="L54" s="16" t="str">
        <f t="shared" si="4"/>
        <v>7-16</v>
      </c>
      <c r="M54" s="16" t="str">
        <f t="shared" si="5"/>
        <v>7-16</v>
      </c>
      <c r="N54" s="16" t="str">
        <f t="shared" si="6"/>
        <v>1-16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142</v>
      </c>
      <c r="B55" s="10" t="s">
        <v>143</v>
      </c>
      <c r="C55" s="11" t="s">
        <v>144</v>
      </c>
      <c r="D55" s="12" t="s">
        <v>131</v>
      </c>
      <c r="E55" s="13" t="str">
        <f t="array" ref="E55">INDEX(Turmas!C2:C106,MATCH(D55,Turmas!A2:A106,0))</f>
        <v>Manhã</v>
      </c>
      <c r="F55" s="14">
        <v>0.0</v>
      </c>
      <c r="G55" s="15">
        <v>5.0</v>
      </c>
      <c r="H55" s="15">
        <v>0.0</v>
      </c>
      <c r="I55" s="16" t="str">
        <f t="shared" si="1"/>
        <v>7-16</v>
      </c>
      <c r="J55" s="16" t="str">
        <f t="shared" si="2"/>
        <v>7-16</v>
      </c>
      <c r="K55" s="16" t="str">
        <f t="shared" si="3"/>
        <v>7-16</v>
      </c>
      <c r="L55" s="16" t="str">
        <f t="shared" si="4"/>
        <v>7-16</v>
      </c>
      <c r="M55" s="16" t="str">
        <f t="shared" si="5"/>
        <v>7-16</v>
      </c>
      <c r="N55" s="16" t="str">
        <f t="shared" si="6"/>
        <v>1-16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145</v>
      </c>
      <c r="B56" s="10" t="s">
        <v>146</v>
      </c>
      <c r="C56" s="11" t="s">
        <v>147</v>
      </c>
      <c r="D56" s="12" t="s">
        <v>148</v>
      </c>
      <c r="E56" s="13" t="str">
        <f t="array" ref="E56">INDEX(Turmas!C2:C106,MATCH(D56,Turmas!A2:A106,0))</f>
        <v>Manhã</v>
      </c>
      <c r="F56" s="14">
        <v>0.0</v>
      </c>
      <c r="G56" s="15">
        <v>5.0</v>
      </c>
      <c r="H56" s="15">
        <v>0.0</v>
      </c>
      <c r="I56" s="16" t="str">
        <f t="shared" si="1"/>
        <v>7-16</v>
      </c>
      <c r="J56" s="16" t="str">
        <f t="shared" si="2"/>
        <v>7-16</v>
      </c>
      <c r="K56" s="16" t="str">
        <f t="shared" si="3"/>
        <v>7-16</v>
      </c>
      <c r="L56" s="16" t="str">
        <f t="shared" si="4"/>
        <v>7-16</v>
      </c>
      <c r="M56" s="16" t="str">
        <f t="shared" si="5"/>
        <v>7-16</v>
      </c>
      <c r="N56" s="16" t="str">
        <f t="shared" si="6"/>
        <v>1-16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149</v>
      </c>
      <c r="B57" s="10" t="s">
        <v>150</v>
      </c>
      <c r="C57" s="11" t="s">
        <v>151</v>
      </c>
      <c r="D57" s="12" t="s">
        <v>148</v>
      </c>
      <c r="E57" s="13" t="str">
        <f t="array" ref="E57">INDEX(Turmas!C2:C106,MATCH(D57,Turmas!A2:A106,0))</f>
        <v>Manhã</v>
      </c>
      <c r="F57" s="14">
        <v>0.0</v>
      </c>
      <c r="G57" s="15">
        <v>5.0</v>
      </c>
      <c r="H57" s="15">
        <v>0.0</v>
      </c>
      <c r="I57" s="16" t="str">
        <f t="shared" si="1"/>
        <v>7-16</v>
      </c>
      <c r="J57" s="16" t="str">
        <f t="shared" si="2"/>
        <v>7-16</v>
      </c>
      <c r="K57" s="16" t="str">
        <f t="shared" si="3"/>
        <v>7-16</v>
      </c>
      <c r="L57" s="16" t="str">
        <f t="shared" si="4"/>
        <v>7-16</v>
      </c>
      <c r="M57" s="16" t="str">
        <f t="shared" si="5"/>
        <v>7-16</v>
      </c>
      <c r="N57" s="16" t="str">
        <f t="shared" si="6"/>
        <v>1-16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152</v>
      </c>
      <c r="B58" s="10" t="s">
        <v>153</v>
      </c>
      <c r="C58" s="11" t="s">
        <v>154</v>
      </c>
      <c r="D58" s="12" t="s">
        <v>148</v>
      </c>
      <c r="E58" s="13" t="str">
        <f t="array" ref="E58">INDEX(Turmas!C2:C106,MATCH(D58,Turmas!A2:A106,0))</f>
        <v>Manhã</v>
      </c>
      <c r="F58" s="14">
        <v>50.0</v>
      </c>
      <c r="G58" s="15">
        <v>4.0</v>
      </c>
      <c r="H58" s="15">
        <v>0.0</v>
      </c>
      <c r="I58" s="16" t="str">
        <f t="shared" si="1"/>
        <v>7-16</v>
      </c>
      <c r="J58" s="16" t="str">
        <f t="shared" si="2"/>
        <v>7-16</v>
      </c>
      <c r="K58" s="16" t="str">
        <f t="shared" si="3"/>
        <v>7-16</v>
      </c>
      <c r="L58" s="16" t="str">
        <f t="shared" si="4"/>
        <v>7-16</v>
      </c>
      <c r="M58" s="16" t="str">
        <f t="shared" si="5"/>
        <v>7-16</v>
      </c>
      <c r="N58" s="16" t="str">
        <f t="shared" si="6"/>
        <v>1-16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155</v>
      </c>
      <c r="B59" s="10" t="s">
        <v>156</v>
      </c>
      <c r="C59" s="11" t="s">
        <v>157</v>
      </c>
      <c r="D59" s="12" t="s">
        <v>148</v>
      </c>
      <c r="E59" s="13" t="str">
        <f t="array" ref="E59">INDEX(Turmas!C2:C106,MATCH(D59,Turmas!A2:A106,0))</f>
        <v>Manhã</v>
      </c>
      <c r="F59" s="14">
        <v>50.0</v>
      </c>
      <c r="G59" s="15">
        <v>2.0</v>
      </c>
      <c r="H59" s="15">
        <v>0.0</v>
      </c>
      <c r="I59" s="16" t="str">
        <f t="shared" si="1"/>
        <v>7-16</v>
      </c>
      <c r="J59" s="16" t="str">
        <f t="shared" si="2"/>
        <v>7-16</v>
      </c>
      <c r="K59" s="16" t="str">
        <f t="shared" si="3"/>
        <v>7-16</v>
      </c>
      <c r="L59" s="16" t="str">
        <f t="shared" si="4"/>
        <v>7-16</v>
      </c>
      <c r="M59" s="16" t="str">
        <f t="shared" si="5"/>
        <v>7-16</v>
      </c>
      <c r="N59" s="16" t="str">
        <f t="shared" si="6"/>
        <v>1-16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158</v>
      </c>
      <c r="B60" s="10" t="s">
        <v>159</v>
      </c>
      <c r="C60" s="11" t="s">
        <v>126</v>
      </c>
      <c r="D60" s="12" t="s">
        <v>148</v>
      </c>
      <c r="E60" s="13" t="str">
        <f t="array" ref="E60">INDEX(Turmas!C2:C106,MATCH(D60,Turmas!A2:A106,0))</f>
        <v>Manhã</v>
      </c>
      <c r="F60" s="14">
        <v>0.0</v>
      </c>
      <c r="G60" s="15">
        <v>2.0</v>
      </c>
      <c r="H60" s="15">
        <v>0.0</v>
      </c>
      <c r="I60" s="16" t="str">
        <f t="shared" si="1"/>
        <v>7-16</v>
      </c>
      <c r="J60" s="16" t="str">
        <f t="shared" si="2"/>
        <v>7-16</v>
      </c>
      <c r="K60" s="16" t="str">
        <f t="shared" si="3"/>
        <v>7-16</v>
      </c>
      <c r="L60" s="16" t="str">
        <f t="shared" si="4"/>
        <v>7-16</v>
      </c>
      <c r="M60" s="16" t="str">
        <f t="shared" si="5"/>
        <v>7-16</v>
      </c>
      <c r="N60" s="16" t="str">
        <f t="shared" si="6"/>
        <v>1-16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160</v>
      </c>
      <c r="B61" s="10" t="s">
        <v>61</v>
      </c>
      <c r="C61" s="11" t="s">
        <v>127</v>
      </c>
      <c r="D61" s="12" t="s">
        <v>148</v>
      </c>
      <c r="E61" s="13" t="str">
        <f t="array" ref="E61">INDEX(Turmas!C2:C106,MATCH(D61,Turmas!A2:A106,0))</f>
        <v>Manhã</v>
      </c>
      <c r="F61" s="14">
        <v>0.0</v>
      </c>
      <c r="G61" s="15">
        <v>3.0</v>
      </c>
      <c r="H61" s="15">
        <v>0.0</v>
      </c>
      <c r="I61" s="16" t="str">
        <f t="shared" si="1"/>
        <v>7-16</v>
      </c>
      <c r="J61" s="16" t="str">
        <f t="shared" si="2"/>
        <v>7-16</v>
      </c>
      <c r="K61" s="16" t="str">
        <f t="shared" si="3"/>
        <v>7-16</v>
      </c>
      <c r="L61" s="16" t="str">
        <f t="shared" si="4"/>
        <v>7-16</v>
      </c>
      <c r="M61" s="16" t="str">
        <f t="shared" si="5"/>
        <v>7-16</v>
      </c>
      <c r="N61" s="16" t="str">
        <f t="shared" si="6"/>
        <v>1-16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161</v>
      </c>
      <c r="B62" s="10" t="s">
        <v>162</v>
      </c>
      <c r="C62" s="11" t="s">
        <v>163</v>
      </c>
      <c r="D62" s="12" t="s">
        <v>148</v>
      </c>
      <c r="E62" s="13" t="str">
        <f t="array" ref="E62">INDEX(Turmas!C2:C106,MATCH(D62,Turmas!A2:A106,0))</f>
        <v>Manhã</v>
      </c>
      <c r="F62" s="14">
        <v>0.0</v>
      </c>
      <c r="G62" s="15">
        <v>4.0</v>
      </c>
      <c r="H62" s="15">
        <v>0.0</v>
      </c>
      <c r="I62" s="16" t="str">
        <f t="shared" si="1"/>
        <v>7-16</v>
      </c>
      <c r="J62" s="16" t="str">
        <f t="shared" si="2"/>
        <v>7-16</v>
      </c>
      <c r="K62" s="16" t="str">
        <f t="shared" si="3"/>
        <v>7-16</v>
      </c>
      <c r="L62" s="16" t="str">
        <f t="shared" si="4"/>
        <v>7-16</v>
      </c>
      <c r="M62" s="16" t="str">
        <f t="shared" si="5"/>
        <v>7-16</v>
      </c>
      <c r="N62" s="16" t="str">
        <f t="shared" si="6"/>
        <v>1-16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164</v>
      </c>
      <c r="B63" s="10" t="s">
        <v>32</v>
      </c>
      <c r="C63" s="11" t="s">
        <v>59</v>
      </c>
      <c r="D63" s="12" t="s">
        <v>165</v>
      </c>
      <c r="E63" s="13" t="str">
        <f t="array" ref="E63">INDEX(Turmas!C2:C106,MATCH(D63,Turmas!A2:A106,0))</f>
        <v>Tarde</v>
      </c>
      <c r="F63" s="14">
        <v>0.0</v>
      </c>
      <c r="G63" s="15">
        <v>4.0</v>
      </c>
      <c r="H63" s="15">
        <v>0.0</v>
      </c>
      <c r="I63" s="16" t="str">
        <f t="shared" si="1"/>
        <v>1-6,13-16</v>
      </c>
      <c r="J63" s="16" t="str">
        <f t="shared" si="2"/>
        <v>1-6,13-16</v>
      </c>
      <c r="K63" s="16" t="str">
        <f t="shared" si="3"/>
        <v>1-6,13-16</v>
      </c>
      <c r="L63" s="16" t="str">
        <f t="shared" si="4"/>
        <v>1-6,13-16</v>
      </c>
      <c r="M63" s="16" t="str">
        <f t="shared" si="5"/>
        <v>1-6,13-16</v>
      </c>
      <c r="N63" s="16" t="str">
        <f t="shared" si="6"/>
        <v>1-16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166</v>
      </c>
      <c r="B64" s="10" t="s">
        <v>167</v>
      </c>
      <c r="C64" s="11" t="s">
        <v>168</v>
      </c>
      <c r="D64" s="12" t="s">
        <v>165</v>
      </c>
      <c r="E64" s="13" t="str">
        <f t="array" ref="E64">INDEX(Turmas!C2:C106,MATCH(D64,Turmas!A2:A106,0))</f>
        <v>Tarde</v>
      </c>
      <c r="F64" s="14">
        <v>0.0</v>
      </c>
      <c r="G64" s="15">
        <v>4.0</v>
      </c>
      <c r="H64" s="15">
        <v>0.0</v>
      </c>
      <c r="I64" s="16" t="str">
        <f t="shared" si="1"/>
        <v>1-6,13-16</v>
      </c>
      <c r="J64" s="16" t="str">
        <f t="shared" si="2"/>
        <v>1-6,13-16</v>
      </c>
      <c r="K64" s="16" t="str">
        <f t="shared" si="3"/>
        <v>1-6,13-16</v>
      </c>
      <c r="L64" s="16" t="str">
        <f t="shared" si="4"/>
        <v>1-6,13-16</v>
      </c>
      <c r="M64" s="16" t="str">
        <f t="shared" si="5"/>
        <v>1-6,13-16</v>
      </c>
      <c r="N64" s="16" t="str">
        <f t="shared" si="6"/>
        <v>1-16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169</v>
      </c>
      <c r="B65" s="10" t="s">
        <v>170</v>
      </c>
      <c r="C65" s="11" t="s">
        <v>171</v>
      </c>
      <c r="D65" s="12" t="s">
        <v>165</v>
      </c>
      <c r="E65" s="13" t="str">
        <f t="array" ref="E65">INDEX(Turmas!C2:C106,MATCH(D65,Turmas!A2:A106,0))</f>
        <v>Tarde</v>
      </c>
      <c r="F65" s="14">
        <v>0.0</v>
      </c>
      <c r="G65" s="15">
        <v>5.0</v>
      </c>
      <c r="H65" s="15">
        <v>0.0</v>
      </c>
      <c r="I65" s="16" t="str">
        <f t="shared" si="1"/>
        <v>1-6,13-16</v>
      </c>
      <c r="J65" s="16" t="str">
        <f t="shared" si="2"/>
        <v>1-6,13-16</v>
      </c>
      <c r="K65" s="16" t="str">
        <f t="shared" si="3"/>
        <v>1-6,13-16</v>
      </c>
      <c r="L65" s="16" t="str">
        <f t="shared" si="4"/>
        <v>1-6,13-16</v>
      </c>
      <c r="M65" s="16" t="str">
        <f t="shared" si="5"/>
        <v>1-6,13-16</v>
      </c>
      <c r="N65" s="16" t="str">
        <f t="shared" si="6"/>
        <v>1-16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172</v>
      </c>
      <c r="B66" s="10" t="s">
        <v>173</v>
      </c>
      <c r="C66" s="11" t="s">
        <v>174</v>
      </c>
      <c r="D66" s="12" t="s">
        <v>165</v>
      </c>
      <c r="E66" s="13" t="str">
        <f t="array" ref="E66">INDEX(Turmas!C2:C106,MATCH(D66,Turmas!A2:A106,0))</f>
        <v>Tarde</v>
      </c>
      <c r="F66" s="14">
        <v>0.0</v>
      </c>
      <c r="G66" s="15">
        <v>4.0</v>
      </c>
      <c r="H66" s="15">
        <v>0.0</v>
      </c>
      <c r="I66" s="16" t="str">
        <f t="shared" si="1"/>
        <v>1-6,13-16</v>
      </c>
      <c r="J66" s="16" t="str">
        <f t="shared" si="2"/>
        <v>1-6,13-16</v>
      </c>
      <c r="K66" s="16" t="str">
        <f t="shared" si="3"/>
        <v>1-6,13-16</v>
      </c>
      <c r="L66" s="16" t="str">
        <f t="shared" si="4"/>
        <v>1-6,13-16</v>
      </c>
      <c r="M66" s="16" t="str">
        <f t="shared" si="5"/>
        <v>1-6,13-16</v>
      </c>
      <c r="N66" s="16" t="str">
        <f t="shared" si="6"/>
        <v>1-16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175</v>
      </c>
      <c r="B67" s="10" t="s">
        <v>176</v>
      </c>
      <c r="C67" s="11" t="s">
        <v>177</v>
      </c>
      <c r="D67" s="12" t="s">
        <v>165</v>
      </c>
      <c r="E67" s="13" t="str">
        <f t="array" ref="E67">INDEX(Turmas!C2:C106,MATCH(D67,Turmas!A2:A106,0))</f>
        <v>Tarde</v>
      </c>
      <c r="F67" s="14">
        <v>0.0</v>
      </c>
      <c r="G67" s="15">
        <v>4.0</v>
      </c>
      <c r="H67" s="15">
        <v>0.0</v>
      </c>
      <c r="I67" s="16" t="str">
        <f t="shared" si="1"/>
        <v>1-6,13-16</v>
      </c>
      <c r="J67" s="16" t="str">
        <f t="shared" si="2"/>
        <v>1-6,13-16</v>
      </c>
      <c r="K67" s="16" t="str">
        <f t="shared" si="3"/>
        <v>1-6,13-16</v>
      </c>
      <c r="L67" s="16" t="str">
        <f t="shared" si="4"/>
        <v>1-6,13-16</v>
      </c>
      <c r="M67" s="16" t="str">
        <f t="shared" si="5"/>
        <v>1-6,13-16</v>
      </c>
      <c r="N67" s="16" t="str">
        <f t="shared" si="6"/>
        <v>1-16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178</v>
      </c>
      <c r="B68" s="10" t="s">
        <v>179</v>
      </c>
      <c r="C68" s="11" t="s">
        <v>180</v>
      </c>
      <c r="D68" s="12" t="s">
        <v>165</v>
      </c>
      <c r="E68" s="13" t="str">
        <f t="array" ref="E68">INDEX(Turmas!C2:C106,MATCH(D68,Turmas!A2:A106,0))</f>
        <v>Tarde</v>
      </c>
      <c r="F68" s="14">
        <v>0.0</v>
      </c>
      <c r="G68" s="15">
        <v>5.0</v>
      </c>
      <c r="H68" s="15">
        <v>0.0</v>
      </c>
      <c r="I68" s="16" t="str">
        <f t="shared" si="1"/>
        <v>1-6,13-16</v>
      </c>
      <c r="J68" s="16" t="str">
        <f t="shared" si="2"/>
        <v>1-6,13-16</v>
      </c>
      <c r="K68" s="16" t="str">
        <f t="shared" si="3"/>
        <v>1-6,13-16</v>
      </c>
      <c r="L68" s="16" t="str">
        <f t="shared" si="4"/>
        <v>1-6,13-16</v>
      </c>
      <c r="M68" s="16" t="str">
        <f t="shared" si="5"/>
        <v>1-6,13-16</v>
      </c>
      <c r="N68" s="16" t="str">
        <f t="shared" si="6"/>
        <v>1-16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181</v>
      </c>
      <c r="B69" s="10" t="s">
        <v>182</v>
      </c>
      <c r="C69" s="11" t="s">
        <v>147</v>
      </c>
      <c r="D69" s="12" t="s">
        <v>183</v>
      </c>
      <c r="E69" s="13" t="str">
        <f t="array" ref="E69">INDEX(Turmas!C2:C106,MATCH(D69,Turmas!A2:A106,0))</f>
        <v>Manhã</v>
      </c>
      <c r="F69" s="14">
        <v>0.0</v>
      </c>
      <c r="G69" s="15">
        <v>4.0</v>
      </c>
      <c r="H69" s="15">
        <v>0.0</v>
      </c>
      <c r="I69" s="16" t="str">
        <f t="shared" si="1"/>
        <v>7-16</v>
      </c>
      <c r="J69" s="16" t="str">
        <f t="shared" si="2"/>
        <v>7-16</v>
      </c>
      <c r="K69" s="16" t="str">
        <f t="shared" si="3"/>
        <v>7-16</v>
      </c>
      <c r="L69" s="16" t="str">
        <f t="shared" si="4"/>
        <v>7-16</v>
      </c>
      <c r="M69" s="16" t="str">
        <f t="shared" si="5"/>
        <v>7-16</v>
      </c>
      <c r="N69" s="16" t="str">
        <f t="shared" si="6"/>
        <v>1-16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184</v>
      </c>
      <c r="B70" s="10" t="s">
        <v>185</v>
      </c>
      <c r="C70" s="11" t="s">
        <v>186</v>
      </c>
      <c r="D70" s="12" t="s">
        <v>183</v>
      </c>
      <c r="E70" s="13" t="str">
        <f t="array" ref="E70">INDEX(Turmas!C2:C106,MATCH(D70,Turmas!A2:A106,0))</f>
        <v>Manhã</v>
      </c>
      <c r="F70" s="14">
        <v>0.0</v>
      </c>
      <c r="G70" s="15">
        <v>4.0</v>
      </c>
      <c r="H70" s="15">
        <v>0.0</v>
      </c>
      <c r="I70" s="16" t="str">
        <f t="shared" si="1"/>
        <v>7-16</v>
      </c>
      <c r="J70" s="16" t="str">
        <f t="shared" si="2"/>
        <v>7-16</v>
      </c>
      <c r="K70" s="16" t="str">
        <f t="shared" si="3"/>
        <v>7-16</v>
      </c>
      <c r="L70" s="16" t="str">
        <f t="shared" si="4"/>
        <v>7-16</v>
      </c>
      <c r="M70" s="16" t="str">
        <f t="shared" si="5"/>
        <v>7-16</v>
      </c>
      <c r="N70" s="16" t="str">
        <f t="shared" si="6"/>
        <v>1-16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187</v>
      </c>
      <c r="B71" s="10" t="s">
        <v>188</v>
      </c>
      <c r="C71" s="11" t="s">
        <v>189</v>
      </c>
      <c r="D71" s="12" t="s">
        <v>183</v>
      </c>
      <c r="E71" s="13" t="str">
        <f t="array" ref="E71">INDEX(Turmas!C2:C106,MATCH(D71,Turmas!A2:A106,0))</f>
        <v>Manhã</v>
      </c>
      <c r="F71" s="14">
        <v>0.0</v>
      </c>
      <c r="G71" s="15">
        <v>3.0</v>
      </c>
      <c r="H71" s="15">
        <v>0.0</v>
      </c>
      <c r="I71" s="16" t="str">
        <f t="shared" si="1"/>
        <v>7-16</v>
      </c>
      <c r="J71" s="16" t="str">
        <f t="shared" si="2"/>
        <v>7-16</v>
      </c>
      <c r="K71" s="16" t="str">
        <f t="shared" si="3"/>
        <v>7-16</v>
      </c>
      <c r="L71" s="16" t="str">
        <f t="shared" si="4"/>
        <v>7-16</v>
      </c>
      <c r="M71" s="16" t="str">
        <f t="shared" si="5"/>
        <v>7-16</v>
      </c>
      <c r="N71" s="16" t="str">
        <f t="shared" si="6"/>
        <v>1-16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190</v>
      </c>
      <c r="B72" s="10" t="s">
        <v>191</v>
      </c>
      <c r="C72" s="11" t="s">
        <v>192</v>
      </c>
      <c r="D72" s="12" t="s">
        <v>183</v>
      </c>
      <c r="E72" s="13" t="str">
        <f t="array" ref="E72">INDEX(Turmas!C2:C106,MATCH(D72,Turmas!A2:A106,0))</f>
        <v>Manhã</v>
      </c>
      <c r="F72" s="14">
        <v>0.0</v>
      </c>
      <c r="G72" s="15">
        <v>4.0</v>
      </c>
      <c r="H72" s="15">
        <v>0.0</v>
      </c>
      <c r="I72" s="16" t="str">
        <f t="shared" si="1"/>
        <v>7-16</v>
      </c>
      <c r="J72" s="16" t="str">
        <f t="shared" si="2"/>
        <v>7-16</v>
      </c>
      <c r="K72" s="16" t="str">
        <f t="shared" si="3"/>
        <v>7-16</v>
      </c>
      <c r="L72" s="16" t="str">
        <f t="shared" si="4"/>
        <v>7-16</v>
      </c>
      <c r="M72" s="16" t="str">
        <f t="shared" si="5"/>
        <v>7-16</v>
      </c>
      <c r="N72" s="16" t="str">
        <f t="shared" si="6"/>
        <v>1-16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193</v>
      </c>
      <c r="B73" s="10" t="s">
        <v>194</v>
      </c>
      <c r="C73" s="11" t="s">
        <v>195</v>
      </c>
      <c r="D73" s="12" t="s">
        <v>183</v>
      </c>
      <c r="E73" s="13" t="str">
        <f t="array" ref="E73">INDEX(Turmas!C2:C106,MATCH(D73,Turmas!A2:A106,0))</f>
        <v>Manhã</v>
      </c>
      <c r="F73" s="14">
        <v>0.0</v>
      </c>
      <c r="G73" s="15">
        <v>3.0</v>
      </c>
      <c r="H73" s="15">
        <v>0.0</v>
      </c>
      <c r="I73" s="16" t="str">
        <f t="shared" si="1"/>
        <v>7-16</v>
      </c>
      <c r="J73" s="16" t="str">
        <f t="shared" si="2"/>
        <v>7-16</v>
      </c>
      <c r="K73" s="16" t="str">
        <f t="shared" si="3"/>
        <v>7-16</v>
      </c>
      <c r="L73" s="16" t="str">
        <f t="shared" si="4"/>
        <v>7-16</v>
      </c>
      <c r="M73" s="16" t="str">
        <f t="shared" si="5"/>
        <v>7-16</v>
      </c>
      <c r="N73" s="16" t="str">
        <f t="shared" si="6"/>
        <v>1-16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196</v>
      </c>
      <c r="B74" s="10" t="s">
        <v>197</v>
      </c>
      <c r="C74" s="11" t="s">
        <v>198</v>
      </c>
      <c r="D74" s="12" t="s">
        <v>183</v>
      </c>
      <c r="E74" s="13" t="str">
        <f t="array" ref="E74">INDEX(Turmas!C2:C106,MATCH(D74,Turmas!A2:A106,0))</f>
        <v>Manhã</v>
      </c>
      <c r="F74" s="14">
        <v>0.0</v>
      </c>
      <c r="G74" s="15">
        <v>5.0</v>
      </c>
      <c r="H74" s="15">
        <v>0.0</v>
      </c>
      <c r="I74" s="16" t="str">
        <f t="shared" si="1"/>
        <v>7-16</v>
      </c>
      <c r="J74" s="16" t="str">
        <f t="shared" si="2"/>
        <v>7-16</v>
      </c>
      <c r="K74" s="16" t="str">
        <f t="shared" si="3"/>
        <v>7-16</v>
      </c>
      <c r="L74" s="16" t="str">
        <f t="shared" si="4"/>
        <v>7-16</v>
      </c>
      <c r="M74" s="16" t="str">
        <f t="shared" si="5"/>
        <v>7-16</v>
      </c>
      <c r="N74" s="16" t="str">
        <f t="shared" si="6"/>
        <v>1-16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199</v>
      </c>
      <c r="B75" s="10" t="s">
        <v>200</v>
      </c>
      <c r="C75" s="11" t="s">
        <v>201</v>
      </c>
      <c r="D75" s="12" t="s">
        <v>183</v>
      </c>
      <c r="E75" s="13" t="str">
        <f t="array" ref="E75">INDEX(Turmas!C2:C106,MATCH(D75,Turmas!A2:A106,0))</f>
        <v>Manhã</v>
      </c>
      <c r="F75" s="14">
        <v>0.0</v>
      </c>
      <c r="G75" s="15">
        <v>4.0</v>
      </c>
      <c r="H75" s="15">
        <v>0.0</v>
      </c>
      <c r="I75" s="16" t="str">
        <f t="shared" si="1"/>
        <v>7-16</v>
      </c>
      <c r="J75" s="16" t="str">
        <f t="shared" si="2"/>
        <v>7-16</v>
      </c>
      <c r="K75" s="16" t="str">
        <f t="shared" si="3"/>
        <v>7-16</v>
      </c>
      <c r="L75" s="16" t="str">
        <f t="shared" si="4"/>
        <v>7-16</v>
      </c>
      <c r="M75" s="16" t="str">
        <f t="shared" si="5"/>
        <v>7-16</v>
      </c>
      <c r="N75" s="16" t="str">
        <f t="shared" si="6"/>
        <v>1-16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202</v>
      </c>
      <c r="B76" s="10" t="s">
        <v>203</v>
      </c>
      <c r="C76" s="11" t="s">
        <v>204</v>
      </c>
      <c r="D76" s="12" t="s">
        <v>205</v>
      </c>
      <c r="E76" s="13" t="str">
        <f t="array" ref="E76">INDEX(Turmas!C2:C106,MATCH(D76,Turmas!A2:A106,0))</f>
        <v>Tarde</v>
      </c>
      <c r="F76" s="14">
        <v>0.0</v>
      </c>
      <c r="G76" s="15">
        <v>5.0</v>
      </c>
      <c r="H76" s="15">
        <v>0.0</v>
      </c>
      <c r="I76" s="16" t="str">
        <f t="shared" si="1"/>
        <v>1-6,13-16</v>
      </c>
      <c r="J76" s="16" t="str">
        <f t="shared" si="2"/>
        <v>1-6,13-16</v>
      </c>
      <c r="K76" s="16" t="str">
        <f t="shared" si="3"/>
        <v>1-6,13-16</v>
      </c>
      <c r="L76" s="16" t="str">
        <f t="shared" si="4"/>
        <v>1-6,13-16</v>
      </c>
      <c r="M76" s="16" t="str">
        <f t="shared" si="5"/>
        <v>1-6,13-16</v>
      </c>
      <c r="N76" s="16" t="str">
        <f t="shared" si="6"/>
        <v>1-16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206</v>
      </c>
      <c r="B77" s="10" t="s">
        <v>207</v>
      </c>
      <c r="C77" s="11" t="s">
        <v>192</v>
      </c>
      <c r="D77" s="12" t="s">
        <v>205</v>
      </c>
      <c r="E77" s="13" t="str">
        <f t="array" ref="E77">INDEX(Turmas!C2:C106,MATCH(D77,Turmas!A2:A106,0))</f>
        <v>Tarde</v>
      </c>
      <c r="F77" s="14">
        <v>0.0</v>
      </c>
      <c r="G77" s="15">
        <v>4.0</v>
      </c>
      <c r="H77" s="15">
        <v>0.0</v>
      </c>
      <c r="I77" s="16" t="str">
        <f t="shared" si="1"/>
        <v>1-6,13-16</v>
      </c>
      <c r="J77" s="16" t="str">
        <f t="shared" si="2"/>
        <v>1-6,13-16</v>
      </c>
      <c r="K77" s="16" t="str">
        <f t="shared" si="3"/>
        <v>1-6,13-16</v>
      </c>
      <c r="L77" s="16" t="str">
        <f t="shared" si="4"/>
        <v>1-6,13-16</v>
      </c>
      <c r="M77" s="16" t="str">
        <f t="shared" si="5"/>
        <v>1-6,13-16</v>
      </c>
      <c r="N77" s="16" t="str">
        <f t="shared" si="6"/>
        <v>1-16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208</v>
      </c>
      <c r="B78" s="10" t="s">
        <v>209</v>
      </c>
      <c r="C78" s="11" t="s">
        <v>189</v>
      </c>
      <c r="D78" s="12" t="s">
        <v>205</v>
      </c>
      <c r="E78" s="13" t="str">
        <f t="array" ref="E78">INDEX(Turmas!C2:C106,MATCH(D78,Turmas!A2:A106,0))</f>
        <v>Tarde</v>
      </c>
      <c r="F78" s="14">
        <v>0.0</v>
      </c>
      <c r="G78" s="15">
        <v>4.0</v>
      </c>
      <c r="H78" s="15">
        <v>0.0</v>
      </c>
      <c r="I78" s="16" t="str">
        <f t="shared" si="1"/>
        <v>1-6,13-16</v>
      </c>
      <c r="J78" s="16" t="str">
        <f t="shared" si="2"/>
        <v>1-6,13-16</v>
      </c>
      <c r="K78" s="16" t="str">
        <f t="shared" si="3"/>
        <v>1-6,13-16</v>
      </c>
      <c r="L78" s="16" t="str">
        <f t="shared" si="4"/>
        <v>1-6,13-16</v>
      </c>
      <c r="M78" s="16" t="str">
        <f t="shared" si="5"/>
        <v>1-6,13-16</v>
      </c>
      <c r="N78" s="16" t="str">
        <f t="shared" si="6"/>
        <v>1-16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210</v>
      </c>
      <c r="B79" s="10" t="s">
        <v>211</v>
      </c>
      <c r="C79" s="11" t="s">
        <v>134</v>
      </c>
      <c r="D79" s="12" t="s">
        <v>205</v>
      </c>
      <c r="E79" s="13" t="str">
        <f t="array" ref="E79">INDEX(Turmas!C2:C106,MATCH(D79,Turmas!A2:A106,0))</f>
        <v>Tarde</v>
      </c>
      <c r="F79" s="14">
        <v>0.0</v>
      </c>
      <c r="G79" s="15">
        <v>5.0</v>
      </c>
      <c r="H79" s="15">
        <v>0.0</v>
      </c>
      <c r="I79" s="16" t="str">
        <f t="shared" si="1"/>
        <v>1-6,13-16</v>
      </c>
      <c r="J79" s="16" t="str">
        <f t="shared" si="2"/>
        <v>1-6,13-16</v>
      </c>
      <c r="K79" s="16" t="str">
        <f t="shared" si="3"/>
        <v>1-6,13-16</v>
      </c>
      <c r="L79" s="16" t="str">
        <f t="shared" si="4"/>
        <v>1-6,13-16</v>
      </c>
      <c r="M79" s="16" t="str">
        <f t="shared" si="5"/>
        <v>1-6,13-16</v>
      </c>
      <c r="N79" s="16" t="str">
        <f t="shared" si="6"/>
        <v>1-16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212</v>
      </c>
      <c r="B80" s="10" t="s">
        <v>213</v>
      </c>
      <c r="C80" s="11" t="s">
        <v>99</v>
      </c>
      <c r="D80" s="12" t="s">
        <v>205</v>
      </c>
      <c r="E80" s="13" t="str">
        <f t="array" ref="E80">INDEX(Turmas!C2:C106,MATCH(D80,Turmas!A2:A106,0))</f>
        <v>Tarde</v>
      </c>
      <c r="F80" s="14">
        <v>0.0</v>
      </c>
      <c r="G80" s="15">
        <v>5.0</v>
      </c>
      <c r="H80" s="15">
        <v>0.0</v>
      </c>
      <c r="I80" s="16" t="str">
        <f t="shared" si="1"/>
        <v>1-6,13-16</v>
      </c>
      <c r="J80" s="16" t="str">
        <f t="shared" si="2"/>
        <v>1-6,13-16</v>
      </c>
      <c r="K80" s="16" t="str">
        <f t="shared" si="3"/>
        <v>1-6,13-16</v>
      </c>
      <c r="L80" s="16" t="str">
        <f t="shared" si="4"/>
        <v>1-6,13-16</v>
      </c>
      <c r="M80" s="16" t="str">
        <f t="shared" si="5"/>
        <v>1-6,13-16</v>
      </c>
      <c r="N80" s="16" t="str">
        <f t="shared" si="6"/>
        <v>1-16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214</v>
      </c>
      <c r="B81" s="10" t="s">
        <v>215</v>
      </c>
      <c r="C81" s="11" t="s">
        <v>201</v>
      </c>
      <c r="D81" s="12" t="s">
        <v>205</v>
      </c>
      <c r="E81" s="13" t="str">
        <f t="array" ref="E81">INDEX(Turmas!C2:C106,MATCH(D81,Turmas!A2:A106,0))</f>
        <v>Tarde</v>
      </c>
      <c r="F81" s="14">
        <v>0.0</v>
      </c>
      <c r="G81" s="15">
        <v>3.0</v>
      </c>
      <c r="H81" s="15">
        <v>0.0</v>
      </c>
      <c r="I81" s="16" t="str">
        <f t="shared" si="1"/>
        <v>1-6,13-16</v>
      </c>
      <c r="J81" s="16" t="str">
        <f t="shared" si="2"/>
        <v>1-6,13-16</v>
      </c>
      <c r="K81" s="16" t="str">
        <f t="shared" si="3"/>
        <v>1-6,13-16</v>
      </c>
      <c r="L81" s="16" t="str">
        <f t="shared" si="4"/>
        <v>1-6,13-16</v>
      </c>
      <c r="M81" s="16" t="str">
        <f t="shared" si="5"/>
        <v>1-6,13-16</v>
      </c>
      <c r="N81" s="16" t="str">
        <f t="shared" si="6"/>
        <v>1-16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216</v>
      </c>
      <c r="B82" s="10" t="s">
        <v>217</v>
      </c>
      <c r="C82" s="11" t="s">
        <v>218</v>
      </c>
      <c r="D82" s="12" t="s">
        <v>219</v>
      </c>
      <c r="E82" s="13" t="str">
        <f t="array" ref="E82">INDEX(Turmas!C2:C106,MATCH(D82,Turmas!A2:A106,0))</f>
        <v>Manhã</v>
      </c>
      <c r="F82" s="14">
        <v>0.0</v>
      </c>
      <c r="G82" s="15">
        <v>3.0</v>
      </c>
      <c r="H82" s="15">
        <v>0.0</v>
      </c>
      <c r="I82" s="16" t="str">
        <f t="shared" si="1"/>
        <v>7-16</v>
      </c>
      <c r="J82" s="16" t="str">
        <f t="shared" si="2"/>
        <v>7-16</v>
      </c>
      <c r="K82" s="16" t="str">
        <f t="shared" si="3"/>
        <v>7-16</v>
      </c>
      <c r="L82" s="16" t="str">
        <f t="shared" si="4"/>
        <v>7-16</v>
      </c>
      <c r="M82" s="16" t="str">
        <f t="shared" si="5"/>
        <v>7-16</v>
      </c>
      <c r="N82" s="16" t="str">
        <f t="shared" si="6"/>
        <v>1-16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220</v>
      </c>
      <c r="B83" s="10" t="s">
        <v>221</v>
      </c>
      <c r="C83" s="11" t="s">
        <v>127</v>
      </c>
      <c r="D83" s="12" t="s">
        <v>219</v>
      </c>
      <c r="E83" s="13" t="str">
        <f t="array" ref="E83">INDEX(Turmas!C2:C106,MATCH(D83,Turmas!A2:A106,0))</f>
        <v>Manhã</v>
      </c>
      <c r="F83" s="14">
        <v>0.0</v>
      </c>
      <c r="G83" s="15">
        <v>3.0</v>
      </c>
      <c r="H83" s="15">
        <v>0.0</v>
      </c>
      <c r="I83" s="16" t="str">
        <f t="shared" si="1"/>
        <v>7-16</v>
      </c>
      <c r="J83" s="16" t="str">
        <f t="shared" si="2"/>
        <v>7-16</v>
      </c>
      <c r="K83" s="16" t="str">
        <f t="shared" si="3"/>
        <v>7-16</v>
      </c>
      <c r="L83" s="16" t="str">
        <f t="shared" si="4"/>
        <v>7-16</v>
      </c>
      <c r="M83" s="16" t="str">
        <f t="shared" si="5"/>
        <v>7-16</v>
      </c>
      <c r="N83" s="16" t="str">
        <f t="shared" si="6"/>
        <v>1-16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222</v>
      </c>
      <c r="B84" s="10" t="s">
        <v>223</v>
      </c>
      <c r="C84" s="11" t="s">
        <v>224</v>
      </c>
      <c r="D84" s="12" t="s">
        <v>219</v>
      </c>
      <c r="E84" s="13" t="str">
        <f t="array" ref="E84">INDEX(Turmas!C2:C106,MATCH(D84,Turmas!A2:A106,0))</f>
        <v>Manhã</v>
      </c>
      <c r="F84" s="14">
        <v>0.0</v>
      </c>
      <c r="G84" s="15">
        <v>5.0</v>
      </c>
      <c r="H84" s="15">
        <v>0.0</v>
      </c>
      <c r="I84" s="16" t="str">
        <f t="shared" si="1"/>
        <v>7-16</v>
      </c>
      <c r="J84" s="16" t="str">
        <f t="shared" si="2"/>
        <v>7-16</v>
      </c>
      <c r="K84" s="16" t="str">
        <f t="shared" si="3"/>
        <v>7-16</v>
      </c>
      <c r="L84" s="16" t="str">
        <f t="shared" si="4"/>
        <v>7-16</v>
      </c>
      <c r="M84" s="16" t="str">
        <f t="shared" si="5"/>
        <v>7-16</v>
      </c>
      <c r="N84" s="16" t="str">
        <f t="shared" si="6"/>
        <v>1-16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225</v>
      </c>
      <c r="B85" s="10" t="s">
        <v>226</v>
      </c>
      <c r="C85" s="11" t="s">
        <v>227</v>
      </c>
      <c r="D85" s="12" t="s">
        <v>219</v>
      </c>
      <c r="E85" s="13" t="str">
        <f t="array" ref="E85">INDEX(Turmas!C2:C106,MATCH(D85,Turmas!A2:A106,0))</f>
        <v>Manhã</v>
      </c>
      <c r="F85" s="14">
        <v>0.0</v>
      </c>
      <c r="G85" s="15">
        <v>4.0</v>
      </c>
      <c r="H85" s="15">
        <v>0.0</v>
      </c>
      <c r="I85" s="16" t="str">
        <f t="shared" si="1"/>
        <v>7-16</v>
      </c>
      <c r="J85" s="16" t="str">
        <f t="shared" si="2"/>
        <v>7-16</v>
      </c>
      <c r="K85" s="16" t="str">
        <f t="shared" si="3"/>
        <v>7-16</v>
      </c>
      <c r="L85" s="16" t="str">
        <f t="shared" si="4"/>
        <v>7-16</v>
      </c>
      <c r="M85" s="16" t="str">
        <f t="shared" si="5"/>
        <v>7-16</v>
      </c>
      <c r="N85" s="16" t="str">
        <f t="shared" si="6"/>
        <v>1-16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228</v>
      </c>
      <c r="B86" s="10" t="s">
        <v>229</v>
      </c>
      <c r="C86" s="11" t="s">
        <v>171</v>
      </c>
      <c r="D86" s="12" t="s">
        <v>219</v>
      </c>
      <c r="E86" s="13" t="str">
        <f t="array" ref="E86">INDEX(Turmas!C2:C106,MATCH(D86,Turmas!A2:A106,0))</f>
        <v>Manhã</v>
      </c>
      <c r="F86" s="14">
        <v>0.0</v>
      </c>
      <c r="G86" s="15">
        <v>2.0</v>
      </c>
      <c r="H86" s="15">
        <v>0.0</v>
      </c>
      <c r="I86" s="16" t="str">
        <f t="shared" si="1"/>
        <v>7-16</v>
      </c>
      <c r="J86" s="16" t="str">
        <f t="shared" si="2"/>
        <v>7-16</v>
      </c>
      <c r="K86" s="16" t="str">
        <f t="shared" si="3"/>
        <v>7-16</v>
      </c>
      <c r="L86" s="16" t="str">
        <f t="shared" si="4"/>
        <v>7-16</v>
      </c>
      <c r="M86" s="16" t="str">
        <f t="shared" si="5"/>
        <v>7-16</v>
      </c>
      <c r="N86" s="16" t="str">
        <f t="shared" si="6"/>
        <v>1-16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230</v>
      </c>
      <c r="B87" s="10" t="s">
        <v>231</v>
      </c>
      <c r="C87" s="11" t="s">
        <v>232</v>
      </c>
      <c r="D87" s="12" t="s">
        <v>219</v>
      </c>
      <c r="E87" s="13" t="str">
        <f t="array" ref="E87">INDEX(Turmas!C2:C106,MATCH(D87,Turmas!A2:A106,0))</f>
        <v>Manhã</v>
      </c>
      <c r="F87" s="14">
        <v>0.0</v>
      </c>
      <c r="G87" s="15">
        <v>4.0</v>
      </c>
      <c r="H87" s="15">
        <v>0.0</v>
      </c>
      <c r="I87" s="16" t="str">
        <f t="shared" si="1"/>
        <v>7-16</v>
      </c>
      <c r="J87" s="16" t="str">
        <f t="shared" si="2"/>
        <v>7-16</v>
      </c>
      <c r="K87" s="16" t="str">
        <f t="shared" si="3"/>
        <v>7-16</v>
      </c>
      <c r="L87" s="16" t="str">
        <f t="shared" si="4"/>
        <v>7-16</v>
      </c>
      <c r="M87" s="16" t="str">
        <f t="shared" si="5"/>
        <v>7-16</v>
      </c>
      <c r="N87" s="16" t="str">
        <f t="shared" si="6"/>
        <v>1-16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233</v>
      </c>
      <c r="B88" s="10" t="s">
        <v>234</v>
      </c>
      <c r="C88" s="11" t="s">
        <v>232</v>
      </c>
      <c r="D88" s="12" t="s">
        <v>219</v>
      </c>
      <c r="E88" s="13" t="str">
        <f t="array" ref="E88">INDEX(Turmas!C2:C106,MATCH(D88,Turmas!A2:A106,0))</f>
        <v>Manhã</v>
      </c>
      <c r="F88" s="14">
        <v>0.0</v>
      </c>
      <c r="G88" s="15">
        <v>2.0</v>
      </c>
      <c r="H88" s="15">
        <v>0.0</v>
      </c>
      <c r="I88" s="16" t="str">
        <f t="shared" si="1"/>
        <v>7-16</v>
      </c>
      <c r="J88" s="16" t="str">
        <f t="shared" si="2"/>
        <v>7-16</v>
      </c>
      <c r="K88" s="16" t="str">
        <f t="shared" si="3"/>
        <v>7-16</v>
      </c>
      <c r="L88" s="16" t="str">
        <f t="shared" si="4"/>
        <v>7-16</v>
      </c>
      <c r="M88" s="16" t="str">
        <f t="shared" si="5"/>
        <v>7-16</v>
      </c>
      <c r="N88" s="16" t="str">
        <f t="shared" si="6"/>
        <v>1-16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235</v>
      </c>
      <c r="B89" s="10" t="s">
        <v>236</v>
      </c>
      <c r="C89" s="11" t="s">
        <v>237</v>
      </c>
      <c r="D89" s="12" t="s">
        <v>238</v>
      </c>
      <c r="E89" s="13" t="str">
        <f t="array" ref="E89">INDEX(Turmas!C2:C106,MATCH(D89,Turmas!A2:A106,0))</f>
        <v>Tarde</v>
      </c>
      <c r="F89" s="14">
        <v>0.0</v>
      </c>
      <c r="G89" s="15">
        <v>3.0</v>
      </c>
      <c r="H89" s="15">
        <v>0.0</v>
      </c>
      <c r="I89" s="16" t="str">
        <f t="shared" si="1"/>
        <v>1-6,13-16</v>
      </c>
      <c r="J89" s="16" t="str">
        <f t="shared" si="2"/>
        <v>1-6,13-16</v>
      </c>
      <c r="K89" s="16" t="str">
        <f t="shared" si="3"/>
        <v>1-6,13-16</v>
      </c>
      <c r="L89" s="16" t="str">
        <f t="shared" si="4"/>
        <v>1-6,13-16</v>
      </c>
      <c r="M89" s="16" t="str">
        <f t="shared" si="5"/>
        <v>1-6,13-16</v>
      </c>
      <c r="N89" s="16" t="str">
        <f t="shared" si="6"/>
        <v>1-16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239</v>
      </c>
      <c r="B90" s="10" t="s">
        <v>240</v>
      </c>
      <c r="C90" s="11" t="s">
        <v>73</v>
      </c>
      <c r="D90" s="12" t="s">
        <v>238</v>
      </c>
      <c r="E90" s="13" t="str">
        <f t="array" ref="E90">INDEX(Turmas!C2:C106,MATCH(D90,Turmas!A2:A106,0))</f>
        <v>Tarde</v>
      </c>
      <c r="F90" s="14">
        <v>0.0</v>
      </c>
      <c r="G90" s="15">
        <v>3.0</v>
      </c>
      <c r="H90" s="15">
        <v>0.0</v>
      </c>
      <c r="I90" s="16" t="str">
        <f t="shared" si="1"/>
        <v>1-6,13-16</v>
      </c>
      <c r="J90" s="16" t="str">
        <f t="shared" si="2"/>
        <v>1-6,13-16</v>
      </c>
      <c r="K90" s="16" t="str">
        <f t="shared" si="3"/>
        <v>1-6,13-16</v>
      </c>
      <c r="L90" s="16" t="str">
        <f t="shared" si="4"/>
        <v>1-6,13-16</v>
      </c>
      <c r="M90" s="16" t="str">
        <f t="shared" si="5"/>
        <v>1-6,13-16</v>
      </c>
      <c r="N90" s="16" t="str">
        <f t="shared" si="6"/>
        <v>1-16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241</v>
      </c>
      <c r="B91" s="10" t="s">
        <v>242</v>
      </c>
      <c r="C91" s="11" t="s">
        <v>243</v>
      </c>
      <c r="D91" s="12" t="s">
        <v>238</v>
      </c>
      <c r="E91" s="13" t="str">
        <f t="array" ref="E91">INDEX(Turmas!C2:C106,MATCH(D91,Turmas!A2:A106,0))</f>
        <v>Tarde</v>
      </c>
      <c r="F91" s="14">
        <v>0.0</v>
      </c>
      <c r="G91" s="15">
        <v>2.0</v>
      </c>
      <c r="H91" s="15">
        <v>0.0</v>
      </c>
      <c r="I91" s="16" t="str">
        <f t="shared" si="1"/>
        <v>1-6,13-16</v>
      </c>
      <c r="J91" s="16" t="str">
        <f t="shared" si="2"/>
        <v>1-6,13-16</v>
      </c>
      <c r="K91" s="16" t="str">
        <f t="shared" si="3"/>
        <v>1-6,13-16</v>
      </c>
      <c r="L91" s="16" t="str">
        <f t="shared" si="4"/>
        <v>1-6,13-16</v>
      </c>
      <c r="M91" s="16" t="str">
        <f t="shared" si="5"/>
        <v>1-6,13-16</v>
      </c>
      <c r="N91" s="16" t="str">
        <f t="shared" si="6"/>
        <v>1-16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244</v>
      </c>
      <c r="B92" s="10" t="s">
        <v>245</v>
      </c>
      <c r="C92" s="11" t="s">
        <v>218</v>
      </c>
      <c r="D92" s="12" t="s">
        <v>238</v>
      </c>
      <c r="E92" s="13" t="str">
        <f t="array" ref="E92">INDEX(Turmas!C2:C106,MATCH(D92,Turmas!A2:A106,0))</f>
        <v>Tarde</v>
      </c>
      <c r="F92" s="14">
        <v>0.0</v>
      </c>
      <c r="G92" s="15">
        <v>4.0</v>
      </c>
      <c r="H92" s="15">
        <v>0.0</v>
      </c>
      <c r="I92" s="16" t="str">
        <f t="shared" si="1"/>
        <v>1-6,13-16</v>
      </c>
      <c r="J92" s="16" t="str">
        <f t="shared" si="2"/>
        <v>1-6,13-16</v>
      </c>
      <c r="K92" s="16" t="str">
        <f t="shared" si="3"/>
        <v>1-6,13-16</v>
      </c>
      <c r="L92" s="16" t="str">
        <f t="shared" si="4"/>
        <v>1-6,13-16</v>
      </c>
      <c r="M92" s="16" t="str">
        <f t="shared" si="5"/>
        <v>1-6,13-16</v>
      </c>
      <c r="N92" s="16" t="str">
        <f t="shared" si="6"/>
        <v>1-16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246</v>
      </c>
      <c r="B93" s="10" t="s">
        <v>117</v>
      </c>
      <c r="C93" s="11" t="s">
        <v>126</v>
      </c>
      <c r="D93" s="12" t="s">
        <v>238</v>
      </c>
      <c r="E93" s="13" t="str">
        <f t="array" ref="E93">INDEX(Turmas!C2:C106,MATCH(D93,Turmas!A2:A106,0))</f>
        <v>Tarde</v>
      </c>
      <c r="F93" s="14">
        <v>0.0</v>
      </c>
      <c r="G93" s="15">
        <v>4.0</v>
      </c>
      <c r="H93" s="15">
        <v>0.0</v>
      </c>
      <c r="I93" s="16" t="str">
        <f t="shared" si="1"/>
        <v>1-6,13-16</v>
      </c>
      <c r="J93" s="16" t="str">
        <f t="shared" si="2"/>
        <v>1-6,13-16</v>
      </c>
      <c r="K93" s="16" t="str">
        <f t="shared" si="3"/>
        <v>1-6,13-16</v>
      </c>
      <c r="L93" s="16" t="str">
        <f t="shared" si="4"/>
        <v>1-6,13-16</v>
      </c>
      <c r="M93" s="16" t="str">
        <f t="shared" si="5"/>
        <v>1-6,13-16</v>
      </c>
      <c r="N93" s="16" t="str">
        <f t="shared" si="6"/>
        <v>1-16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247</v>
      </c>
      <c r="B94" s="10" t="s">
        <v>248</v>
      </c>
      <c r="C94" s="11" t="s">
        <v>157</v>
      </c>
      <c r="D94" s="12" t="s">
        <v>238</v>
      </c>
      <c r="E94" s="13" t="str">
        <f t="array" ref="E94">INDEX(Turmas!C2:C106,MATCH(D94,Turmas!A2:A106,0))</f>
        <v>Tarde</v>
      </c>
      <c r="F94" s="14">
        <v>0.0</v>
      </c>
      <c r="G94" s="15">
        <v>4.0</v>
      </c>
      <c r="H94" s="15">
        <v>0.0</v>
      </c>
      <c r="I94" s="16" t="str">
        <f t="shared" si="1"/>
        <v>1-6,13-16</v>
      </c>
      <c r="J94" s="16" t="str">
        <f t="shared" si="2"/>
        <v>1-6,13-16</v>
      </c>
      <c r="K94" s="16" t="str">
        <f t="shared" si="3"/>
        <v>1-6,13-16</v>
      </c>
      <c r="L94" s="16" t="str">
        <f t="shared" si="4"/>
        <v>1-6,13-16</v>
      </c>
      <c r="M94" s="16" t="str">
        <f t="shared" si="5"/>
        <v>1-6,13-16</v>
      </c>
      <c r="N94" s="16" t="str">
        <f t="shared" si="6"/>
        <v>1-16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249</v>
      </c>
      <c r="B95" s="10" t="s">
        <v>250</v>
      </c>
      <c r="C95" s="11" t="s">
        <v>251</v>
      </c>
      <c r="D95" s="12" t="s">
        <v>238</v>
      </c>
      <c r="E95" s="13" t="str">
        <f t="array" ref="E95">INDEX(Turmas!C2:C106,MATCH(D95,Turmas!A2:A106,0))</f>
        <v>Tarde</v>
      </c>
      <c r="F95" s="14">
        <v>0.0</v>
      </c>
      <c r="G95" s="15">
        <v>4.0</v>
      </c>
      <c r="H95" s="15">
        <v>0.0</v>
      </c>
      <c r="I95" s="16" t="str">
        <f t="shared" si="1"/>
        <v>1-6,13-16</v>
      </c>
      <c r="J95" s="16" t="str">
        <f t="shared" si="2"/>
        <v>1-6,13-16</v>
      </c>
      <c r="K95" s="16" t="str">
        <f t="shared" si="3"/>
        <v>1-6,13-16</v>
      </c>
      <c r="L95" s="16" t="str">
        <f t="shared" si="4"/>
        <v>1-6,13-16</v>
      </c>
      <c r="M95" s="16" t="str">
        <f t="shared" si="5"/>
        <v>1-6,13-16</v>
      </c>
      <c r="N95" s="16" t="str">
        <f t="shared" si="6"/>
        <v>1-16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252</v>
      </c>
      <c r="B96" s="10" t="s">
        <v>253</v>
      </c>
      <c r="C96" s="11" t="s">
        <v>123</v>
      </c>
      <c r="D96" s="12" t="s">
        <v>254</v>
      </c>
      <c r="E96" s="13" t="str">
        <f t="array" ref="E96">INDEX(Turmas!C2:C106,MATCH(D96,Turmas!A2:A106,0))</f>
        <v>Tarde</v>
      </c>
      <c r="F96" s="14">
        <v>0.0</v>
      </c>
      <c r="G96" s="15">
        <v>4.0</v>
      </c>
      <c r="H96" s="15">
        <v>0.0</v>
      </c>
      <c r="I96" s="16" t="str">
        <f t="shared" si="1"/>
        <v>1-6,13-16</v>
      </c>
      <c r="J96" s="16" t="str">
        <f t="shared" si="2"/>
        <v>1-6,13-16</v>
      </c>
      <c r="K96" s="16" t="str">
        <f t="shared" si="3"/>
        <v>1-6,13-16</v>
      </c>
      <c r="L96" s="16" t="str">
        <f t="shared" si="4"/>
        <v>1-6,13-16</v>
      </c>
      <c r="M96" s="16" t="str">
        <f t="shared" si="5"/>
        <v>1-6,13-16</v>
      </c>
      <c r="N96" s="16" t="str">
        <f t="shared" si="6"/>
        <v>1-16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255</v>
      </c>
      <c r="B97" s="10" t="s">
        <v>256</v>
      </c>
      <c r="C97" s="11" t="s">
        <v>120</v>
      </c>
      <c r="D97" s="12" t="s">
        <v>254</v>
      </c>
      <c r="E97" s="13" t="str">
        <f t="array" ref="E97">INDEX(Turmas!C2:C106,MATCH(D97,Turmas!A2:A106,0))</f>
        <v>Tarde</v>
      </c>
      <c r="F97" s="14">
        <v>0.0</v>
      </c>
      <c r="G97" s="15">
        <v>5.0</v>
      </c>
      <c r="H97" s="15">
        <v>0.0</v>
      </c>
      <c r="I97" s="16" t="str">
        <f t="shared" si="1"/>
        <v>1-6,13-16</v>
      </c>
      <c r="J97" s="16" t="str">
        <f t="shared" si="2"/>
        <v>1-6,13-16</v>
      </c>
      <c r="K97" s="16" t="str">
        <f t="shared" si="3"/>
        <v>1-6,13-16</v>
      </c>
      <c r="L97" s="16" t="str">
        <f t="shared" si="4"/>
        <v>1-6,13-16</v>
      </c>
      <c r="M97" s="16" t="str">
        <f t="shared" si="5"/>
        <v>1-6,13-16</v>
      </c>
      <c r="N97" s="16" t="str">
        <f t="shared" si="6"/>
        <v>1-16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257</v>
      </c>
      <c r="B98" s="10" t="s">
        <v>258</v>
      </c>
      <c r="C98" s="11" t="s">
        <v>22</v>
      </c>
      <c r="D98" s="12" t="s">
        <v>254</v>
      </c>
      <c r="E98" s="13" t="str">
        <f t="array" ref="E98">INDEX(Turmas!C2:C106,MATCH(D98,Turmas!A2:A106,0))</f>
        <v>Tarde</v>
      </c>
      <c r="F98" s="14">
        <v>0.0</v>
      </c>
      <c r="G98" s="15">
        <v>2.0</v>
      </c>
      <c r="H98" s="15">
        <v>0.0</v>
      </c>
      <c r="I98" s="16" t="str">
        <f t="shared" si="1"/>
        <v>1-6,13-16</v>
      </c>
      <c r="J98" s="16" t="str">
        <f t="shared" si="2"/>
        <v>1-6,13-16</v>
      </c>
      <c r="K98" s="16" t="str">
        <f t="shared" si="3"/>
        <v>1-6,13-16</v>
      </c>
      <c r="L98" s="16" t="str">
        <f t="shared" si="4"/>
        <v>1-6,13-16</v>
      </c>
      <c r="M98" s="16" t="str">
        <f t="shared" si="5"/>
        <v>1-6,13-16</v>
      </c>
      <c r="N98" s="16" t="str">
        <f t="shared" si="6"/>
        <v>1-16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259</v>
      </c>
      <c r="B99" s="10" t="s">
        <v>260</v>
      </c>
      <c r="C99" s="11" t="s">
        <v>261</v>
      </c>
      <c r="D99" s="12" t="s">
        <v>254</v>
      </c>
      <c r="E99" s="13" t="str">
        <f t="array" ref="E99">INDEX(Turmas!C2:C106,MATCH(D99,Turmas!A2:A106,0))</f>
        <v>Tarde</v>
      </c>
      <c r="F99" s="14">
        <v>0.0</v>
      </c>
      <c r="G99" s="15">
        <v>4.0</v>
      </c>
      <c r="H99" s="15">
        <v>0.0</v>
      </c>
      <c r="I99" s="16" t="str">
        <f t="shared" si="1"/>
        <v>1-6,13-16</v>
      </c>
      <c r="J99" s="16" t="str">
        <f t="shared" si="2"/>
        <v>1-6,13-16</v>
      </c>
      <c r="K99" s="16" t="str">
        <f t="shared" si="3"/>
        <v>1-6,13-16</v>
      </c>
      <c r="L99" s="16" t="str">
        <f t="shared" si="4"/>
        <v>1-6,13-16</v>
      </c>
      <c r="M99" s="16" t="str">
        <f t="shared" si="5"/>
        <v>1-6,13-16</v>
      </c>
      <c r="N99" s="16" t="str">
        <f t="shared" si="6"/>
        <v>1-16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262</v>
      </c>
      <c r="B100" s="10" t="s">
        <v>263</v>
      </c>
      <c r="C100" s="11" t="s">
        <v>264</v>
      </c>
      <c r="D100" s="12" t="s">
        <v>265</v>
      </c>
      <c r="E100" s="13" t="str">
        <f t="array" ref="E100">INDEX(Turmas!C2:C106,MATCH(D100,Turmas!A2:A106,0))</f>
        <v>Tarde</v>
      </c>
      <c r="F100" s="14">
        <v>0.0</v>
      </c>
      <c r="G100" s="15">
        <v>5.0</v>
      </c>
      <c r="H100" s="15">
        <v>0.0</v>
      </c>
      <c r="I100" s="16" t="str">
        <f t="shared" si="1"/>
        <v>1-6,13-16</v>
      </c>
      <c r="J100" s="16" t="str">
        <f t="shared" si="2"/>
        <v>1-6,13-16</v>
      </c>
      <c r="K100" s="16" t="str">
        <f t="shared" si="3"/>
        <v>1-6,13-16</v>
      </c>
      <c r="L100" s="16" t="str">
        <f t="shared" si="4"/>
        <v>1-6,13-16</v>
      </c>
      <c r="M100" s="16" t="str">
        <f t="shared" si="5"/>
        <v>1-6,13-16</v>
      </c>
      <c r="N100" s="16" t="str">
        <f t="shared" si="6"/>
        <v>1-16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266</v>
      </c>
      <c r="B101" s="10" t="s">
        <v>267</v>
      </c>
      <c r="C101" s="11" t="s">
        <v>268</v>
      </c>
      <c r="D101" s="12" t="s">
        <v>269</v>
      </c>
      <c r="E101" s="13" t="str">
        <f t="array" ref="E101">INDEX(Turmas!C2:C106,MATCH(D101,Turmas!A2:A106,0))</f>
        <v>Tarde</v>
      </c>
      <c r="F101" s="14">
        <v>0.0</v>
      </c>
      <c r="G101" s="15">
        <v>4.0</v>
      </c>
      <c r="H101" s="15">
        <v>0.0</v>
      </c>
      <c r="I101" s="16" t="str">
        <f t="shared" si="1"/>
        <v>1-6,13-16</v>
      </c>
      <c r="J101" s="16" t="str">
        <f t="shared" si="2"/>
        <v>1-6,13-16</v>
      </c>
      <c r="K101" s="16" t="str">
        <f t="shared" si="3"/>
        <v>1-6,13-16</v>
      </c>
      <c r="L101" s="16" t="str">
        <f t="shared" si="4"/>
        <v>1-6,13-16</v>
      </c>
      <c r="M101" s="16" t="str">
        <f t="shared" si="5"/>
        <v>1-6,13-16</v>
      </c>
      <c r="N101" s="16" t="str">
        <f t="shared" si="6"/>
        <v>1-16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31</v>
      </c>
      <c r="B102" s="10" t="s">
        <v>32</v>
      </c>
      <c r="C102" s="11" t="s">
        <v>33</v>
      </c>
      <c r="D102" s="12" t="s">
        <v>270</v>
      </c>
      <c r="E102" s="13" t="str">
        <f t="array" ref="E102">INDEX(Turmas!C2:C106,MATCH(D102,Turmas!A2:A106,0))</f>
        <v>Noite</v>
      </c>
      <c r="F102" s="14">
        <v>8.0</v>
      </c>
      <c r="G102" s="15">
        <v>3.0</v>
      </c>
      <c r="H102" s="15">
        <v>0.0</v>
      </c>
      <c r="I102" s="16" t="str">
        <f t="shared" si="1"/>
        <v>1-12</v>
      </c>
      <c r="J102" s="16" t="str">
        <f t="shared" si="2"/>
        <v>1-12</v>
      </c>
      <c r="K102" s="16" t="str">
        <f t="shared" si="3"/>
        <v>1-12</v>
      </c>
      <c r="L102" s="16" t="str">
        <f t="shared" si="4"/>
        <v>1-12</v>
      </c>
      <c r="M102" s="16" t="str">
        <f t="shared" si="5"/>
        <v>1-12</v>
      </c>
      <c r="N102" s="16" t="str">
        <f t="shared" si="6"/>
        <v>0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271</v>
      </c>
      <c r="B103" s="10" t="s">
        <v>88</v>
      </c>
      <c r="C103" s="11" t="s">
        <v>272</v>
      </c>
      <c r="D103" s="12" t="s">
        <v>270</v>
      </c>
      <c r="E103" s="13" t="str">
        <f t="array" ref="E103">INDEX(Turmas!C2:C106,MATCH(D103,Turmas!A2:A106,0))</f>
        <v>Noite</v>
      </c>
      <c r="F103" s="14">
        <v>0.0</v>
      </c>
      <c r="G103" s="15">
        <v>3.0</v>
      </c>
      <c r="H103" s="15">
        <v>0.0</v>
      </c>
      <c r="I103" s="16" t="str">
        <f t="shared" si="1"/>
        <v>1-12</v>
      </c>
      <c r="J103" s="16" t="str">
        <f t="shared" si="2"/>
        <v>1-12</v>
      </c>
      <c r="K103" s="16" t="str">
        <f t="shared" si="3"/>
        <v>1-12</v>
      </c>
      <c r="L103" s="16" t="str">
        <f t="shared" si="4"/>
        <v>1-12</v>
      </c>
      <c r="M103" s="16" t="str">
        <f t="shared" si="5"/>
        <v>1-12</v>
      </c>
      <c r="N103" s="16" t="str">
        <f t="shared" si="6"/>
        <v>0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273</v>
      </c>
      <c r="B104" s="10" t="s">
        <v>274</v>
      </c>
      <c r="C104" s="11" t="s">
        <v>275</v>
      </c>
      <c r="D104" s="12" t="s">
        <v>270</v>
      </c>
      <c r="E104" s="13" t="str">
        <f t="array" ref="E104">INDEX(Turmas!C2:C106,MATCH(D104,Turmas!A2:A106,0))</f>
        <v>Noite</v>
      </c>
      <c r="F104" s="14">
        <v>0.0</v>
      </c>
      <c r="G104" s="15">
        <v>3.0</v>
      </c>
      <c r="H104" s="15">
        <v>0.0</v>
      </c>
      <c r="I104" s="16" t="str">
        <f t="shared" si="1"/>
        <v>1-12</v>
      </c>
      <c r="J104" s="16" t="str">
        <f t="shared" si="2"/>
        <v>1-12</v>
      </c>
      <c r="K104" s="16" t="str">
        <f t="shared" si="3"/>
        <v>1-12</v>
      </c>
      <c r="L104" s="16" t="str">
        <f t="shared" si="4"/>
        <v>1-12</v>
      </c>
      <c r="M104" s="16" t="str">
        <f t="shared" si="5"/>
        <v>1-12</v>
      </c>
      <c r="N104" s="16" t="str">
        <f t="shared" si="6"/>
        <v>0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276</v>
      </c>
      <c r="B105" s="10" t="s">
        <v>277</v>
      </c>
      <c r="C105" s="11" t="s">
        <v>278</v>
      </c>
      <c r="D105" s="12" t="s">
        <v>270</v>
      </c>
      <c r="E105" s="13" t="str">
        <f t="array" ref="E105">INDEX(Turmas!C2:C106,MATCH(D105,Turmas!A2:A106,0))</f>
        <v>Noite</v>
      </c>
      <c r="F105" s="14">
        <v>0.0</v>
      </c>
      <c r="G105" s="15">
        <v>3.0</v>
      </c>
      <c r="H105" s="15">
        <v>0.0</v>
      </c>
      <c r="I105" s="16" t="str">
        <f t="shared" si="1"/>
        <v>1-12</v>
      </c>
      <c r="J105" s="16" t="str">
        <f t="shared" si="2"/>
        <v>1-12</v>
      </c>
      <c r="K105" s="16" t="str">
        <f t="shared" si="3"/>
        <v>1-12</v>
      </c>
      <c r="L105" s="16" t="str">
        <f t="shared" si="4"/>
        <v>1-12</v>
      </c>
      <c r="M105" s="16" t="str">
        <f t="shared" si="5"/>
        <v>1-12</v>
      </c>
      <c r="N105" s="16" t="str">
        <f t="shared" si="6"/>
        <v>0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279</v>
      </c>
      <c r="B106" s="10" t="s">
        <v>280</v>
      </c>
      <c r="C106" s="11" t="s">
        <v>278</v>
      </c>
      <c r="D106" s="12" t="s">
        <v>270</v>
      </c>
      <c r="E106" s="13" t="str">
        <f t="array" ref="E106">INDEX(Turmas!C2:C106,MATCH(D106,Turmas!A2:A106,0))</f>
        <v>Noite</v>
      </c>
      <c r="F106" s="14">
        <v>0.0</v>
      </c>
      <c r="G106" s="15">
        <v>3.0</v>
      </c>
      <c r="H106" s="15">
        <v>0.0</v>
      </c>
      <c r="I106" s="16" t="str">
        <f t="shared" si="1"/>
        <v>1-12</v>
      </c>
      <c r="J106" s="16" t="str">
        <f t="shared" si="2"/>
        <v>1-12</v>
      </c>
      <c r="K106" s="16" t="str">
        <f t="shared" si="3"/>
        <v>1-12</v>
      </c>
      <c r="L106" s="16" t="str">
        <f t="shared" si="4"/>
        <v>1-12</v>
      </c>
      <c r="M106" s="16" t="str">
        <f t="shared" si="5"/>
        <v>1-12</v>
      </c>
      <c r="N106" s="16" t="str">
        <f t="shared" si="6"/>
        <v>0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281</v>
      </c>
      <c r="B107" s="10" t="s">
        <v>282</v>
      </c>
      <c r="C107" s="11" t="s">
        <v>283</v>
      </c>
      <c r="D107" s="22" t="s">
        <v>270</v>
      </c>
      <c r="E107" s="13" t="str">
        <f t="array" ref="E107">INDEX(Turmas!C2:C106,MATCH(D107,Turmas!A2:A106,0))</f>
        <v>Noite</v>
      </c>
      <c r="F107" s="14">
        <v>0.0</v>
      </c>
      <c r="G107" s="15">
        <v>4.0</v>
      </c>
      <c r="H107" s="15">
        <v>0.0</v>
      </c>
      <c r="I107" s="16" t="str">
        <f t="shared" si="1"/>
        <v>1-12</v>
      </c>
      <c r="J107" s="16" t="str">
        <f t="shared" si="2"/>
        <v>1-12</v>
      </c>
      <c r="K107" s="16" t="str">
        <f t="shared" si="3"/>
        <v>1-12</v>
      </c>
      <c r="L107" s="16" t="str">
        <f t="shared" si="4"/>
        <v>1-12</v>
      </c>
      <c r="M107" s="16" t="str">
        <f t="shared" si="5"/>
        <v>1-12</v>
      </c>
      <c r="N107" s="16" t="str">
        <f t="shared" si="6"/>
        <v>0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284</v>
      </c>
      <c r="B108" s="10" t="s">
        <v>285</v>
      </c>
      <c r="C108" s="11" t="s">
        <v>286</v>
      </c>
      <c r="D108" s="22" t="s">
        <v>287</v>
      </c>
      <c r="E108" s="13" t="str">
        <f t="array" ref="E108">INDEX(Turmas!C2:C106,MATCH(D108,Turmas!A2:A106,0))</f>
        <v>Noite</v>
      </c>
      <c r="F108" s="14">
        <v>0.0</v>
      </c>
      <c r="G108" s="15">
        <v>3.0</v>
      </c>
      <c r="H108" s="15">
        <v>0.0</v>
      </c>
      <c r="I108" s="16" t="str">
        <f t="shared" si="1"/>
        <v>1-12</v>
      </c>
      <c r="J108" s="16" t="str">
        <f t="shared" si="2"/>
        <v>1-12</v>
      </c>
      <c r="K108" s="16" t="str">
        <f t="shared" si="3"/>
        <v>1-12</v>
      </c>
      <c r="L108" s="16" t="str">
        <f t="shared" si="4"/>
        <v>1-12</v>
      </c>
      <c r="M108" s="16" t="str">
        <f t="shared" si="5"/>
        <v>1-12</v>
      </c>
      <c r="N108" s="16" t="str">
        <f t="shared" si="6"/>
        <v>0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288</v>
      </c>
      <c r="B109" s="10" t="s">
        <v>289</v>
      </c>
      <c r="C109" s="11" t="s">
        <v>283</v>
      </c>
      <c r="D109" s="22" t="s">
        <v>287</v>
      </c>
      <c r="E109" s="13" t="str">
        <f t="array" ref="E109">INDEX(Turmas!C2:C106,MATCH(D109,Turmas!A2:A106,0))</f>
        <v>Noite</v>
      </c>
      <c r="F109" s="14">
        <v>0.0</v>
      </c>
      <c r="G109" s="15">
        <v>3.0</v>
      </c>
      <c r="H109" s="15">
        <v>0.0</v>
      </c>
      <c r="I109" s="16" t="str">
        <f t="shared" si="1"/>
        <v>1-12</v>
      </c>
      <c r="J109" s="16" t="str">
        <f t="shared" si="2"/>
        <v>1-12</v>
      </c>
      <c r="K109" s="16" t="str">
        <f t="shared" si="3"/>
        <v>1-12</v>
      </c>
      <c r="L109" s="16" t="str">
        <f t="shared" si="4"/>
        <v>1-12</v>
      </c>
      <c r="M109" s="16" t="str">
        <f t="shared" si="5"/>
        <v>1-12</v>
      </c>
      <c r="N109" s="16" t="str">
        <f t="shared" si="6"/>
        <v>0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290</v>
      </c>
      <c r="B110" s="10" t="s">
        <v>291</v>
      </c>
      <c r="C110" s="11" t="s">
        <v>251</v>
      </c>
      <c r="D110" s="22" t="s">
        <v>287</v>
      </c>
      <c r="E110" s="13" t="str">
        <f t="array" ref="E110">INDEX(Turmas!C2:C106,MATCH(D110,Turmas!A2:A106,0))</f>
        <v>Noite</v>
      </c>
      <c r="F110" s="14">
        <v>0.0</v>
      </c>
      <c r="G110" s="15">
        <v>3.0</v>
      </c>
      <c r="H110" s="15">
        <v>0.0</v>
      </c>
      <c r="I110" s="16" t="str">
        <f t="shared" si="1"/>
        <v>1-12</v>
      </c>
      <c r="J110" s="16" t="str">
        <f t="shared" si="2"/>
        <v>1-12</v>
      </c>
      <c r="K110" s="16" t="str">
        <f t="shared" si="3"/>
        <v>1-12</v>
      </c>
      <c r="L110" s="16" t="str">
        <f t="shared" si="4"/>
        <v>1-12</v>
      </c>
      <c r="M110" s="16" t="str">
        <f t="shared" si="5"/>
        <v>1-12</v>
      </c>
      <c r="N110" s="16" t="str">
        <f t="shared" si="6"/>
        <v>0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292</v>
      </c>
      <c r="B111" s="10" t="s">
        <v>293</v>
      </c>
      <c r="C111" s="11" t="s">
        <v>275</v>
      </c>
      <c r="D111" s="22" t="s">
        <v>287</v>
      </c>
      <c r="E111" s="13" t="str">
        <f t="array" ref="E111">INDEX(Turmas!C2:C106,MATCH(D111,Turmas!A2:A106,0))</f>
        <v>Noite</v>
      </c>
      <c r="F111" s="14">
        <v>0.0</v>
      </c>
      <c r="G111" s="15">
        <v>4.0</v>
      </c>
      <c r="H111" s="15">
        <v>0.0</v>
      </c>
      <c r="I111" s="16" t="str">
        <f t="shared" si="1"/>
        <v>1-12</v>
      </c>
      <c r="J111" s="16" t="str">
        <f t="shared" si="2"/>
        <v>1-12</v>
      </c>
      <c r="K111" s="16" t="str">
        <f t="shared" si="3"/>
        <v>1-12</v>
      </c>
      <c r="L111" s="16" t="str">
        <f t="shared" si="4"/>
        <v>1-12</v>
      </c>
      <c r="M111" s="16" t="str">
        <f t="shared" si="5"/>
        <v>1-12</v>
      </c>
      <c r="N111" s="16" t="str">
        <f t="shared" si="6"/>
        <v>0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294</v>
      </c>
      <c r="B112" s="10" t="s">
        <v>295</v>
      </c>
      <c r="C112" s="11" t="s">
        <v>111</v>
      </c>
      <c r="D112" s="22" t="s">
        <v>287</v>
      </c>
      <c r="E112" s="13" t="str">
        <f t="array" ref="E112">INDEX(Turmas!C2:C106,MATCH(D112,Turmas!A2:A106,0))</f>
        <v>Noite</v>
      </c>
      <c r="F112" s="14">
        <v>0.0</v>
      </c>
      <c r="G112" s="15">
        <v>3.0</v>
      </c>
      <c r="H112" s="15">
        <v>0.0</v>
      </c>
      <c r="I112" s="16" t="str">
        <f t="shared" si="1"/>
        <v>1-12</v>
      </c>
      <c r="J112" s="16" t="str">
        <f t="shared" si="2"/>
        <v>1-12</v>
      </c>
      <c r="K112" s="16" t="str">
        <f t="shared" si="3"/>
        <v>1-12</v>
      </c>
      <c r="L112" s="16" t="str">
        <f t="shared" si="4"/>
        <v>1-12</v>
      </c>
      <c r="M112" s="16" t="str">
        <f t="shared" si="5"/>
        <v>1-12</v>
      </c>
      <c r="N112" s="16" t="str">
        <f t="shared" si="6"/>
        <v>0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296</v>
      </c>
      <c r="B113" s="10" t="s">
        <v>297</v>
      </c>
      <c r="C113" s="11" t="s">
        <v>111</v>
      </c>
      <c r="D113" s="22" t="s">
        <v>287</v>
      </c>
      <c r="E113" s="13" t="str">
        <f t="array" ref="E113">INDEX(Turmas!C2:C106,MATCH(D113,Turmas!A2:A106,0))</f>
        <v>Noite</v>
      </c>
      <c r="F113" s="14">
        <v>0.0</v>
      </c>
      <c r="G113" s="15">
        <v>4.0</v>
      </c>
      <c r="H113" s="15">
        <v>0.0</v>
      </c>
      <c r="I113" s="16" t="str">
        <f t="shared" si="1"/>
        <v>1-12</v>
      </c>
      <c r="J113" s="16" t="str">
        <f t="shared" si="2"/>
        <v>1-12</v>
      </c>
      <c r="K113" s="16" t="str">
        <f t="shared" si="3"/>
        <v>1-12</v>
      </c>
      <c r="L113" s="16" t="str">
        <f t="shared" si="4"/>
        <v>1-12</v>
      </c>
      <c r="M113" s="16" t="str">
        <f t="shared" si="5"/>
        <v>1-12</v>
      </c>
      <c r="N113" s="16" t="str">
        <f t="shared" si="6"/>
        <v>0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298</v>
      </c>
      <c r="B114" s="10" t="s">
        <v>299</v>
      </c>
      <c r="C114" s="11" t="s">
        <v>300</v>
      </c>
      <c r="D114" s="22" t="s">
        <v>301</v>
      </c>
      <c r="E114" s="13" t="str">
        <f t="array" ref="E114">INDEX(Turmas!C2:C106,MATCH(D114,Turmas!A2:A106,0))</f>
        <v>Noite</v>
      </c>
      <c r="F114" s="14">
        <v>0.0</v>
      </c>
      <c r="G114" s="15">
        <v>4.0</v>
      </c>
      <c r="H114" s="15">
        <v>0.0</v>
      </c>
      <c r="I114" s="16" t="str">
        <f t="shared" si="1"/>
        <v>1-12</v>
      </c>
      <c r="J114" s="16" t="str">
        <f t="shared" si="2"/>
        <v>1-12</v>
      </c>
      <c r="K114" s="16" t="str">
        <f t="shared" si="3"/>
        <v>1-12</v>
      </c>
      <c r="L114" s="16" t="str">
        <f t="shared" si="4"/>
        <v>1-12</v>
      </c>
      <c r="M114" s="16" t="str">
        <f t="shared" si="5"/>
        <v>1-12</v>
      </c>
      <c r="N114" s="16" t="str">
        <f t="shared" si="6"/>
        <v>0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302</v>
      </c>
      <c r="B115" s="10" t="s">
        <v>303</v>
      </c>
      <c r="C115" s="11" t="s">
        <v>304</v>
      </c>
      <c r="D115" s="22" t="s">
        <v>305</v>
      </c>
      <c r="E115" s="13" t="str">
        <f t="array" ref="E115">INDEX(Turmas!C2:C106,MATCH(D115,Turmas!A2:A106,0))</f>
        <v>Manhã</v>
      </c>
      <c r="F115" s="14">
        <v>0.0</v>
      </c>
      <c r="G115" s="15">
        <v>4.0</v>
      </c>
      <c r="H115" s="15">
        <v>0.0</v>
      </c>
      <c r="I115" s="16" t="str">
        <f t="shared" si="1"/>
        <v>7-16</v>
      </c>
      <c r="J115" s="16" t="str">
        <f t="shared" si="2"/>
        <v>7-16</v>
      </c>
      <c r="K115" s="16" t="str">
        <f t="shared" si="3"/>
        <v>7-16</v>
      </c>
      <c r="L115" s="16" t="str">
        <f t="shared" si="4"/>
        <v>7-16</v>
      </c>
      <c r="M115" s="16" t="str">
        <f t="shared" si="5"/>
        <v>7-16</v>
      </c>
      <c r="N115" s="16" t="str">
        <f t="shared" si="6"/>
        <v>1-16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306</v>
      </c>
      <c r="B116" s="10" t="s">
        <v>153</v>
      </c>
      <c r="C116" s="11" t="s">
        <v>154</v>
      </c>
      <c r="D116" s="22" t="s">
        <v>305</v>
      </c>
      <c r="E116" s="13" t="str">
        <f t="array" ref="E116">INDEX(Turmas!C2:C106,MATCH(D116,Turmas!A2:A106,0))</f>
        <v>Manhã</v>
      </c>
      <c r="F116" s="14">
        <v>0.0</v>
      </c>
      <c r="G116" s="15">
        <v>4.0</v>
      </c>
      <c r="H116" s="15">
        <v>0.0</v>
      </c>
      <c r="I116" s="16" t="str">
        <f t="shared" si="1"/>
        <v>7-16</v>
      </c>
      <c r="J116" s="16" t="str">
        <f t="shared" si="2"/>
        <v>7-16</v>
      </c>
      <c r="K116" s="16" t="str">
        <f t="shared" si="3"/>
        <v>7-16</v>
      </c>
      <c r="L116" s="16" t="str">
        <f t="shared" si="4"/>
        <v>7-16</v>
      </c>
      <c r="M116" s="16" t="str">
        <f t="shared" si="5"/>
        <v>7-16</v>
      </c>
      <c r="N116" s="16" t="str">
        <f t="shared" si="6"/>
        <v>1-16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58</v>
      </c>
      <c r="B117" s="10" t="s">
        <v>32</v>
      </c>
      <c r="C117" s="11" t="s">
        <v>59</v>
      </c>
      <c r="D117" s="22" t="s">
        <v>305</v>
      </c>
      <c r="E117" s="13" t="str">
        <f t="array" ref="E117">INDEX(Turmas!C2:C106,MATCH(D117,Turmas!A2:A106,0))</f>
        <v>Manhã</v>
      </c>
      <c r="F117" s="14">
        <v>0.0</v>
      </c>
      <c r="G117" s="15">
        <v>4.0</v>
      </c>
      <c r="H117" s="15">
        <v>0.0</v>
      </c>
      <c r="I117" s="16" t="str">
        <f t="shared" si="1"/>
        <v>7-16</v>
      </c>
      <c r="J117" s="16" t="str">
        <f t="shared" si="2"/>
        <v>7-16</v>
      </c>
      <c r="K117" s="16" t="str">
        <f t="shared" si="3"/>
        <v>7-16</v>
      </c>
      <c r="L117" s="16" t="str">
        <f t="shared" si="4"/>
        <v>7-16</v>
      </c>
      <c r="M117" s="16" t="str">
        <f t="shared" si="5"/>
        <v>7-16</v>
      </c>
      <c r="N117" s="16" t="str">
        <f t="shared" si="6"/>
        <v>1-16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307</v>
      </c>
      <c r="B118" s="10" t="s">
        <v>308</v>
      </c>
      <c r="C118" s="11" t="s">
        <v>168</v>
      </c>
      <c r="D118" s="22" t="s">
        <v>305</v>
      </c>
      <c r="E118" s="13" t="str">
        <f t="array" ref="E118">INDEX(Turmas!C2:C106,MATCH(D118,Turmas!A2:A106,0))</f>
        <v>Manhã</v>
      </c>
      <c r="F118" s="14">
        <v>0.0</v>
      </c>
      <c r="G118" s="15">
        <v>3.0</v>
      </c>
      <c r="H118" s="15">
        <v>0.0</v>
      </c>
      <c r="I118" s="16" t="str">
        <f t="shared" si="1"/>
        <v>7-16</v>
      </c>
      <c r="J118" s="16" t="str">
        <f t="shared" si="2"/>
        <v>7-16</v>
      </c>
      <c r="K118" s="16" t="str">
        <f t="shared" si="3"/>
        <v>7-16</v>
      </c>
      <c r="L118" s="16" t="str">
        <f t="shared" si="4"/>
        <v>7-16</v>
      </c>
      <c r="M118" s="16" t="str">
        <f t="shared" si="5"/>
        <v>7-16</v>
      </c>
      <c r="N118" s="16" t="str">
        <f t="shared" si="6"/>
        <v>1-16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309</v>
      </c>
      <c r="B119" s="10" t="s">
        <v>197</v>
      </c>
      <c r="C119" s="11" t="s">
        <v>310</v>
      </c>
      <c r="D119" s="22" t="s">
        <v>305</v>
      </c>
      <c r="E119" s="13" t="str">
        <f t="array" ref="E119">INDEX(Turmas!C2:C106,MATCH(D119,Turmas!A2:A106,0))</f>
        <v>Manhã</v>
      </c>
      <c r="F119" s="14">
        <v>0.0</v>
      </c>
      <c r="G119" s="15">
        <v>4.0</v>
      </c>
      <c r="H119" s="15">
        <v>0.0</v>
      </c>
      <c r="I119" s="16" t="str">
        <f t="shared" si="1"/>
        <v>7-16</v>
      </c>
      <c r="J119" s="16" t="str">
        <f t="shared" si="2"/>
        <v>7-16</v>
      </c>
      <c r="K119" s="16" t="str">
        <f t="shared" si="3"/>
        <v>7-16</v>
      </c>
      <c r="L119" s="16" t="str">
        <f t="shared" si="4"/>
        <v>7-16</v>
      </c>
      <c r="M119" s="16" t="str">
        <f t="shared" si="5"/>
        <v>7-16</v>
      </c>
      <c r="N119" s="16" t="str">
        <f t="shared" si="6"/>
        <v>1-16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311</v>
      </c>
      <c r="B120" s="10" t="s">
        <v>179</v>
      </c>
      <c r="C120" s="11"/>
      <c r="D120" s="22" t="s">
        <v>305</v>
      </c>
      <c r="E120" s="13" t="str">
        <f t="array" ref="E120">INDEX(Turmas!C2:C106,MATCH(D120,Turmas!A2:A106,0))</f>
        <v>Manhã</v>
      </c>
      <c r="F120" s="14">
        <v>0.0</v>
      </c>
      <c r="G120" s="15">
        <v>0.0</v>
      </c>
      <c r="H120" s="15">
        <v>0.0</v>
      </c>
      <c r="I120" s="16" t="str">
        <f t="shared" si="1"/>
        <v>7-16</v>
      </c>
      <c r="J120" s="16" t="str">
        <f t="shared" si="2"/>
        <v>7-16</v>
      </c>
      <c r="K120" s="16" t="str">
        <f t="shared" si="3"/>
        <v>7-16</v>
      </c>
      <c r="L120" s="16" t="str">
        <f t="shared" si="4"/>
        <v>7-16</v>
      </c>
      <c r="M120" s="16" t="str">
        <f t="shared" si="5"/>
        <v>7-16</v>
      </c>
      <c r="N120" s="16" t="str">
        <f t="shared" si="6"/>
        <v>1-16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312</v>
      </c>
      <c r="B121" s="10" t="s">
        <v>313</v>
      </c>
      <c r="C121" s="11" t="s">
        <v>275</v>
      </c>
      <c r="D121" s="22" t="s">
        <v>314</v>
      </c>
      <c r="E121" s="13" t="str">
        <f t="array" ref="E121">INDEX(Turmas!C2:C106,MATCH(D121,Turmas!A2:A106,0))</f>
        <v>Tarde</v>
      </c>
      <c r="F121" s="14">
        <v>0.0</v>
      </c>
      <c r="G121" s="15">
        <v>4.0</v>
      </c>
      <c r="H121" s="15">
        <v>0.0</v>
      </c>
      <c r="I121" s="16" t="str">
        <f t="shared" si="1"/>
        <v>1-6,13-16</v>
      </c>
      <c r="J121" s="16" t="str">
        <f t="shared" si="2"/>
        <v>1-6,13-16</v>
      </c>
      <c r="K121" s="16" t="str">
        <f t="shared" si="3"/>
        <v>1-6,13-16</v>
      </c>
      <c r="L121" s="16" t="str">
        <f t="shared" si="4"/>
        <v>1-6,13-16</v>
      </c>
      <c r="M121" s="16" t="str">
        <f t="shared" si="5"/>
        <v>1-6,13-16</v>
      </c>
      <c r="N121" s="16" t="str">
        <f t="shared" si="6"/>
        <v>1-16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315</v>
      </c>
      <c r="B122" s="10" t="s">
        <v>316</v>
      </c>
      <c r="C122" s="11" t="s">
        <v>317</v>
      </c>
      <c r="D122" s="22" t="s">
        <v>314</v>
      </c>
      <c r="E122" s="13" t="str">
        <f t="array" ref="E122">INDEX(Turmas!C2:C106,MATCH(D122,Turmas!A2:A106,0))</f>
        <v>Tarde</v>
      </c>
      <c r="F122" s="14">
        <v>0.0</v>
      </c>
      <c r="G122" s="15">
        <v>4.0</v>
      </c>
      <c r="H122" s="15">
        <v>0.0</v>
      </c>
      <c r="I122" s="16" t="str">
        <f t="shared" si="1"/>
        <v>1-6,13-16</v>
      </c>
      <c r="J122" s="16" t="str">
        <f t="shared" si="2"/>
        <v>1-6,13-16</v>
      </c>
      <c r="K122" s="16" t="str">
        <f t="shared" si="3"/>
        <v>1-6,13-16</v>
      </c>
      <c r="L122" s="16" t="str">
        <f t="shared" si="4"/>
        <v>1-6,13-16</v>
      </c>
      <c r="M122" s="16" t="str">
        <f t="shared" si="5"/>
        <v>1-6,13-16</v>
      </c>
      <c r="N122" s="16" t="str">
        <f t="shared" si="6"/>
        <v>1-16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318</v>
      </c>
      <c r="B123" s="10" t="s">
        <v>319</v>
      </c>
      <c r="C123" s="11" t="s">
        <v>163</v>
      </c>
      <c r="D123" s="22" t="s">
        <v>314</v>
      </c>
      <c r="E123" s="13" t="str">
        <f t="array" ref="E123">INDEX(Turmas!C2:C106,MATCH(D123,Turmas!A2:A106,0))</f>
        <v>Tarde</v>
      </c>
      <c r="F123" s="14">
        <v>0.0</v>
      </c>
      <c r="G123" s="15">
        <v>4.0</v>
      </c>
      <c r="H123" s="15">
        <v>0.0</v>
      </c>
      <c r="I123" s="16" t="str">
        <f t="shared" si="1"/>
        <v>1-6,13-16</v>
      </c>
      <c r="J123" s="16" t="str">
        <f t="shared" si="2"/>
        <v>1-6,13-16</v>
      </c>
      <c r="K123" s="16" t="str">
        <f t="shared" si="3"/>
        <v>1-6,13-16</v>
      </c>
      <c r="L123" s="16" t="str">
        <f t="shared" si="4"/>
        <v>1-6,13-16</v>
      </c>
      <c r="M123" s="16" t="str">
        <f t="shared" si="5"/>
        <v>1-6,13-16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320</v>
      </c>
      <c r="B124" s="10" t="s">
        <v>321</v>
      </c>
      <c r="C124" s="11" t="s">
        <v>322</v>
      </c>
      <c r="D124" s="22" t="s">
        <v>314</v>
      </c>
      <c r="E124" s="13" t="str">
        <f t="array" ref="E124">INDEX(Turmas!C2:C106,MATCH(D124,Turmas!A2:A106,0))</f>
        <v>Tarde</v>
      </c>
      <c r="F124" s="14">
        <v>0.0</v>
      </c>
      <c r="G124" s="15">
        <v>5.0</v>
      </c>
      <c r="H124" s="15">
        <v>0.0</v>
      </c>
      <c r="I124" s="16" t="str">
        <f t="shared" si="1"/>
        <v>1-6,13-16</v>
      </c>
      <c r="J124" s="16" t="str">
        <f t="shared" si="2"/>
        <v>1-6,13-16</v>
      </c>
      <c r="K124" s="16" t="str">
        <f t="shared" si="3"/>
        <v>1-6,13-16</v>
      </c>
      <c r="L124" s="16" t="str">
        <f t="shared" si="4"/>
        <v>1-6,13-16</v>
      </c>
      <c r="M124" s="16" t="str">
        <f t="shared" si="5"/>
        <v>1-6,13-16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323</v>
      </c>
      <c r="B125" s="10" t="s">
        <v>173</v>
      </c>
      <c r="C125" s="11" t="s">
        <v>278</v>
      </c>
      <c r="D125" s="22" t="s">
        <v>314</v>
      </c>
      <c r="E125" s="13" t="str">
        <f t="array" ref="E125">INDEX(Turmas!C2:C106,MATCH(D125,Turmas!A2:A106,0))</f>
        <v>Tarde</v>
      </c>
      <c r="F125" s="14">
        <v>0.0</v>
      </c>
      <c r="G125" s="15">
        <v>3.0</v>
      </c>
      <c r="H125" s="15">
        <v>0.0</v>
      </c>
      <c r="I125" s="16" t="str">
        <f t="shared" si="1"/>
        <v>1-6,13-16</v>
      </c>
      <c r="J125" s="16" t="str">
        <f t="shared" si="2"/>
        <v>1-6,13-16</v>
      </c>
      <c r="K125" s="16" t="str">
        <f t="shared" si="3"/>
        <v>1-6,13-16</v>
      </c>
      <c r="L125" s="16" t="str">
        <f t="shared" si="4"/>
        <v>1-6,13-16</v>
      </c>
      <c r="M125" s="16" t="str">
        <f t="shared" si="5"/>
        <v>1-6,13-16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324</v>
      </c>
      <c r="B126" s="10" t="s">
        <v>325</v>
      </c>
      <c r="C126" s="11" t="s">
        <v>326</v>
      </c>
      <c r="D126" s="22" t="s">
        <v>314</v>
      </c>
      <c r="E126" s="13" t="str">
        <f t="array" ref="E126">INDEX(Turmas!C2:C106,MATCH(D126,Turmas!A2:A106,0))</f>
        <v>Tarde</v>
      </c>
      <c r="F126" s="14">
        <v>0.0</v>
      </c>
      <c r="G126" s="15">
        <v>4.0</v>
      </c>
      <c r="H126" s="15">
        <v>0.0</v>
      </c>
      <c r="I126" s="16" t="str">
        <f t="shared" si="1"/>
        <v>1-6,13-16</v>
      </c>
      <c r="J126" s="16" t="str">
        <f t="shared" si="2"/>
        <v>1-6,13-16</v>
      </c>
      <c r="K126" s="16" t="str">
        <f t="shared" si="3"/>
        <v>1-6,13-16</v>
      </c>
      <c r="L126" s="16" t="str">
        <f t="shared" si="4"/>
        <v>1-6,13-16</v>
      </c>
      <c r="M126" s="16" t="str">
        <f t="shared" si="5"/>
        <v>1-6,13-16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327</v>
      </c>
      <c r="B127" s="10" t="s">
        <v>328</v>
      </c>
      <c r="C127" s="11" t="s">
        <v>329</v>
      </c>
      <c r="D127" s="22" t="s">
        <v>330</v>
      </c>
      <c r="E127" s="13" t="str">
        <f t="array" ref="E127">INDEX(Turmas!C2:C106,MATCH(D127,Turmas!A2:A106,0))</f>
        <v>Manhã</v>
      </c>
      <c r="F127" s="14">
        <v>0.0</v>
      </c>
      <c r="G127" s="15">
        <v>4.0</v>
      </c>
      <c r="H127" s="15">
        <v>0.0</v>
      </c>
      <c r="I127" s="16" t="str">
        <f t="shared" si="1"/>
        <v>7-16</v>
      </c>
      <c r="J127" s="16" t="str">
        <f t="shared" si="2"/>
        <v>7-16</v>
      </c>
      <c r="K127" s="16" t="str">
        <f t="shared" si="3"/>
        <v>7-16</v>
      </c>
      <c r="L127" s="16" t="str">
        <f t="shared" si="4"/>
        <v>7-16</v>
      </c>
      <c r="M127" s="16" t="str">
        <f t="shared" si="5"/>
        <v>7-16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331</v>
      </c>
      <c r="B128" s="10" t="s">
        <v>332</v>
      </c>
      <c r="C128" s="11" t="s">
        <v>333</v>
      </c>
      <c r="D128" s="22" t="s">
        <v>330</v>
      </c>
      <c r="E128" s="13" t="str">
        <f t="array" ref="E128">INDEX(Turmas!C2:C106,MATCH(D128,Turmas!A2:A106,0))</f>
        <v>Manhã</v>
      </c>
      <c r="F128" s="14">
        <v>0.0</v>
      </c>
      <c r="G128" s="15">
        <v>4.0</v>
      </c>
      <c r="H128" s="15">
        <v>0.0</v>
      </c>
      <c r="I128" s="16" t="str">
        <f t="shared" si="1"/>
        <v>7-16</v>
      </c>
      <c r="J128" s="16" t="str">
        <f t="shared" si="2"/>
        <v>7-16</v>
      </c>
      <c r="K128" s="16" t="str">
        <f t="shared" si="3"/>
        <v>7-16</v>
      </c>
      <c r="L128" s="16" t="str">
        <f t="shared" si="4"/>
        <v>7-16</v>
      </c>
      <c r="M128" s="16" t="str">
        <f t="shared" si="5"/>
        <v>7-16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334</v>
      </c>
      <c r="B129" s="10" t="s">
        <v>335</v>
      </c>
      <c r="C129" s="11" t="s">
        <v>251</v>
      </c>
      <c r="D129" s="22" t="s">
        <v>330</v>
      </c>
      <c r="E129" s="13" t="str">
        <f t="array" ref="E129">INDEX(Turmas!C2:C106,MATCH(D129,Turmas!A2:A106,0))</f>
        <v>Manhã</v>
      </c>
      <c r="F129" s="14">
        <v>0.0</v>
      </c>
      <c r="G129" s="15">
        <v>2.0</v>
      </c>
      <c r="H129" s="15">
        <v>0.0</v>
      </c>
      <c r="I129" s="16" t="str">
        <f t="shared" si="1"/>
        <v>7-16</v>
      </c>
      <c r="J129" s="16" t="str">
        <f t="shared" si="2"/>
        <v>7-16</v>
      </c>
      <c r="K129" s="16" t="str">
        <f t="shared" si="3"/>
        <v>7-16</v>
      </c>
      <c r="L129" s="16" t="str">
        <f t="shared" si="4"/>
        <v>7-16</v>
      </c>
      <c r="M129" s="16" t="str">
        <f t="shared" si="5"/>
        <v>7-16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336</v>
      </c>
      <c r="B130" s="10" t="s">
        <v>337</v>
      </c>
      <c r="C130" s="11" t="s">
        <v>333</v>
      </c>
      <c r="D130" s="22" t="s">
        <v>330</v>
      </c>
      <c r="E130" s="13" t="str">
        <f t="array" ref="E130">INDEX(Turmas!C2:C106,MATCH(D130,Turmas!A2:A106,0))</f>
        <v>Manhã</v>
      </c>
      <c r="F130" s="14">
        <v>0.0</v>
      </c>
      <c r="G130" s="15">
        <v>4.0</v>
      </c>
      <c r="H130" s="15">
        <v>0.0</v>
      </c>
      <c r="I130" s="16" t="str">
        <f t="shared" si="1"/>
        <v>7-16</v>
      </c>
      <c r="J130" s="16" t="str">
        <f t="shared" si="2"/>
        <v>7-16</v>
      </c>
      <c r="K130" s="16" t="str">
        <f t="shared" si="3"/>
        <v>7-16</v>
      </c>
      <c r="L130" s="16" t="str">
        <f t="shared" si="4"/>
        <v>7-16</v>
      </c>
      <c r="M130" s="16" t="str">
        <f t="shared" si="5"/>
        <v>7-16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338</v>
      </c>
      <c r="B131" s="10" t="s">
        <v>339</v>
      </c>
      <c r="C131" s="11" t="s">
        <v>340</v>
      </c>
      <c r="D131" s="22" t="s">
        <v>330</v>
      </c>
      <c r="E131" s="13" t="str">
        <f t="array" ref="E131">INDEX(Turmas!C2:C106,MATCH(D131,Turmas!A2:A106,0))</f>
        <v>Manhã</v>
      </c>
      <c r="F131" s="14">
        <v>0.0</v>
      </c>
      <c r="G131" s="15">
        <v>4.0</v>
      </c>
      <c r="H131" s="15">
        <v>0.0</v>
      </c>
      <c r="I131" s="16" t="str">
        <f t="shared" si="1"/>
        <v>7-16</v>
      </c>
      <c r="J131" s="16" t="str">
        <f t="shared" si="2"/>
        <v>7-16</v>
      </c>
      <c r="K131" s="16" t="str">
        <f t="shared" si="3"/>
        <v>7-16</v>
      </c>
      <c r="L131" s="16" t="str">
        <f t="shared" si="4"/>
        <v>7-16</v>
      </c>
      <c r="M131" s="16" t="str">
        <f t="shared" si="5"/>
        <v>7-16</v>
      </c>
      <c r="N131" s="16" t="str">
        <f t="shared" si="6"/>
        <v>1-16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341</v>
      </c>
      <c r="B132" s="10" t="s">
        <v>342</v>
      </c>
      <c r="C132" s="11" t="s">
        <v>154</v>
      </c>
      <c r="D132" s="22" t="s">
        <v>330</v>
      </c>
      <c r="E132" s="13" t="str">
        <f t="array" ref="E132">INDEX(Turmas!C2:C106,MATCH(D132,Turmas!A2:A106,0))</f>
        <v>Manhã</v>
      </c>
      <c r="F132" s="14">
        <v>0.0</v>
      </c>
      <c r="G132" s="15">
        <v>4.0</v>
      </c>
      <c r="H132" s="15">
        <v>0.0</v>
      </c>
      <c r="I132" s="16" t="str">
        <f t="shared" si="1"/>
        <v>7-16</v>
      </c>
      <c r="J132" s="16" t="str">
        <f t="shared" si="2"/>
        <v>7-16</v>
      </c>
      <c r="K132" s="16" t="str">
        <f t="shared" si="3"/>
        <v>7-16</v>
      </c>
      <c r="L132" s="16" t="str">
        <f t="shared" si="4"/>
        <v>7-16</v>
      </c>
      <c r="M132" s="16" t="str">
        <f t="shared" si="5"/>
        <v>7-16</v>
      </c>
      <c r="N132" s="16" t="str">
        <f t="shared" si="6"/>
        <v>1-16</v>
      </c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9" t="s">
        <v>343</v>
      </c>
      <c r="B133" s="10" t="s">
        <v>344</v>
      </c>
      <c r="C133" s="11" t="s">
        <v>345</v>
      </c>
      <c r="D133" s="22" t="s">
        <v>346</v>
      </c>
      <c r="E133" s="13" t="str">
        <f t="array" ref="E133">INDEX(Turmas!C2:C106,MATCH(D133,Turmas!A2:A106,0))</f>
        <v>Tarde</v>
      </c>
      <c r="F133" s="20">
        <v>0.0</v>
      </c>
      <c r="G133" s="15">
        <v>6.0</v>
      </c>
      <c r="H133" s="15">
        <v>0.0</v>
      </c>
      <c r="I133" s="16" t="str">
        <f t="shared" si="1"/>
        <v>1-6,13-16</v>
      </c>
      <c r="J133" s="16" t="str">
        <f t="shared" si="2"/>
        <v>1-6,13-16</v>
      </c>
      <c r="K133" s="16" t="str">
        <f t="shared" si="3"/>
        <v>1-6,13-16</v>
      </c>
      <c r="L133" s="16" t="str">
        <f t="shared" si="4"/>
        <v>1-6,13-16</v>
      </c>
      <c r="M133" s="16" t="str">
        <f t="shared" si="5"/>
        <v>1-6,13-16</v>
      </c>
      <c r="N133" s="16" t="str">
        <f t="shared" si="6"/>
        <v>1-16</v>
      </c>
      <c r="O133" s="21"/>
      <c r="P133" s="21"/>
      <c r="Q133" s="21"/>
      <c r="R133" s="21"/>
      <c r="S133" s="21"/>
      <c r="T133" s="21"/>
      <c r="U133" s="21"/>
      <c r="V133" s="21"/>
      <c r="W133" s="21"/>
    </row>
    <row r="134" ht="14.25" customHeight="1">
      <c r="A134" s="9" t="s">
        <v>347</v>
      </c>
      <c r="B134" s="10" t="s">
        <v>348</v>
      </c>
      <c r="C134" s="11" t="s">
        <v>349</v>
      </c>
      <c r="D134" s="22" t="s">
        <v>346</v>
      </c>
      <c r="E134" s="13" t="str">
        <f t="array" ref="E134">INDEX(Turmas!C2:C106,MATCH(D134,Turmas!A2:A106,0))</f>
        <v>Tarde</v>
      </c>
      <c r="F134" s="14">
        <v>0.0</v>
      </c>
      <c r="G134" s="15">
        <v>4.0</v>
      </c>
      <c r="H134" s="15">
        <v>0.0</v>
      </c>
      <c r="I134" s="16" t="str">
        <f t="shared" si="1"/>
        <v>1-6,13-16</v>
      </c>
      <c r="J134" s="16" t="str">
        <f t="shared" si="2"/>
        <v>1-6,13-16</v>
      </c>
      <c r="K134" s="16" t="str">
        <f t="shared" si="3"/>
        <v>1-6,13-16</v>
      </c>
      <c r="L134" s="16" t="str">
        <f t="shared" si="4"/>
        <v>1-6,13-16</v>
      </c>
      <c r="M134" s="16" t="str">
        <f t="shared" si="5"/>
        <v>1-6,13-16</v>
      </c>
      <c r="N134" s="16" t="str">
        <f t="shared" si="6"/>
        <v>1-16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350</v>
      </c>
      <c r="B135" s="19" t="s">
        <v>351</v>
      </c>
      <c r="C135" s="11" t="s">
        <v>352</v>
      </c>
      <c r="D135" s="22" t="s">
        <v>346</v>
      </c>
      <c r="E135" s="13" t="str">
        <f t="array" ref="E135">INDEX(Turmas!C2:C106,MATCH(D135,Turmas!A2:A106,0))</f>
        <v>Tarde</v>
      </c>
      <c r="F135" s="14">
        <v>0.0</v>
      </c>
      <c r="G135" s="15">
        <v>5.0</v>
      </c>
      <c r="H135" s="15">
        <v>0.0</v>
      </c>
      <c r="I135" s="16" t="str">
        <f t="shared" si="1"/>
        <v>1-6,13-16</v>
      </c>
      <c r="J135" s="16" t="str">
        <f t="shared" si="2"/>
        <v>1-6,13-16</v>
      </c>
      <c r="K135" s="16" t="str">
        <f t="shared" si="3"/>
        <v>1-6,13-16</v>
      </c>
      <c r="L135" s="16" t="str">
        <f t="shared" si="4"/>
        <v>1-6,13-16</v>
      </c>
      <c r="M135" s="16" t="str">
        <f t="shared" si="5"/>
        <v>1-6,13-16</v>
      </c>
      <c r="N135" s="16" t="str">
        <f t="shared" si="6"/>
        <v>1-16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353</v>
      </c>
      <c r="B136" s="19" t="s">
        <v>354</v>
      </c>
      <c r="C136" s="11" t="s">
        <v>111</v>
      </c>
      <c r="D136" s="22" t="s">
        <v>346</v>
      </c>
      <c r="E136" s="13" t="str">
        <f t="array" ref="E136">INDEX(Turmas!C2:C106,MATCH(D136,Turmas!A2:A106,0))</f>
        <v>Tarde</v>
      </c>
      <c r="F136" s="14">
        <v>0.0</v>
      </c>
      <c r="G136" s="15">
        <v>5.0</v>
      </c>
      <c r="H136" s="15">
        <v>0.0</v>
      </c>
      <c r="I136" s="16" t="str">
        <f t="shared" si="1"/>
        <v>1-6,13-16</v>
      </c>
      <c r="J136" s="16" t="str">
        <f t="shared" si="2"/>
        <v>1-6,13-16</v>
      </c>
      <c r="K136" s="16" t="str">
        <f t="shared" si="3"/>
        <v>1-6,13-16</v>
      </c>
      <c r="L136" s="16" t="str">
        <f t="shared" si="4"/>
        <v>1-6,13-16</v>
      </c>
      <c r="M136" s="16" t="str">
        <f t="shared" si="5"/>
        <v>1-6,13-16</v>
      </c>
      <c r="N136" s="16" t="str">
        <f t="shared" si="6"/>
        <v>1-16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355</v>
      </c>
      <c r="B137" s="19" t="s">
        <v>356</v>
      </c>
      <c r="C137" s="11" t="s">
        <v>275</v>
      </c>
      <c r="D137" s="22" t="s">
        <v>346</v>
      </c>
      <c r="E137" s="13" t="str">
        <f t="array" ref="E137">INDEX(Turmas!C2:C106,MATCH(D137,Turmas!A2:A106,0))</f>
        <v>Tarde</v>
      </c>
      <c r="F137" s="14">
        <v>0.0</v>
      </c>
      <c r="G137" s="15">
        <v>5.0</v>
      </c>
      <c r="H137" s="15">
        <v>0.0</v>
      </c>
      <c r="I137" s="16" t="str">
        <f t="shared" si="1"/>
        <v>1-6,13-16</v>
      </c>
      <c r="J137" s="16" t="str">
        <f t="shared" si="2"/>
        <v>1-6,13-16</v>
      </c>
      <c r="K137" s="16" t="str">
        <f t="shared" si="3"/>
        <v>1-6,13-16</v>
      </c>
      <c r="L137" s="16" t="str">
        <f t="shared" si="4"/>
        <v>1-6,13-16</v>
      </c>
      <c r="M137" s="16" t="str">
        <f t="shared" si="5"/>
        <v>1-6,13-16</v>
      </c>
      <c r="N137" s="16" t="str">
        <f t="shared" si="6"/>
        <v>1-16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357</v>
      </c>
      <c r="B138" s="19" t="s">
        <v>358</v>
      </c>
      <c r="C138" s="11" t="s">
        <v>359</v>
      </c>
      <c r="D138" s="22" t="s">
        <v>360</v>
      </c>
      <c r="E138" s="13" t="str">
        <f t="array" ref="E138">INDEX(Turmas!C2:C106,MATCH(D138,Turmas!A2:A106,0))</f>
        <v>Manhã</v>
      </c>
      <c r="F138" s="14">
        <v>0.0</v>
      </c>
      <c r="G138" s="15">
        <v>2.0</v>
      </c>
      <c r="H138" s="15">
        <v>0.0</v>
      </c>
      <c r="I138" s="16" t="str">
        <f t="shared" si="1"/>
        <v>7-16</v>
      </c>
      <c r="J138" s="16" t="str">
        <f t="shared" si="2"/>
        <v>7-16</v>
      </c>
      <c r="K138" s="16" t="str">
        <f t="shared" si="3"/>
        <v>7-16</v>
      </c>
      <c r="L138" s="16" t="str">
        <f t="shared" si="4"/>
        <v>7-16</v>
      </c>
      <c r="M138" s="16" t="str">
        <f t="shared" si="5"/>
        <v>7-16</v>
      </c>
      <c r="N138" s="16" t="str">
        <f t="shared" si="6"/>
        <v>1-16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361</v>
      </c>
      <c r="B139" s="19" t="s">
        <v>362</v>
      </c>
      <c r="C139" s="11" t="s">
        <v>363</v>
      </c>
      <c r="D139" s="22" t="s">
        <v>360</v>
      </c>
      <c r="E139" s="13" t="str">
        <f t="array" ref="E139">INDEX(Turmas!C2:C106,MATCH(D139,Turmas!A2:A106,0))</f>
        <v>Manhã</v>
      </c>
      <c r="F139" s="14">
        <v>0.0</v>
      </c>
      <c r="G139" s="15">
        <v>3.0</v>
      </c>
      <c r="H139" s="15">
        <v>0.0</v>
      </c>
      <c r="I139" s="16" t="str">
        <f t="shared" si="1"/>
        <v>7-16</v>
      </c>
      <c r="J139" s="16" t="str">
        <f t="shared" si="2"/>
        <v>7-16</v>
      </c>
      <c r="K139" s="16" t="str">
        <f t="shared" si="3"/>
        <v>7-16</v>
      </c>
      <c r="L139" s="16" t="str">
        <f t="shared" si="4"/>
        <v>7-16</v>
      </c>
      <c r="M139" s="16" t="str">
        <f t="shared" si="5"/>
        <v>7-16</v>
      </c>
      <c r="N139" s="16" t="str">
        <f t="shared" si="6"/>
        <v>1-16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364</v>
      </c>
      <c r="B140" s="19" t="s">
        <v>182</v>
      </c>
      <c r="C140" s="11" t="s">
        <v>365</v>
      </c>
      <c r="D140" s="22" t="s">
        <v>366</v>
      </c>
      <c r="E140" s="13" t="str">
        <f t="array" ref="E140">INDEX(Turmas!C2:C106,MATCH(D140,Turmas!A2:A106,0))</f>
        <v>Noite</v>
      </c>
      <c r="F140" s="14">
        <v>0.0</v>
      </c>
      <c r="G140" s="15">
        <v>8.0</v>
      </c>
      <c r="H140" s="15">
        <v>0.0</v>
      </c>
      <c r="I140" s="16" t="str">
        <f t="shared" si="1"/>
        <v>1-12</v>
      </c>
      <c r="J140" s="16" t="str">
        <f t="shared" si="2"/>
        <v>1-12</v>
      </c>
      <c r="K140" s="16" t="str">
        <f t="shared" si="3"/>
        <v>1-12</v>
      </c>
      <c r="L140" s="16" t="str">
        <f t="shared" si="4"/>
        <v>1-12</v>
      </c>
      <c r="M140" s="16" t="str">
        <f t="shared" si="5"/>
        <v>1-12</v>
      </c>
      <c r="N140" s="16" t="str">
        <f t="shared" si="6"/>
        <v>0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367</v>
      </c>
      <c r="B141" s="19" t="s">
        <v>368</v>
      </c>
      <c r="C141" s="11" t="s">
        <v>359</v>
      </c>
      <c r="D141" s="22" t="s">
        <v>366</v>
      </c>
      <c r="E141" s="13" t="str">
        <f t="array" ref="E141">INDEX(Turmas!C2:C106,MATCH(D141,Turmas!A2:A106,0))</f>
        <v>Noite</v>
      </c>
      <c r="F141" s="14">
        <v>0.0</v>
      </c>
      <c r="G141" s="15">
        <v>3.0</v>
      </c>
      <c r="H141" s="15">
        <v>0.0</v>
      </c>
      <c r="I141" s="16" t="str">
        <f t="shared" si="1"/>
        <v>1-12</v>
      </c>
      <c r="J141" s="16" t="str">
        <f t="shared" si="2"/>
        <v>1-12</v>
      </c>
      <c r="K141" s="16" t="str">
        <f t="shared" si="3"/>
        <v>1-12</v>
      </c>
      <c r="L141" s="16" t="str">
        <f t="shared" si="4"/>
        <v>1-12</v>
      </c>
      <c r="M141" s="16" t="str">
        <f t="shared" si="5"/>
        <v>1-12</v>
      </c>
      <c r="N141" s="16" t="str">
        <f t="shared" si="6"/>
        <v>0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369</v>
      </c>
      <c r="B142" s="19" t="s">
        <v>370</v>
      </c>
      <c r="C142" s="11" t="s">
        <v>371</v>
      </c>
      <c r="D142" s="22" t="s">
        <v>366</v>
      </c>
      <c r="E142" s="13" t="str">
        <f t="array" ref="E142">INDEX(Turmas!C2:C106,MATCH(D142,Turmas!A2:A106,0))</f>
        <v>Noite</v>
      </c>
      <c r="F142" s="14">
        <v>0.0</v>
      </c>
      <c r="G142" s="15">
        <v>6.0</v>
      </c>
      <c r="H142" s="15">
        <v>0.0</v>
      </c>
      <c r="I142" s="16" t="str">
        <f t="shared" si="1"/>
        <v>1-12</v>
      </c>
      <c r="J142" s="16" t="str">
        <f t="shared" si="2"/>
        <v>1-12</v>
      </c>
      <c r="K142" s="16" t="str">
        <f t="shared" si="3"/>
        <v>1-12</v>
      </c>
      <c r="L142" s="16" t="str">
        <f t="shared" si="4"/>
        <v>1-12</v>
      </c>
      <c r="M142" s="16" t="str">
        <f t="shared" si="5"/>
        <v>1-12</v>
      </c>
      <c r="N142" s="16" t="str">
        <f t="shared" si="6"/>
        <v>0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311</v>
      </c>
      <c r="B143" s="19" t="s">
        <v>179</v>
      </c>
      <c r="C143" s="11" t="s">
        <v>310</v>
      </c>
      <c r="D143" s="22" t="s">
        <v>366</v>
      </c>
      <c r="E143" s="13" t="str">
        <f t="array" ref="E143">INDEX(Turmas!C2:C106,MATCH(D143,Turmas!A2:A106,0))</f>
        <v>Noite</v>
      </c>
      <c r="F143" s="14">
        <v>0.0</v>
      </c>
      <c r="G143" s="15">
        <v>7.0</v>
      </c>
      <c r="H143" s="15">
        <v>0.0</v>
      </c>
      <c r="I143" s="16" t="str">
        <f t="shared" si="1"/>
        <v>1-12</v>
      </c>
      <c r="J143" s="16" t="str">
        <f t="shared" si="2"/>
        <v>1-12</v>
      </c>
      <c r="K143" s="16" t="str">
        <f t="shared" si="3"/>
        <v>1-12</v>
      </c>
      <c r="L143" s="16" t="str">
        <f t="shared" si="4"/>
        <v>1-12</v>
      </c>
      <c r="M143" s="16" t="str">
        <f t="shared" si="5"/>
        <v>1-12</v>
      </c>
      <c r="N143" s="16" t="str">
        <f t="shared" si="6"/>
        <v>0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372</v>
      </c>
      <c r="B144" s="19" t="s">
        <v>373</v>
      </c>
      <c r="C144" s="11" t="s">
        <v>374</v>
      </c>
      <c r="D144" s="22" t="s">
        <v>366</v>
      </c>
      <c r="E144" s="13" t="str">
        <f t="array" ref="E144">INDEX(Turmas!C2:C106,MATCH(D144,Turmas!A2:A106,0))</f>
        <v>Noite</v>
      </c>
      <c r="F144" s="14">
        <v>0.0</v>
      </c>
      <c r="G144" s="15">
        <v>8.0</v>
      </c>
      <c r="H144" s="15">
        <v>0.0</v>
      </c>
      <c r="I144" s="16" t="str">
        <f t="shared" si="1"/>
        <v>1-12</v>
      </c>
      <c r="J144" s="16" t="str">
        <f t="shared" si="2"/>
        <v>1-12</v>
      </c>
      <c r="K144" s="16" t="str">
        <f t="shared" si="3"/>
        <v>1-12</v>
      </c>
      <c r="L144" s="16" t="str">
        <f t="shared" si="4"/>
        <v>1-12</v>
      </c>
      <c r="M144" s="16" t="str">
        <f t="shared" si="5"/>
        <v>1-12</v>
      </c>
      <c r="N144" s="16" t="str">
        <f t="shared" si="6"/>
        <v>0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375</v>
      </c>
      <c r="B145" s="19" t="s">
        <v>376</v>
      </c>
      <c r="C145" s="11" t="s">
        <v>377</v>
      </c>
      <c r="D145" s="22" t="s">
        <v>378</v>
      </c>
      <c r="E145" s="13" t="str">
        <f t="array" ref="E145">INDEX(Turmas!C2:C106,MATCH(D145,Turmas!A2:A106,0))</f>
        <v>Noite</v>
      </c>
      <c r="F145" s="14">
        <v>0.0</v>
      </c>
      <c r="G145" s="15">
        <v>8.0</v>
      </c>
      <c r="H145" s="15">
        <v>0.0</v>
      </c>
      <c r="I145" s="16" t="str">
        <f t="shared" si="1"/>
        <v>1-12</v>
      </c>
      <c r="J145" s="16" t="str">
        <f t="shared" si="2"/>
        <v>1-12</v>
      </c>
      <c r="K145" s="16" t="str">
        <f t="shared" si="3"/>
        <v>1-12</v>
      </c>
      <c r="L145" s="16" t="str">
        <f t="shared" si="4"/>
        <v>1-12</v>
      </c>
      <c r="M145" s="16" t="str">
        <f t="shared" si="5"/>
        <v>1-12</v>
      </c>
      <c r="N145" s="16" t="str">
        <f t="shared" si="6"/>
        <v>0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379</v>
      </c>
      <c r="B146" s="19" t="s">
        <v>380</v>
      </c>
      <c r="C146" s="11" t="s">
        <v>381</v>
      </c>
      <c r="D146" s="22" t="s">
        <v>378</v>
      </c>
      <c r="E146" s="13" t="str">
        <f t="array" ref="E146">INDEX(Turmas!C2:C106,MATCH(D146,Turmas!A2:A106,0))</f>
        <v>Noite</v>
      </c>
      <c r="F146" s="14">
        <v>0.0</v>
      </c>
      <c r="G146" s="15">
        <v>4.0</v>
      </c>
      <c r="H146" s="15">
        <v>0.0</v>
      </c>
      <c r="I146" s="16" t="str">
        <f t="shared" si="1"/>
        <v>1-12</v>
      </c>
      <c r="J146" s="16" t="str">
        <f t="shared" si="2"/>
        <v>1-12</v>
      </c>
      <c r="K146" s="16" t="str">
        <f t="shared" si="3"/>
        <v>1-12</v>
      </c>
      <c r="L146" s="16" t="str">
        <f t="shared" si="4"/>
        <v>1-12</v>
      </c>
      <c r="M146" s="16" t="str">
        <f t="shared" si="5"/>
        <v>1-12</v>
      </c>
      <c r="N146" s="16" t="str">
        <f t="shared" si="6"/>
        <v>0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382</v>
      </c>
      <c r="B147" s="19" t="s">
        <v>383</v>
      </c>
      <c r="C147" s="11" t="s">
        <v>384</v>
      </c>
      <c r="D147" s="22" t="s">
        <v>378</v>
      </c>
      <c r="E147" s="13" t="str">
        <f t="array" ref="E147">INDEX(Turmas!C2:C106,MATCH(D147,Turmas!A2:A106,0))</f>
        <v>Noite</v>
      </c>
      <c r="F147" s="14">
        <v>0.0</v>
      </c>
      <c r="G147" s="15">
        <v>4.0</v>
      </c>
      <c r="H147" s="15">
        <v>0.0</v>
      </c>
      <c r="I147" s="16" t="str">
        <f t="shared" si="1"/>
        <v>1-12</v>
      </c>
      <c r="J147" s="16" t="str">
        <f t="shared" si="2"/>
        <v>1-12</v>
      </c>
      <c r="K147" s="16" t="str">
        <f t="shared" si="3"/>
        <v>1-12</v>
      </c>
      <c r="L147" s="16" t="str">
        <f t="shared" si="4"/>
        <v>1-12</v>
      </c>
      <c r="M147" s="16" t="str">
        <f t="shared" si="5"/>
        <v>1-12</v>
      </c>
      <c r="N147" s="16" t="str">
        <f t="shared" si="6"/>
        <v>0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385</v>
      </c>
      <c r="B148" s="19" t="s">
        <v>156</v>
      </c>
      <c r="C148" s="11" t="s">
        <v>386</v>
      </c>
      <c r="D148" s="22" t="s">
        <v>378</v>
      </c>
      <c r="E148" s="13" t="str">
        <f t="array" ref="E148">INDEX(Turmas!C2:C106,MATCH(D148,Turmas!A2:A106,0))</f>
        <v>Noite</v>
      </c>
      <c r="F148" s="14">
        <v>0.0</v>
      </c>
      <c r="G148" s="15">
        <v>3.0</v>
      </c>
      <c r="H148" s="15">
        <v>0.0</v>
      </c>
      <c r="I148" s="16" t="str">
        <f t="shared" si="1"/>
        <v>1-12</v>
      </c>
      <c r="J148" s="16" t="str">
        <f t="shared" si="2"/>
        <v>1-12</v>
      </c>
      <c r="K148" s="16" t="str">
        <f t="shared" si="3"/>
        <v>1-12</v>
      </c>
      <c r="L148" s="16" t="str">
        <f t="shared" si="4"/>
        <v>1-12</v>
      </c>
      <c r="M148" s="16" t="str">
        <f t="shared" si="5"/>
        <v>1-12</v>
      </c>
      <c r="N148" s="16" t="str">
        <f t="shared" si="6"/>
        <v>0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387</v>
      </c>
      <c r="B149" s="19" t="s">
        <v>388</v>
      </c>
      <c r="C149" s="11" t="s">
        <v>389</v>
      </c>
      <c r="D149" s="22" t="s">
        <v>378</v>
      </c>
      <c r="E149" s="13" t="str">
        <f t="array" ref="E149">INDEX(Turmas!C2:C106,MATCH(D149,Turmas!A2:A106,0))</f>
        <v>Noite</v>
      </c>
      <c r="F149" s="14">
        <v>0.0</v>
      </c>
      <c r="G149" s="15">
        <v>7.0</v>
      </c>
      <c r="H149" s="15">
        <v>0.0</v>
      </c>
      <c r="I149" s="16" t="str">
        <f t="shared" si="1"/>
        <v>1-12</v>
      </c>
      <c r="J149" s="16" t="str">
        <f t="shared" si="2"/>
        <v>1-12</v>
      </c>
      <c r="K149" s="16" t="str">
        <f t="shared" si="3"/>
        <v>1-12</v>
      </c>
      <c r="L149" s="16" t="str">
        <f t="shared" si="4"/>
        <v>1-12</v>
      </c>
      <c r="M149" s="16" t="str">
        <f t="shared" si="5"/>
        <v>1-12</v>
      </c>
      <c r="N149" s="16" t="str">
        <f t="shared" si="6"/>
        <v>0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390</v>
      </c>
      <c r="B150" s="19" t="s">
        <v>391</v>
      </c>
      <c r="C150" s="11" t="s">
        <v>392</v>
      </c>
      <c r="D150" s="22" t="s">
        <v>393</v>
      </c>
      <c r="E150" s="13" t="str">
        <f t="array" ref="E150">INDEX(Turmas!C2:C106,MATCH(D150,Turmas!A2:A106,0))</f>
        <v>Noite</v>
      </c>
      <c r="F150" s="14">
        <v>0.0</v>
      </c>
      <c r="G150" s="15">
        <v>6.0</v>
      </c>
      <c r="H150" s="15">
        <v>0.0</v>
      </c>
      <c r="I150" s="16" t="str">
        <f t="shared" si="1"/>
        <v>1-12</v>
      </c>
      <c r="J150" s="16" t="str">
        <f t="shared" si="2"/>
        <v>1-12</v>
      </c>
      <c r="K150" s="16" t="str">
        <f t="shared" si="3"/>
        <v>1-12</v>
      </c>
      <c r="L150" s="16" t="str">
        <f t="shared" si="4"/>
        <v>1-12</v>
      </c>
      <c r="M150" s="16" t="str">
        <f t="shared" si="5"/>
        <v>1-12</v>
      </c>
      <c r="N150" s="16" t="str">
        <f t="shared" si="6"/>
        <v>0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394</v>
      </c>
      <c r="B151" s="19" t="s">
        <v>395</v>
      </c>
      <c r="C151" s="11" t="s">
        <v>396</v>
      </c>
      <c r="D151" s="22" t="s">
        <v>393</v>
      </c>
      <c r="E151" s="13" t="str">
        <f t="array" ref="E151">INDEX(Turmas!C2:C106,MATCH(D151,Turmas!A2:A106,0))</f>
        <v>Noite</v>
      </c>
      <c r="F151" s="14">
        <v>0.0</v>
      </c>
      <c r="G151" s="15">
        <v>4.0</v>
      </c>
      <c r="H151" s="15">
        <v>0.0</v>
      </c>
      <c r="I151" s="16" t="str">
        <f t="shared" si="1"/>
        <v>1-12</v>
      </c>
      <c r="J151" s="16" t="str">
        <f t="shared" si="2"/>
        <v>1-12</v>
      </c>
      <c r="K151" s="16" t="str">
        <f t="shared" si="3"/>
        <v>1-12</v>
      </c>
      <c r="L151" s="16" t="str">
        <f t="shared" si="4"/>
        <v>1-12</v>
      </c>
      <c r="M151" s="16" t="str">
        <f t="shared" si="5"/>
        <v>1-12</v>
      </c>
      <c r="N151" s="16" t="str">
        <f t="shared" si="6"/>
        <v>0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397</v>
      </c>
      <c r="B152" s="19" t="s">
        <v>398</v>
      </c>
      <c r="C152" s="11" t="s">
        <v>399</v>
      </c>
      <c r="D152" s="22" t="s">
        <v>393</v>
      </c>
      <c r="E152" s="13" t="str">
        <f t="array" ref="E152">INDEX(Turmas!C2:C106,MATCH(D152,Turmas!A2:A106,0))</f>
        <v>Noite</v>
      </c>
      <c r="F152" s="14">
        <v>0.0</v>
      </c>
      <c r="G152" s="15">
        <v>4.0</v>
      </c>
      <c r="H152" s="15">
        <v>0.0</v>
      </c>
      <c r="I152" s="16" t="str">
        <f t="shared" si="1"/>
        <v>1-12</v>
      </c>
      <c r="J152" s="16" t="str">
        <f t="shared" si="2"/>
        <v>1-12</v>
      </c>
      <c r="K152" s="16" t="str">
        <f t="shared" si="3"/>
        <v>1-12</v>
      </c>
      <c r="L152" s="16" t="str">
        <f t="shared" si="4"/>
        <v>1-12</v>
      </c>
      <c r="M152" s="16" t="str">
        <f t="shared" si="5"/>
        <v>1-12</v>
      </c>
      <c r="N152" s="16" t="str">
        <f t="shared" si="6"/>
        <v>0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400</v>
      </c>
      <c r="B153" s="19" t="s">
        <v>401</v>
      </c>
      <c r="C153" s="11" t="s">
        <v>402</v>
      </c>
      <c r="D153" s="22" t="s">
        <v>393</v>
      </c>
      <c r="E153" s="13" t="str">
        <f t="array" ref="E153">INDEX(Turmas!C2:C106,MATCH(D153,Turmas!A2:A106,0))</f>
        <v>Noite</v>
      </c>
      <c r="F153" s="14">
        <v>0.0</v>
      </c>
      <c r="G153" s="15">
        <v>5.0</v>
      </c>
      <c r="H153" s="15">
        <v>0.0</v>
      </c>
      <c r="I153" s="16" t="str">
        <f t="shared" si="1"/>
        <v>1-12</v>
      </c>
      <c r="J153" s="16" t="str">
        <f t="shared" si="2"/>
        <v>1-12</v>
      </c>
      <c r="K153" s="16" t="str">
        <f t="shared" si="3"/>
        <v>1-12</v>
      </c>
      <c r="L153" s="16" t="str">
        <f t="shared" si="4"/>
        <v>1-12</v>
      </c>
      <c r="M153" s="16" t="str">
        <f t="shared" si="5"/>
        <v>1-12</v>
      </c>
      <c r="N153" s="16" t="str">
        <f t="shared" si="6"/>
        <v>0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403</v>
      </c>
      <c r="B154" s="19" t="s">
        <v>404</v>
      </c>
      <c r="C154" s="11" t="s">
        <v>405</v>
      </c>
      <c r="D154" s="22" t="s">
        <v>406</v>
      </c>
      <c r="E154" s="13" t="str">
        <f t="array" ref="E154">INDEX(Turmas!C2:C106,MATCH(D154,Turmas!A2:A106,0))</f>
        <v>Noite</v>
      </c>
      <c r="F154" s="14">
        <v>0.0</v>
      </c>
      <c r="G154" s="15">
        <v>5.0</v>
      </c>
      <c r="H154" s="15">
        <v>0.0</v>
      </c>
      <c r="I154" s="16" t="str">
        <f t="shared" si="1"/>
        <v>1-12</v>
      </c>
      <c r="J154" s="16" t="str">
        <f t="shared" si="2"/>
        <v>1-12</v>
      </c>
      <c r="K154" s="16" t="str">
        <f t="shared" si="3"/>
        <v>1-12</v>
      </c>
      <c r="L154" s="16" t="str">
        <f t="shared" si="4"/>
        <v>1-12</v>
      </c>
      <c r="M154" s="16" t="str">
        <f t="shared" si="5"/>
        <v>1-12</v>
      </c>
      <c r="N154" s="16" t="str">
        <f t="shared" si="6"/>
        <v>0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407</v>
      </c>
      <c r="B155" s="19" t="s">
        <v>408</v>
      </c>
      <c r="C155" s="11" t="s">
        <v>409</v>
      </c>
      <c r="D155" s="22" t="s">
        <v>406</v>
      </c>
      <c r="E155" s="13" t="str">
        <f t="array" ref="E155">INDEX(Turmas!C2:C106,MATCH(D155,Turmas!A2:A106,0))</f>
        <v>Noite</v>
      </c>
      <c r="F155" s="14">
        <v>0.0</v>
      </c>
      <c r="G155" s="15">
        <v>4.0</v>
      </c>
      <c r="H155" s="15">
        <v>0.0</v>
      </c>
      <c r="I155" s="16" t="str">
        <f t="shared" si="1"/>
        <v>1-12</v>
      </c>
      <c r="J155" s="16" t="str">
        <f t="shared" si="2"/>
        <v>1-12</v>
      </c>
      <c r="K155" s="16" t="str">
        <f t="shared" si="3"/>
        <v>1-12</v>
      </c>
      <c r="L155" s="16" t="str">
        <f t="shared" si="4"/>
        <v>1-12</v>
      </c>
      <c r="M155" s="16" t="str">
        <f t="shared" si="5"/>
        <v>1-12</v>
      </c>
      <c r="N155" s="16" t="str">
        <f t="shared" si="6"/>
        <v>0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410</v>
      </c>
      <c r="B156" s="19" t="s">
        <v>411</v>
      </c>
      <c r="C156" s="11" t="s">
        <v>412</v>
      </c>
      <c r="D156" s="22" t="s">
        <v>406</v>
      </c>
      <c r="E156" s="13" t="str">
        <f t="array" ref="E156">INDEX(Turmas!C2:C106,MATCH(D156,Turmas!A2:A106,0))</f>
        <v>Noite</v>
      </c>
      <c r="F156" s="14">
        <v>0.0</v>
      </c>
      <c r="G156" s="15">
        <v>2.0</v>
      </c>
      <c r="H156" s="15">
        <v>0.0</v>
      </c>
      <c r="I156" s="16" t="str">
        <f t="shared" si="1"/>
        <v>1-12</v>
      </c>
      <c r="J156" s="16" t="str">
        <f t="shared" si="2"/>
        <v>1-12</v>
      </c>
      <c r="K156" s="16" t="str">
        <f t="shared" si="3"/>
        <v>1-12</v>
      </c>
      <c r="L156" s="16" t="str">
        <f t="shared" si="4"/>
        <v>1-12</v>
      </c>
      <c r="M156" s="16" t="str">
        <f t="shared" si="5"/>
        <v>1-12</v>
      </c>
      <c r="N156" s="16" t="str">
        <f t="shared" si="6"/>
        <v>0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413</v>
      </c>
      <c r="B157" s="19" t="s">
        <v>414</v>
      </c>
      <c r="C157" s="11" t="s">
        <v>415</v>
      </c>
      <c r="D157" s="22" t="s">
        <v>406</v>
      </c>
      <c r="E157" s="13" t="str">
        <f t="array" ref="E157">INDEX(Turmas!C2:C106,MATCH(D157,Turmas!A2:A106,0))</f>
        <v>Noite</v>
      </c>
      <c r="F157" s="14">
        <v>0.0</v>
      </c>
      <c r="G157" s="15">
        <v>4.0</v>
      </c>
      <c r="H157" s="15">
        <v>0.0</v>
      </c>
      <c r="I157" s="16" t="str">
        <f t="shared" si="1"/>
        <v>1-12</v>
      </c>
      <c r="J157" s="16" t="str">
        <f t="shared" si="2"/>
        <v>1-12</v>
      </c>
      <c r="K157" s="16" t="str">
        <f t="shared" si="3"/>
        <v>1-12</v>
      </c>
      <c r="L157" s="16" t="str">
        <f t="shared" si="4"/>
        <v>1-12</v>
      </c>
      <c r="M157" s="16" t="str">
        <f t="shared" si="5"/>
        <v>1-12</v>
      </c>
      <c r="N157" s="16" t="str">
        <f t="shared" si="6"/>
        <v>0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416</v>
      </c>
      <c r="B158" s="19" t="s">
        <v>417</v>
      </c>
      <c r="C158" s="11" t="s">
        <v>381</v>
      </c>
      <c r="D158" s="22" t="s">
        <v>418</v>
      </c>
      <c r="E158" s="13" t="str">
        <f t="array" ref="E158">INDEX(Turmas!C2:C106,MATCH(D158,Turmas!A2:A106,0))</f>
        <v>Noite</v>
      </c>
      <c r="F158" s="14">
        <v>0.0</v>
      </c>
      <c r="G158" s="15">
        <v>7.0</v>
      </c>
      <c r="H158" s="15">
        <v>0.0</v>
      </c>
      <c r="I158" s="16" t="str">
        <f t="shared" si="1"/>
        <v>1-12</v>
      </c>
      <c r="J158" s="16" t="str">
        <f t="shared" si="2"/>
        <v>1-12</v>
      </c>
      <c r="K158" s="16" t="str">
        <f t="shared" si="3"/>
        <v>1-12</v>
      </c>
      <c r="L158" s="16" t="str">
        <f t="shared" si="4"/>
        <v>1-12</v>
      </c>
      <c r="M158" s="16" t="str">
        <f t="shared" si="5"/>
        <v>1-12</v>
      </c>
      <c r="N158" s="16" t="str">
        <f t="shared" si="6"/>
        <v>0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419</v>
      </c>
      <c r="B159" s="19" t="s">
        <v>420</v>
      </c>
      <c r="C159" s="11" t="s">
        <v>412</v>
      </c>
      <c r="D159" s="22" t="s">
        <v>421</v>
      </c>
      <c r="E159" s="13" t="str">
        <f t="array" ref="E159">INDEX(Turmas!C2:C106,MATCH(D159,Turmas!A2:A106,0))</f>
        <v>Manhã</v>
      </c>
      <c r="F159" s="14">
        <v>0.0</v>
      </c>
      <c r="G159" s="15">
        <v>2.0</v>
      </c>
      <c r="H159" s="15">
        <v>0.0</v>
      </c>
      <c r="I159" s="16" t="str">
        <f t="shared" si="1"/>
        <v>7-16</v>
      </c>
      <c r="J159" s="16" t="str">
        <f t="shared" si="2"/>
        <v>7-16</v>
      </c>
      <c r="K159" s="16" t="str">
        <f t="shared" si="3"/>
        <v>7-16</v>
      </c>
      <c r="L159" s="16" t="str">
        <f t="shared" si="4"/>
        <v>7-16</v>
      </c>
      <c r="M159" s="16" t="str">
        <f t="shared" si="5"/>
        <v>7-16</v>
      </c>
      <c r="N159" s="16" t="str">
        <f t="shared" si="6"/>
        <v>1-16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422</v>
      </c>
      <c r="B160" s="10" t="s">
        <v>423</v>
      </c>
      <c r="C160" s="11" t="s">
        <v>151</v>
      </c>
      <c r="D160" s="12" t="s">
        <v>421</v>
      </c>
      <c r="E160" s="13" t="str">
        <f t="array" ref="E160">INDEX(Turmas!C2:C106,MATCH(D160,Turmas!A2:A106,0))</f>
        <v>Manhã</v>
      </c>
      <c r="F160" s="14">
        <v>0.0</v>
      </c>
      <c r="G160" s="15">
        <v>4.0</v>
      </c>
      <c r="H160" s="15">
        <v>0.0</v>
      </c>
      <c r="I160" s="16" t="str">
        <f t="shared" si="1"/>
        <v>7-16</v>
      </c>
      <c r="J160" s="16" t="str">
        <f t="shared" si="2"/>
        <v>7-16</v>
      </c>
      <c r="K160" s="16" t="str">
        <f t="shared" si="3"/>
        <v>7-16</v>
      </c>
      <c r="L160" s="16" t="str">
        <f t="shared" si="4"/>
        <v>7-16</v>
      </c>
      <c r="M160" s="16" t="str">
        <f t="shared" si="5"/>
        <v>7-16</v>
      </c>
      <c r="N160" s="16" t="str">
        <f t="shared" si="6"/>
        <v>1-16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424</v>
      </c>
      <c r="B161" s="10" t="s">
        <v>156</v>
      </c>
      <c r="C161" s="11" t="s">
        <v>425</v>
      </c>
      <c r="D161" s="12" t="s">
        <v>421</v>
      </c>
      <c r="E161" s="13" t="str">
        <f t="array" ref="E161">INDEX(Turmas!C2:C106,MATCH(D161,Turmas!A2:A106,0))</f>
        <v>Manhã</v>
      </c>
      <c r="F161" s="14">
        <v>0.0</v>
      </c>
      <c r="G161" s="15">
        <v>2.0</v>
      </c>
      <c r="H161" s="15">
        <v>0.0</v>
      </c>
      <c r="I161" s="16" t="str">
        <f t="shared" si="1"/>
        <v>7-16</v>
      </c>
      <c r="J161" s="16" t="str">
        <f t="shared" si="2"/>
        <v>7-16</v>
      </c>
      <c r="K161" s="16" t="str">
        <f t="shared" si="3"/>
        <v>7-16</v>
      </c>
      <c r="L161" s="16" t="str">
        <f t="shared" si="4"/>
        <v>7-16</v>
      </c>
      <c r="M161" s="16" t="str">
        <f t="shared" si="5"/>
        <v>7-16</v>
      </c>
      <c r="N161" s="16" t="str">
        <f t="shared" si="6"/>
        <v>1-16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426</v>
      </c>
      <c r="B162" s="10" t="s">
        <v>427</v>
      </c>
      <c r="C162" s="11" t="s">
        <v>428</v>
      </c>
      <c r="D162" s="12" t="s">
        <v>421</v>
      </c>
      <c r="E162" s="13" t="str">
        <f t="array" ref="E162">INDEX(Turmas!C2:C106,MATCH(D162,Turmas!A2:A106,0))</f>
        <v>Manhã</v>
      </c>
      <c r="F162" s="14">
        <v>0.0</v>
      </c>
      <c r="G162" s="15">
        <v>5.0</v>
      </c>
      <c r="H162" s="15">
        <v>0.0</v>
      </c>
      <c r="I162" s="16" t="str">
        <f t="shared" si="1"/>
        <v>7-16</v>
      </c>
      <c r="J162" s="16" t="str">
        <f t="shared" si="2"/>
        <v>7-16</v>
      </c>
      <c r="K162" s="16" t="str">
        <f t="shared" si="3"/>
        <v>7-16</v>
      </c>
      <c r="L162" s="16" t="str">
        <f t="shared" si="4"/>
        <v>7-16</v>
      </c>
      <c r="M162" s="16" t="str">
        <f t="shared" si="5"/>
        <v>7-16</v>
      </c>
      <c r="N162" s="16" t="str">
        <f t="shared" si="6"/>
        <v>1-16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429</v>
      </c>
      <c r="B163" s="10" t="s">
        <v>370</v>
      </c>
      <c r="C163" s="11" t="s">
        <v>430</v>
      </c>
      <c r="D163" s="12" t="s">
        <v>421</v>
      </c>
      <c r="E163" s="13" t="str">
        <f t="array" ref="E163">INDEX(Turmas!C2:C106,MATCH(D163,Turmas!A2:A106,0))</f>
        <v>Manhã</v>
      </c>
      <c r="F163" s="14">
        <v>0.0</v>
      </c>
      <c r="G163" s="15">
        <v>5.0</v>
      </c>
      <c r="H163" s="15">
        <v>0.0</v>
      </c>
      <c r="I163" s="16" t="str">
        <f t="shared" si="1"/>
        <v>7-16</v>
      </c>
      <c r="J163" s="16" t="str">
        <f t="shared" si="2"/>
        <v>7-16</v>
      </c>
      <c r="K163" s="16" t="str">
        <f t="shared" si="3"/>
        <v>7-16</v>
      </c>
      <c r="L163" s="16" t="str">
        <f t="shared" si="4"/>
        <v>7-16</v>
      </c>
      <c r="M163" s="16" t="str">
        <f t="shared" si="5"/>
        <v>7-16</v>
      </c>
      <c r="N163" s="16" t="str">
        <f t="shared" si="6"/>
        <v>1-16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311</v>
      </c>
      <c r="B164" s="10" t="s">
        <v>179</v>
      </c>
      <c r="C164" s="11" t="s">
        <v>310</v>
      </c>
      <c r="D164" s="12" t="s">
        <v>421</v>
      </c>
      <c r="E164" s="13" t="str">
        <f t="array" ref="E164">INDEX(Turmas!C2:C106,MATCH(D164,Turmas!A2:A106,0))</f>
        <v>Manhã</v>
      </c>
      <c r="F164" s="14">
        <v>0.0</v>
      </c>
      <c r="G164" s="15">
        <v>5.0</v>
      </c>
      <c r="H164" s="15">
        <v>0.0</v>
      </c>
      <c r="I164" s="16" t="str">
        <f t="shared" si="1"/>
        <v>7-16</v>
      </c>
      <c r="J164" s="16" t="str">
        <f t="shared" si="2"/>
        <v>7-16</v>
      </c>
      <c r="K164" s="16" t="str">
        <f t="shared" si="3"/>
        <v>7-16</v>
      </c>
      <c r="L164" s="16" t="str">
        <f t="shared" si="4"/>
        <v>7-16</v>
      </c>
      <c r="M164" s="16" t="str">
        <f t="shared" si="5"/>
        <v>7-16</v>
      </c>
      <c r="N164" s="16" t="str">
        <f t="shared" si="6"/>
        <v>1-16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431</v>
      </c>
      <c r="B165" s="10" t="s">
        <v>373</v>
      </c>
      <c r="C165" s="11" t="s">
        <v>432</v>
      </c>
      <c r="D165" s="12" t="s">
        <v>421</v>
      </c>
      <c r="E165" s="13" t="str">
        <f t="array" ref="E165">INDEX(Turmas!C2:C106,MATCH(D165,Turmas!A2:A106,0))</f>
        <v>Manhã</v>
      </c>
      <c r="F165" s="14">
        <v>0.0</v>
      </c>
      <c r="G165" s="15">
        <v>7.0</v>
      </c>
      <c r="H165" s="15">
        <v>0.0</v>
      </c>
      <c r="I165" s="16" t="str">
        <f t="shared" si="1"/>
        <v>7-16</v>
      </c>
      <c r="J165" s="16" t="str">
        <f t="shared" si="2"/>
        <v>7-16</v>
      </c>
      <c r="K165" s="16" t="str">
        <f t="shared" si="3"/>
        <v>7-16</v>
      </c>
      <c r="L165" s="16" t="str">
        <f t="shared" si="4"/>
        <v>7-16</v>
      </c>
      <c r="M165" s="16" t="str">
        <f t="shared" si="5"/>
        <v>7-16</v>
      </c>
      <c r="N165" s="16" t="str">
        <f t="shared" si="6"/>
        <v>1-16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379</v>
      </c>
      <c r="B166" s="10" t="s">
        <v>380</v>
      </c>
      <c r="C166" s="11" t="s">
        <v>381</v>
      </c>
      <c r="D166" s="12" t="s">
        <v>433</v>
      </c>
      <c r="E166" s="13" t="str">
        <f t="array" ref="E166">INDEX(Turmas!C2:C106,MATCH(D166,Turmas!A2:A106,0))</f>
        <v>Tarde</v>
      </c>
      <c r="F166" s="14">
        <v>0.0</v>
      </c>
      <c r="G166" s="15">
        <v>4.0</v>
      </c>
      <c r="H166" s="15">
        <v>0.0</v>
      </c>
      <c r="I166" s="16" t="str">
        <f t="shared" si="1"/>
        <v>1-6,13-16</v>
      </c>
      <c r="J166" s="16" t="str">
        <f t="shared" si="2"/>
        <v>1-6,13-16</v>
      </c>
      <c r="K166" s="16" t="str">
        <f t="shared" si="3"/>
        <v>1-6,13-16</v>
      </c>
      <c r="L166" s="16" t="str">
        <f t="shared" si="4"/>
        <v>1-6,13-16</v>
      </c>
      <c r="M166" s="16" t="str">
        <f t="shared" si="5"/>
        <v>1-6,13-16</v>
      </c>
      <c r="N166" s="16" t="str">
        <f t="shared" si="6"/>
        <v>1-16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394</v>
      </c>
      <c r="B167" s="10" t="s">
        <v>395</v>
      </c>
      <c r="C167" s="11" t="s">
        <v>396</v>
      </c>
      <c r="D167" s="12" t="s">
        <v>433</v>
      </c>
      <c r="E167" s="13" t="str">
        <f t="array" ref="E167">INDEX(Turmas!C2:C106,MATCH(D167,Turmas!A2:A106,0))</f>
        <v>Tarde</v>
      </c>
      <c r="F167" s="14">
        <v>0.0</v>
      </c>
      <c r="G167" s="15">
        <v>4.0</v>
      </c>
      <c r="H167" s="15">
        <v>0.0</v>
      </c>
      <c r="I167" s="16" t="str">
        <f t="shared" si="1"/>
        <v>1-6,13-16</v>
      </c>
      <c r="J167" s="16" t="str">
        <f t="shared" si="2"/>
        <v>1-6,13-16</v>
      </c>
      <c r="K167" s="16" t="str">
        <f t="shared" si="3"/>
        <v>1-6,13-16</v>
      </c>
      <c r="L167" s="16" t="str">
        <f t="shared" si="4"/>
        <v>1-6,13-16</v>
      </c>
      <c r="M167" s="16" t="str">
        <f t="shared" si="5"/>
        <v>1-6,13-16</v>
      </c>
      <c r="N167" s="16" t="str">
        <f t="shared" si="6"/>
        <v>1-16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434</v>
      </c>
      <c r="B168" s="10" t="s">
        <v>435</v>
      </c>
      <c r="C168" s="11" t="s">
        <v>386</v>
      </c>
      <c r="D168" s="12" t="s">
        <v>433</v>
      </c>
      <c r="E168" s="13" t="str">
        <f t="array" ref="E168">INDEX(Turmas!C2:C106,MATCH(D168,Turmas!A2:A106,0))</f>
        <v>Tarde</v>
      </c>
      <c r="F168" s="14">
        <v>0.0</v>
      </c>
      <c r="G168" s="15">
        <v>5.0</v>
      </c>
      <c r="H168" s="15">
        <v>0.0</v>
      </c>
      <c r="I168" s="16" t="str">
        <f t="shared" si="1"/>
        <v>1-6,13-16</v>
      </c>
      <c r="J168" s="16" t="str">
        <f t="shared" si="2"/>
        <v>1-6,13-16</v>
      </c>
      <c r="K168" s="16" t="str">
        <f t="shared" si="3"/>
        <v>1-6,13-16</v>
      </c>
      <c r="L168" s="16" t="str">
        <f t="shared" si="4"/>
        <v>1-6,13-16</v>
      </c>
      <c r="M168" s="16" t="str">
        <f t="shared" si="5"/>
        <v>1-6,13-16</v>
      </c>
      <c r="N168" s="16" t="str">
        <f t="shared" si="6"/>
        <v>1-16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436</v>
      </c>
      <c r="B169" s="10" t="s">
        <v>437</v>
      </c>
      <c r="C169" s="11" t="s">
        <v>286</v>
      </c>
      <c r="D169" s="12" t="s">
        <v>433</v>
      </c>
      <c r="E169" s="13" t="str">
        <f t="array" ref="E169">INDEX(Turmas!C2:C106,MATCH(D169,Turmas!A2:A106,0))</f>
        <v>Tarde</v>
      </c>
      <c r="F169" s="14">
        <v>0.0</v>
      </c>
      <c r="G169" s="15">
        <v>5.0</v>
      </c>
      <c r="H169" s="15">
        <v>0.0</v>
      </c>
      <c r="I169" s="16" t="str">
        <f t="shared" si="1"/>
        <v>1-6,13-16</v>
      </c>
      <c r="J169" s="16" t="str">
        <f t="shared" si="2"/>
        <v>1-6,13-16</v>
      </c>
      <c r="K169" s="16" t="str">
        <f t="shared" si="3"/>
        <v>1-6,13-16</v>
      </c>
      <c r="L169" s="16" t="str">
        <f t="shared" si="4"/>
        <v>1-6,13-16</v>
      </c>
      <c r="M169" s="16" t="str">
        <f t="shared" si="5"/>
        <v>1-6,13-16</v>
      </c>
      <c r="N169" s="16" t="str">
        <f t="shared" si="6"/>
        <v>1-16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438</v>
      </c>
      <c r="B170" s="10" t="s">
        <v>439</v>
      </c>
      <c r="C170" s="11" t="s">
        <v>440</v>
      </c>
      <c r="D170" s="12" t="s">
        <v>433</v>
      </c>
      <c r="E170" s="13" t="str">
        <f t="array" ref="E170">INDEX(Turmas!C2:C106,MATCH(D170,Turmas!A2:A106,0))</f>
        <v>Tarde</v>
      </c>
      <c r="F170" s="14">
        <v>0.0</v>
      </c>
      <c r="G170" s="15">
        <v>4.0</v>
      </c>
      <c r="H170" s="15">
        <v>0.0</v>
      </c>
      <c r="I170" s="16" t="str">
        <f t="shared" si="1"/>
        <v>1-6,13-16</v>
      </c>
      <c r="J170" s="16" t="str">
        <f t="shared" si="2"/>
        <v>1-6,13-16</v>
      </c>
      <c r="K170" s="16" t="str">
        <f t="shared" si="3"/>
        <v>1-6,13-16</v>
      </c>
      <c r="L170" s="16" t="str">
        <f t="shared" si="4"/>
        <v>1-6,13-16</v>
      </c>
      <c r="M170" s="16" t="str">
        <f t="shared" si="5"/>
        <v>1-6,13-16</v>
      </c>
      <c r="N170" s="16" t="str">
        <f t="shared" si="6"/>
        <v>1-16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441</v>
      </c>
      <c r="B171" s="10" t="s">
        <v>442</v>
      </c>
      <c r="C171" s="11" t="s">
        <v>443</v>
      </c>
      <c r="D171" s="12" t="s">
        <v>433</v>
      </c>
      <c r="E171" s="13" t="str">
        <f t="array" ref="E171">INDEX(Turmas!C2:C106,MATCH(D171,Turmas!A2:A106,0))</f>
        <v>Tarde</v>
      </c>
      <c r="F171" s="14">
        <v>0.0</v>
      </c>
      <c r="G171" s="15">
        <v>6.0</v>
      </c>
      <c r="H171" s="15">
        <v>0.0</v>
      </c>
      <c r="I171" s="16" t="str">
        <f t="shared" si="1"/>
        <v>1-6,13-16</v>
      </c>
      <c r="J171" s="16" t="str">
        <f t="shared" si="2"/>
        <v>1-6,13-16</v>
      </c>
      <c r="K171" s="16" t="str">
        <f t="shared" si="3"/>
        <v>1-6,13-16</v>
      </c>
      <c r="L171" s="16" t="str">
        <f t="shared" si="4"/>
        <v>1-6,13-16</v>
      </c>
      <c r="M171" s="16" t="str">
        <f t="shared" si="5"/>
        <v>1-6,13-16</v>
      </c>
      <c r="N171" s="16" t="str">
        <f t="shared" si="6"/>
        <v>1-16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444</v>
      </c>
      <c r="B172" s="10" t="s">
        <v>391</v>
      </c>
      <c r="C172" s="11" t="s">
        <v>392</v>
      </c>
      <c r="D172" s="12" t="s">
        <v>445</v>
      </c>
      <c r="E172" s="13" t="str">
        <f t="array" ref="E172">INDEX(Turmas!C2:C106,MATCH(D172,Turmas!A2:A106,0))</f>
        <v>Manhã</v>
      </c>
      <c r="F172" s="14">
        <v>0.0</v>
      </c>
      <c r="G172" s="15">
        <v>5.0</v>
      </c>
      <c r="H172" s="15">
        <v>0.0</v>
      </c>
      <c r="I172" s="16" t="str">
        <f t="shared" si="1"/>
        <v>7-16</v>
      </c>
      <c r="J172" s="16" t="str">
        <f t="shared" si="2"/>
        <v>7-16</v>
      </c>
      <c r="K172" s="16" t="str">
        <f t="shared" si="3"/>
        <v>7-16</v>
      </c>
      <c r="L172" s="16" t="str">
        <f t="shared" si="4"/>
        <v>7-16</v>
      </c>
      <c r="M172" s="16" t="str">
        <f t="shared" si="5"/>
        <v>7-16</v>
      </c>
      <c r="N172" s="16" t="str">
        <f t="shared" si="6"/>
        <v>1-16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446</v>
      </c>
      <c r="B173" s="10" t="s">
        <v>447</v>
      </c>
      <c r="C173" s="11" t="s">
        <v>425</v>
      </c>
      <c r="D173" s="12" t="s">
        <v>445</v>
      </c>
      <c r="E173" s="13" t="str">
        <f t="array" ref="E173">INDEX(Turmas!C2:C106,MATCH(D173,Turmas!A2:A106,0))</f>
        <v>Manhã</v>
      </c>
      <c r="F173" s="14">
        <v>0.0</v>
      </c>
      <c r="G173" s="15">
        <v>3.0</v>
      </c>
      <c r="H173" s="15">
        <v>0.0</v>
      </c>
      <c r="I173" s="16" t="str">
        <f t="shared" si="1"/>
        <v>7-16</v>
      </c>
      <c r="J173" s="16" t="str">
        <f t="shared" si="2"/>
        <v>7-16</v>
      </c>
      <c r="K173" s="16" t="str">
        <f t="shared" si="3"/>
        <v>7-16</v>
      </c>
      <c r="L173" s="16" t="str">
        <f t="shared" si="4"/>
        <v>7-16</v>
      </c>
      <c r="M173" s="16" t="str">
        <f t="shared" si="5"/>
        <v>7-16</v>
      </c>
      <c r="N173" s="16" t="str">
        <f t="shared" si="6"/>
        <v>1-16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448</v>
      </c>
      <c r="B174" s="10" t="s">
        <v>388</v>
      </c>
      <c r="C174" s="11" t="s">
        <v>449</v>
      </c>
      <c r="D174" s="12" t="s">
        <v>445</v>
      </c>
      <c r="E174" s="13" t="str">
        <f t="array" ref="E174">INDEX(Turmas!C2:C106,MATCH(D174,Turmas!A2:A106,0))</f>
        <v>Manhã</v>
      </c>
      <c r="F174" s="14">
        <v>0.0</v>
      </c>
      <c r="G174" s="15">
        <v>5.0</v>
      </c>
      <c r="H174" s="15">
        <v>0.0</v>
      </c>
      <c r="I174" s="16" t="str">
        <f t="shared" si="1"/>
        <v>7-16</v>
      </c>
      <c r="J174" s="16" t="str">
        <f t="shared" si="2"/>
        <v>7-16</v>
      </c>
      <c r="K174" s="16" t="str">
        <f t="shared" si="3"/>
        <v>7-16</v>
      </c>
      <c r="L174" s="16" t="str">
        <f t="shared" si="4"/>
        <v>7-16</v>
      </c>
      <c r="M174" s="16" t="str">
        <f t="shared" si="5"/>
        <v>7-16</v>
      </c>
      <c r="N174" s="16" t="str">
        <f t="shared" si="6"/>
        <v>1-16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450</v>
      </c>
      <c r="B175" s="10" t="s">
        <v>451</v>
      </c>
      <c r="C175" s="11" t="s">
        <v>130</v>
      </c>
      <c r="D175" s="12" t="s">
        <v>445</v>
      </c>
      <c r="E175" s="13" t="str">
        <f t="array" ref="E175">INDEX(Turmas!C2:C106,MATCH(D175,Turmas!A2:A106,0))</f>
        <v>Manhã</v>
      </c>
      <c r="F175" s="14">
        <v>0.0</v>
      </c>
      <c r="G175" s="15">
        <v>3.0</v>
      </c>
      <c r="H175" s="15">
        <v>0.0</v>
      </c>
      <c r="I175" s="16" t="str">
        <f t="shared" si="1"/>
        <v>7-16</v>
      </c>
      <c r="J175" s="16" t="str">
        <f t="shared" si="2"/>
        <v>7-16</v>
      </c>
      <c r="K175" s="16" t="str">
        <f t="shared" si="3"/>
        <v>7-16</v>
      </c>
      <c r="L175" s="16" t="str">
        <f t="shared" si="4"/>
        <v>7-16</v>
      </c>
      <c r="M175" s="16" t="str">
        <f t="shared" si="5"/>
        <v>7-16</v>
      </c>
      <c r="N175" s="16" t="str">
        <f t="shared" si="6"/>
        <v>1-16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452</v>
      </c>
      <c r="B176" s="10" t="s">
        <v>453</v>
      </c>
      <c r="C176" s="11" t="s">
        <v>454</v>
      </c>
      <c r="D176" s="12" t="s">
        <v>445</v>
      </c>
      <c r="E176" s="13" t="str">
        <f t="array" ref="E176">INDEX(Turmas!C2:C106,MATCH(D176,Turmas!A2:A106,0))</f>
        <v>Manhã</v>
      </c>
      <c r="F176" s="14">
        <v>0.0</v>
      </c>
      <c r="G176" s="15">
        <v>4.0</v>
      </c>
      <c r="H176" s="15">
        <v>0.0</v>
      </c>
      <c r="I176" s="16" t="str">
        <f t="shared" si="1"/>
        <v>7-16</v>
      </c>
      <c r="J176" s="16" t="str">
        <f t="shared" si="2"/>
        <v>7-16</v>
      </c>
      <c r="K176" s="16" t="str">
        <f t="shared" si="3"/>
        <v>7-16</v>
      </c>
      <c r="L176" s="16" t="str">
        <f t="shared" si="4"/>
        <v>7-16</v>
      </c>
      <c r="M176" s="16" t="str">
        <f t="shared" si="5"/>
        <v>7-16</v>
      </c>
      <c r="N176" s="16" t="str">
        <f t="shared" si="6"/>
        <v>1-16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455</v>
      </c>
      <c r="B177" s="10" t="s">
        <v>456</v>
      </c>
      <c r="C177" s="11" t="s">
        <v>402</v>
      </c>
      <c r="D177" s="12" t="s">
        <v>445</v>
      </c>
      <c r="E177" s="13" t="str">
        <f t="array" ref="E177">INDEX(Turmas!C2:C106,MATCH(D177,Turmas!A2:A106,0))</f>
        <v>Manhã</v>
      </c>
      <c r="F177" s="14">
        <v>0.0</v>
      </c>
      <c r="G177" s="15">
        <v>4.0</v>
      </c>
      <c r="H177" s="15">
        <v>0.0</v>
      </c>
      <c r="I177" s="16" t="str">
        <f t="shared" si="1"/>
        <v>7-16</v>
      </c>
      <c r="J177" s="16" t="str">
        <f t="shared" si="2"/>
        <v>7-16</v>
      </c>
      <c r="K177" s="16" t="str">
        <f t="shared" si="3"/>
        <v>7-16</v>
      </c>
      <c r="L177" s="16" t="str">
        <f t="shared" si="4"/>
        <v>7-16</v>
      </c>
      <c r="M177" s="16" t="str">
        <f t="shared" si="5"/>
        <v>7-16</v>
      </c>
      <c r="N177" s="16" t="str">
        <f t="shared" si="6"/>
        <v>1-16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457</v>
      </c>
      <c r="B178" s="10" t="s">
        <v>458</v>
      </c>
      <c r="C178" s="11" t="s">
        <v>425</v>
      </c>
      <c r="D178" s="12" t="s">
        <v>459</v>
      </c>
      <c r="E178" s="13" t="str">
        <f t="array" ref="E178">INDEX(Turmas!C2:C106,MATCH(D178,Turmas!A2:A106,0))</f>
        <v>Tarde</v>
      </c>
      <c r="F178" s="14">
        <v>0.0</v>
      </c>
      <c r="G178" s="15">
        <v>3.0</v>
      </c>
      <c r="H178" s="15">
        <v>0.0</v>
      </c>
      <c r="I178" s="16" t="str">
        <f t="shared" si="1"/>
        <v>1-6,13-16</v>
      </c>
      <c r="J178" s="16" t="str">
        <f t="shared" si="2"/>
        <v>1-6,13-16</v>
      </c>
      <c r="K178" s="16" t="str">
        <f t="shared" si="3"/>
        <v>1-6,13-16</v>
      </c>
      <c r="L178" s="16" t="str">
        <f t="shared" si="4"/>
        <v>1-6,13-16</v>
      </c>
      <c r="M178" s="16" t="str">
        <f t="shared" si="5"/>
        <v>1-6,13-16</v>
      </c>
      <c r="N178" s="16" t="str">
        <f t="shared" si="6"/>
        <v>1-16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460</v>
      </c>
      <c r="B179" s="10" t="s">
        <v>461</v>
      </c>
      <c r="C179" s="11" t="s">
        <v>454</v>
      </c>
      <c r="D179" s="12" t="s">
        <v>459</v>
      </c>
      <c r="E179" s="13" t="str">
        <f t="array" ref="E179">INDEX(Turmas!C2:C106,MATCH(D179,Turmas!A2:A106,0))</f>
        <v>Tarde</v>
      </c>
      <c r="F179" s="14">
        <v>0.0</v>
      </c>
      <c r="G179" s="15">
        <v>3.0</v>
      </c>
      <c r="H179" s="15">
        <v>0.0</v>
      </c>
      <c r="I179" s="16" t="str">
        <f t="shared" si="1"/>
        <v>1-6,13-16</v>
      </c>
      <c r="J179" s="16" t="str">
        <f t="shared" si="2"/>
        <v>1-6,13-16</v>
      </c>
      <c r="K179" s="16" t="str">
        <f t="shared" si="3"/>
        <v>1-6,13-16</v>
      </c>
      <c r="L179" s="16" t="str">
        <f t="shared" si="4"/>
        <v>1-6,13-16</v>
      </c>
      <c r="M179" s="16" t="str">
        <f t="shared" si="5"/>
        <v>1-6,13-16</v>
      </c>
      <c r="N179" s="16" t="str">
        <f t="shared" si="6"/>
        <v>1-16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462</v>
      </c>
      <c r="B180" s="10" t="s">
        <v>463</v>
      </c>
      <c r="C180" s="11" t="s">
        <v>237</v>
      </c>
      <c r="D180" s="12" t="s">
        <v>459</v>
      </c>
      <c r="E180" s="13" t="str">
        <f t="array" ref="E180">INDEX(Turmas!C2:C106,MATCH(D180,Turmas!A2:A106,0))</f>
        <v>Tarde</v>
      </c>
      <c r="F180" s="14">
        <v>0.0</v>
      </c>
      <c r="G180" s="15">
        <v>4.0</v>
      </c>
      <c r="H180" s="15">
        <v>0.0</v>
      </c>
      <c r="I180" s="16" t="str">
        <f t="shared" si="1"/>
        <v>1-6,13-16</v>
      </c>
      <c r="J180" s="16" t="str">
        <f t="shared" si="2"/>
        <v>1-6,13-16</v>
      </c>
      <c r="K180" s="16" t="str">
        <f t="shared" si="3"/>
        <v>1-6,13-16</v>
      </c>
      <c r="L180" s="16" t="str">
        <f t="shared" si="4"/>
        <v>1-6,13-16</v>
      </c>
      <c r="M180" s="16" t="str">
        <f t="shared" si="5"/>
        <v>1-6,13-16</v>
      </c>
      <c r="N180" s="16" t="str">
        <f t="shared" si="6"/>
        <v>1-16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464</v>
      </c>
      <c r="B181" s="10" t="s">
        <v>465</v>
      </c>
      <c r="C181" s="11" t="s">
        <v>147</v>
      </c>
      <c r="D181" s="12" t="s">
        <v>459</v>
      </c>
      <c r="E181" s="13" t="str">
        <f t="array" ref="E181">INDEX(Turmas!C2:C106,MATCH(D181,Turmas!A2:A106,0))</f>
        <v>Tarde</v>
      </c>
      <c r="F181" s="14">
        <v>0.0</v>
      </c>
      <c r="G181" s="15">
        <v>2.0</v>
      </c>
      <c r="H181" s="15">
        <v>0.0</v>
      </c>
      <c r="I181" s="16" t="str">
        <f t="shared" si="1"/>
        <v>1-6,13-16</v>
      </c>
      <c r="J181" s="16" t="str">
        <f t="shared" si="2"/>
        <v>1-6,13-16</v>
      </c>
      <c r="K181" s="16" t="str">
        <f t="shared" si="3"/>
        <v>1-6,13-16</v>
      </c>
      <c r="L181" s="16" t="str">
        <f t="shared" si="4"/>
        <v>1-6,13-16</v>
      </c>
      <c r="M181" s="16" t="str">
        <f t="shared" si="5"/>
        <v>1-6,13-16</v>
      </c>
      <c r="N181" s="16" t="str">
        <f t="shared" si="6"/>
        <v>1-16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466</v>
      </c>
      <c r="B182" s="10" t="s">
        <v>229</v>
      </c>
      <c r="C182" s="11" t="s">
        <v>467</v>
      </c>
      <c r="D182" s="12" t="s">
        <v>459</v>
      </c>
      <c r="E182" s="13" t="str">
        <f t="array" ref="E182">INDEX(Turmas!C2:C106,MATCH(D182,Turmas!A2:A106,0))</f>
        <v>Tarde</v>
      </c>
      <c r="F182" s="14">
        <v>0.0</v>
      </c>
      <c r="G182" s="15">
        <v>4.0</v>
      </c>
      <c r="H182" s="15">
        <v>0.0</v>
      </c>
      <c r="I182" s="16" t="str">
        <f t="shared" si="1"/>
        <v>1-6,13-16</v>
      </c>
      <c r="J182" s="16" t="str">
        <f t="shared" si="2"/>
        <v>1-6,13-16</v>
      </c>
      <c r="K182" s="16" t="str">
        <f t="shared" si="3"/>
        <v>1-6,13-16</v>
      </c>
      <c r="L182" s="16" t="str">
        <f t="shared" si="4"/>
        <v>1-6,13-16</v>
      </c>
      <c r="M182" s="16" t="str">
        <f t="shared" si="5"/>
        <v>1-6,13-16</v>
      </c>
      <c r="N182" s="16" t="str">
        <f t="shared" si="6"/>
        <v>1-16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468</v>
      </c>
      <c r="B183" s="10" t="s">
        <v>469</v>
      </c>
      <c r="C183" s="11" t="s">
        <v>157</v>
      </c>
      <c r="D183" s="12" t="s">
        <v>459</v>
      </c>
      <c r="E183" s="13" t="str">
        <f t="array" ref="E183">INDEX(Turmas!C2:C106,MATCH(D183,Turmas!A2:A106,0))</f>
        <v>Tarde</v>
      </c>
      <c r="F183" s="14">
        <v>0.0</v>
      </c>
      <c r="G183" s="15">
        <v>3.0</v>
      </c>
      <c r="H183" s="15">
        <v>0.0</v>
      </c>
      <c r="I183" s="16" t="str">
        <f t="shared" si="1"/>
        <v>1-6,13-16</v>
      </c>
      <c r="J183" s="16" t="str">
        <f t="shared" si="2"/>
        <v>1-6,13-16</v>
      </c>
      <c r="K183" s="16" t="str">
        <f t="shared" si="3"/>
        <v>1-6,13-16</v>
      </c>
      <c r="L183" s="16" t="str">
        <f t="shared" si="4"/>
        <v>1-6,13-16</v>
      </c>
      <c r="M183" s="16" t="str">
        <f t="shared" si="5"/>
        <v>1-6,13-16</v>
      </c>
      <c r="N183" s="16" t="str">
        <f t="shared" si="6"/>
        <v>1-16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470</v>
      </c>
      <c r="B184" s="10" t="s">
        <v>471</v>
      </c>
      <c r="C184" s="11" t="s">
        <v>430</v>
      </c>
      <c r="D184" s="12" t="s">
        <v>459</v>
      </c>
      <c r="E184" s="13" t="str">
        <f t="array" ref="E184">INDEX(Turmas!C2:C106,MATCH(D184,Turmas!A2:A106,0))</f>
        <v>Tarde</v>
      </c>
      <c r="F184" s="14">
        <v>0.0</v>
      </c>
      <c r="G184" s="15">
        <v>4.0</v>
      </c>
      <c r="H184" s="15">
        <v>0.0</v>
      </c>
      <c r="I184" s="16" t="str">
        <f t="shared" si="1"/>
        <v>1-6,13-16</v>
      </c>
      <c r="J184" s="16" t="str">
        <f t="shared" si="2"/>
        <v>1-6,13-16</v>
      </c>
      <c r="K184" s="16" t="str">
        <f t="shared" si="3"/>
        <v>1-6,13-16</v>
      </c>
      <c r="L184" s="16" t="str">
        <f t="shared" si="4"/>
        <v>1-6,13-16</v>
      </c>
      <c r="M184" s="16" t="str">
        <f t="shared" si="5"/>
        <v>1-6,13-16</v>
      </c>
      <c r="N184" s="16" t="str">
        <f t="shared" si="6"/>
        <v>1-16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472</v>
      </c>
      <c r="B185" s="10" t="s">
        <v>411</v>
      </c>
      <c r="C185" s="11" t="s">
        <v>412</v>
      </c>
      <c r="D185" s="12" t="s">
        <v>473</v>
      </c>
      <c r="E185" s="13" t="str">
        <f t="array" ref="E185">INDEX(Turmas!C2:C106,MATCH(D185,Turmas!A2:A106,0))</f>
        <v>Noite</v>
      </c>
      <c r="F185" s="14">
        <v>0.0</v>
      </c>
      <c r="G185" s="15">
        <v>3.0</v>
      </c>
      <c r="H185" s="15">
        <v>0.0</v>
      </c>
      <c r="I185" s="16" t="str">
        <f t="shared" si="1"/>
        <v>1-12</v>
      </c>
      <c r="J185" s="16" t="str">
        <f t="shared" si="2"/>
        <v>1-12</v>
      </c>
      <c r="K185" s="16" t="str">
        <f t="shared" si="3"/>
        <v>1-12</v>
      </c>
      <c r="L185" s="16" t="str">
        <f t="shared" si="4"/>
        <v>1-12</v>
      </c>
      <c r="M185" s="16" t="str">
        <f t="shared" si="5"/>
        <v>1-12</v>
      </c>
      <c r="N185" s="16" t="str">
        <f t="shared" si="6"/>
        <v>0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474</v>
      </c>
      <c r="B186" s="10" t="s">
        <v>475</v>
      </c>
      <c r="C186" s="11" t="s">
        <v>227</v>
      </c>
      <c r="D186" s="12" t="s">
        <v>473</v>
      </c>
      <c r="E186" s="13" t="str">
        <f t="array" ref="E186">INDEX(Turmas!C2:C106,MATCH(D186,Turmas!A2:A106,0))</f>
        <v>Noite</v>
      </c>
      <c r="F186" s="14">
        <v>0.0</v>
      </c>
      <c r="G186" s="15">
        <v>3.0</v>
      </c>
      <c r="H186" s="15">
        <v>0.0</v>
      </c>
      <c r="I186" s="16" t="str">
        <f t="shared" si="1"/>
        <v>1-12</v>
      </c>
      <c r="J186" s="16" t="str">
        <f t="shared" si="2"/>
        <v>1-12</v>
      </c>
      <c r="K186" s="16" t="str">
        <f t="shared" si="3"/>
        <v>1-12</v>
      </c>
      <c r="L186" s="16" t="str">
        <f t="shared" si="4"/>
        <v>1-12</v>
      </c>
      <c r="M186" s="16" t="str">
        <f t="shared" si="5"/>
        <v>1-12</v>
      </c>
      <c r="N186" s="16" t="str">
        <f t="shared" si="6"/>
        <v>0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476</v>
      </c>
      <c r="B187" s="10" t="s">
        <v>453</v>
      </c>
      <c r="C187" s="11" t="s">
        <v>454</v>
      </c>
      <c r="D187" s="22" t="s">
        <v>473</v>
      </c>
      <c r="E187" s="13" t="str">
        <f t="array" ref="E187">INDEX(Turmas!C2:C106,MATCH(D187,Turmas!A2:A106,0))</f>
        <v>Noite</v>
      </c>
      <c r="F187" s="14">
        <v>0.0</v>
      </c>
      <c r="G187" s="15">
        <v>3.0</v>
      </c>
      <c r="H187" s="15">
        <v>0.0</v>
      </c>
      <c r="I187" s="16" t="str">
        <f t="shared" si="1"/>
        <v>1-12</v>
      </c>
      <c r="J187" s="16" t="str">
        <f t="shared" si="2"/>
        <v>1-12</v>
      </c>
      <c r="K187" s="16" t="str">
        <f t="shared" si="3"/>
        <v>1-12</v>
      </c>
      <c r="L187" s="16" t="str">
        <f t="shared" si="4"/>
        <v>1-12</v>
      </c>
      <c r="M187" s="16" t="str">
        <f t="shared" si="5"/>
        <v>1-12</v>
      </c>
      <c r="N187" s="16" t="str">
        <f t="shared" si="6"/>
        <v>0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477</v>
      </c>
      <c r="B188" s="10" t="s">
        <v>478</v>
      </c>
      <c r="C188" s="11" t="s">
        <v>402</v>
      </c>
      <c r="D188" s="22" t="s">
        <v>473</v>
      </c>
      <c r="E188" s="13" t="str">
        <f t="array" ref="E188">INDEX(Turmas!C2:C106,MATCH(D188,Turmas!A2:A106,0))</f>
        <v>Noite</v>
      </c>
      <c r="F188" s="14">
        <v>0.0</v>
      </c>
      <c r="G188" s="15">
        <v>3.0</v>
      </c>
      <c r="H188" s="15">
        <v>0.0</v>
      </c>
      <c r="I188" s="16" t="str">
        <f t="shared" si="1"/>
        <v>1-12</v>
      </c>
      <c r="J188" s="16" t="str">
        <f t="shared" si="2"/>
        <v>1-12</v>
      </c>
      <c r="K188" s="16" t="str">
        <f t="shared" si="3"/>
        <v>1-12</v>
      </c>
      <c r="L188" s="16" t="str">
        <f t="shared" si="4"/>
        <v>1-12</v>
      </c>
      <c r="M188" s="16" t="str">
        <f t="shared" si="5"/>
        <v>1-12</v>
      </c>
      <c r="N188" s="16" t="str">
        <f t="shared" si="6"/>
        <v>0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479</v>
      </c>
      <c r="B189" s="10" t="s">
        <v>401</v>
      </c>
      <c r="C189" s="11" t="s">
        <v>174</v>
      </c>
      <c r="D189" s="22" t="s">
        <v>473</v>
      </c>
      <c r="E189" s="13" t="str">
        <f t="array" ref="E189">INDEX(Turmas!C2:C106,MATCH(D189,Turmas!A2:A106,0))</f>
        <v>Noite</v>
      </c>
      <c r="F189" s="14">
        <v>0.0</v>
      </c>
      <c r="G189" s="15">
        <v>4.0</v>
      </c>
      <c r="H189" s="15">
        <v>0.0</v>
      </c>
      <c r="I189" s="16" t="str">
        <f t="shared" si="1"/>
        <v>1-12</v>
      </c>
      <c r="J189" s="16" t="str">
        <f t="shared" si="2"/>
        <v>1-12</v>
      </c>
      <c r="K189" s="16" t="str">
        <f t="shared" si="3"/>
        <v>1-12</v>
      </c>
      <c r="L189" s="16" t="str">
        <f t="shared" si="4"/>
        <v>1-12</v>
      </c>
      <c r="M189" s="16" t="str">
        <f t="shared" si="5"/>
        <v>1-12</v>
      </c>
      <c r="N189" s="16" t="str">
        <f t="shared" si="6"/>
        <v>0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480</v>
      </c>
      <c r="B190" s="10" t="s">
        <v>481</v>
      </c>
      <c r="C190" s="11" t="s">
        <v>352</v>
      </c>
      <c r="D190" s="22" t="s">
        <v>473</v>
      </c>
      <c r="E190" s="13" t="str">
        <f t="array" ref="E190">INDEX(Turmas!C2:C106,MATCH(D190,Turmas!A2:A106,0))</f>
        <v>Noite</v>
      </c>
      <c r="F190" s="14">
        <v>0.0</v>
      </c>
      <c r="G190" s="15">
        <v>4.0</v>
      </c>
      <c r="H190" s="15">
        <v>0.0</v>
      </c>
      <c r="I190" s="16" t="str">
        <f t="shared" si="1"/>
        <v>1-12</v>
      </c>
      <c r="J190" s="16" t="str">
        <f t="shared" si="2"/>
        <v>1-12</v>
      </c>
      <c r="K190" s="16" t="str">
        <f t="shared" si="3"/>
        <v>1-12</v>
      </c>
      <c r="L190" s="16" t="str">
        <f t="shared" si="4"/>
        <v>1-12</v>
      </c>
      <c r="M190" s="16" t="str">
        <f t="shared" si="5"/>
        <v>1-12</v>
      </c>
      <c r="N190" s="16" t="str">
        <f t="shared" si="6"/>
        <v>0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482</v>
      </c>
      <c r="B191" s="10" t="s">
        <v>483</v>
      </c>
      <c r="C191" s="11" t="s">
        <v>275</v>
      </c>
      <c r="D191" s="22" t="s">
        <v>484</v>
      </c>
      <c r="E191" s="13" t="str">
        <f t="array" ref="E191">INDEX(Turmas!C2:C106,MATCH(D191,Turmas!A2:A106,0))</f>
        <v>Noite</v>
      </c>
      <c r="F191" s="14">
        <v>0.0</v>
      </c>
      <c r="G191" s="15">
        <v>4.0</v>
      </c>
      <c r="H191" s="15">
        <v>0.0</v>
      </c>
      <c r="I191" s="16" t="str">
        <f t="shared" si="1"/>
        <v>1-12</v>
      </c>
      <c r="J191" s="16" t="str">
        <f t="shared" si="2"/>
        <v>1-12</v>
      </c>
      <c r="K191" s="16" t="str">
        <f t="shared" si="3"/>
        <v>1-12</v>
      </c>
      <c r="L191" s="16" t="str">
        <f t="shared" si="4"/>
        <v>1-12</v>
      </c>
      <c r="M191" s="16" t="str">
        <f t="shared" si="5"/>
        <v>1-12</v>
      </c>
      <c r="N191" s="16" t="str">
        <f t="shared" si="6"/>
        <v>0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485</v>
      </c>
      <c r="B192" s="10" t="s">
        <v>486</v>
      </c>
      <c r="C192" s="11" t="s">
        <v>487</v>
      </c>
      <c r="D192" s="22" t="s">
        <v>484</v>
      </c>
      <c r="E192" s="13" t="str">
        <f t="array" ref="E192">INDEX(Turmas!C2:C106,MATCH(D192,Turmas!A2:A106,0))</f>
        <v>Noite</v>
      </c>
      <c r="F192" s="14">
        <v>0.0</v>
      </c>
      <c r="G192" s="15">
        <v>4.0</v>
      </c>
      <c r="H192" s="15">
        <v>0.0</v>
      </c>
      <c r="I192" s="16" t="str">
        <f t="shared" si="1"/>
        <v>1-12</v>
      </c>
      <c r="J192" s="16" t="str">
        <f t="shared" si="2"/>
        <v>1-12</v>
      </c>
      <c r="K192" s="16" t="str">
        <f t="shared" si="3"/>
        <v>1-12</v>
      </c>
      <c r="L192" s="16" t="str">
        <f t="shared" si="4"/>
        <v>1-12</v>
      </c>
      <c r="M192" s="16" t="str">
        <f t="shared" si="5"/>
        <v>1-12</v>
      </c>
      <c r="N192" s="16" t="str">
        <f t="shared" si="6"/>
        <v>0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488</v>
      </c>
      <c r="B193" s="10" t="s">
        <v>489</v>
      </c>
      <c r="C193" s="11" t="s">
        <v>490</v>
      </c>
      <c r="D193" s="22" t="s">
        <v>484</v>
      </c>
      <c r="E193" s="13" t="str">
        <f t="array" ref="E193">INDEX(Turmas!C2:C106,MATCH(D193,Turmas!A2:A106,0))</f>
        <v>Noite</v>
      </c>
      <c r="F193" s="14">
        <v>0.0</v>
      </c>
      <c r="G193" s="15">
        <v>4.0</v>
      </c>
      <c r="H193" s="15">
        <v>0.0</v>
      </c>
      <c r="I193" s="16" t="str">
        <f t="shared" si="1"/>
        <v>1-12</v>
      </c>
      <c r="J193" s="16" t="str">
        <f t="shared" si="2"/>
        <v>1-12</v>
      </c>
      <c r="K193" s="16" t="str">
        <f t="shared" si="3"/>
        <v>1-12</v>
      </c>
      <c r="L193" s="16" t="str">
        <f t="shared" si="4"/>
        <v>1-12</v>
      </c>
      <c r="M193" s="16" t="str">
        <f t="shared" si="5"/>
        <v>1-12</v>
      </c>
      <c r="N193" s="16" t="str">
        <f t="shared" si="6"/>
        <v>0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491</v>
      </c>
      <c r="B194" s="10" t="s">
        <v>492</v>
      </c>
      <c r="C194" s="11" t="s">
        <v>111</v>
      </c>
      <c r="D194" s="22" t="s">
        <v>484</v>
      </c>
      <c r="E194" s="13" t="str">
        <f t="array" ref="E194">INDEX(Turmas!C2:C106,MATCH(D194,Turmas!A2:A106,0))</f>
        <v>Noite</v>
      </c>
      <c r="F194" s="14">
        <v>0.0</v>
      </c>
      <c r="G194" s="15">
        <v>4.0</v>
      </c>
      <c r="H194" s="15">
        <v>0.0</v>
      </c>
      <c r="I194" s="16" t="str">
        <f t="shared" si="1"/>
        <v>1-12</v>
      </c>
      <c r="J194" s="16" t="str">
        <f t="shared" si="2"/>
        <v>1-12</v>
      </c>
      <c r="K194" s="16" t="str">
        <f t="shared" si="3"/>
        <v>1-12</v>
      </c>
      <c r="L194" s="16" t="str">
        <f t="shared" si="4"/>
        <v>1-12</v>
      </c>
      <c r="M194" s="16" t="str">
        <f t="shared" si="5"/>
        <v>1-12</v>
      </c>
      <c r="N194" s="16" t="str">
        <f t="shared" si="6"/>
        <v>0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493</v>
      </c>
      <c r="B195" s="10" t="s">
        <v>494</v>
      </c>
      <c r="C195" s="11" t="s">
        <v>261</v>
      </c>
      <c r="D195" s="22" t="s">
        <v>484</v>
      </c>
      <c r="E195" s="13" t="str">
        <f t="array" ref="E195">INDEX(Turmas!C2:C106,MATCH(D195,Turmas!A2:A106,0))</f>
        <v>Noite</v>
      </c>
      <c r="F195" s="14">
        <v>0.0</v>
      </c>
      <c r="G195" s="15">
        <v>4.0</v>
      </c>
      <c r="H195" s="15">
        <v>0.0</v>
      </c>
      <c r="I195" s="16" t="str">
        <f t="shared" si="1"/>
        <v>1-12</v>
      </c>
      <c r="J195" s="16" t="str">
        <f t="shared" si="2"/>
        <v>1-12</v>
      </c>
      <c r="K195" s="16" t="str">
        <f t="shared" si="3"/>
        <v>1-12</v>
      </c>
      <c r="L195" s="16" t="str">
        <f t="shared" si="4"/>
        <v>1-12</v>
      </c>
      <c r="M195" s="16" t="str">
        <f t="shared" si="5"/>
        <v>1-12</v>
      </c>
      <c r="N195" s="16" t="str">
        <f t="shared" si="6"/>
        <v>0</v>
      </c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9" t="s">
        <v>495</v>
      </c>
      <c r="B196" s="10" t="s">
        <v>150</v>
      </c>
      <c r="C196" s="11" t="s">
        <v>151</v>
      </c>
      <c r="D196" s="22" t="s">
        <v>496</v>
      </c>
      <c r="E196" s="13" t="str">
        <f t="array" ref="E196">INDEX(Turmas!C2:C106,MATCH(D196,Turmas!A2:A106,0))</f>
        <v>Manhã</v>
      </c>
      <c r="F196" s="20">
        <v>0.0</v>
      </c>
      <c r="G196" s="15">
        <v>5.0</v>
      </c>
      <c r="H196" s="15">
        <v>0.0</v>
      </c>
      <c r="I196" s="16" t="str">
        <f t="shared" si="1"/>
        <v>7-16</v>
      </c>
      <c r="J196" s="16" t="str">
        <f t="shared" si="2"/>
        <v>7-16</v>
      </c>
      <c r="K196" s="16" t="str">
        <f t="shared" si="3"/>
        <v>7-16</v>
      </c>
      <c r="L196" s="16" t="str">
        <f t="shared" si="4"/>
        <v>7-16</v>
      </c>
      <c r="M196" s="16" t="str">
        <f t="shared" si="5"/>
        <v>7-16</v>
      </c>
      <c r="N196" s="16" t="str">
        <f t="shared" si="6"/>
        <v>1-16</v>
      </c>
      <c r="O196" s="21"/>
      <c r="P196" s="21"/>
      <c r="Q196" s="21"/>
      <c r="R196" s="21"/>
      <c r="S196" s="21"/>
      <c r="T196" s="21"/>
      <c r="U196" s="21"/>
      <c r="V196" s="21"/>
      <c r="W196" s="21"/>
    </row>
    <row r="197" ht="14.25" customHeight="1">
      <c r="A197" s="9" t="s">
        <v>497</v>
      </c>
      <c r="B197" s="10" t="s">
        <v>498</v>
      </c>
      <c r="C197" s="11" t="s">
        <v>499</v>
      </c>
      <c r="D197" s="22" t="s">
        <v>496</v>
      </c>
      <c r="E197" s="13" t="str">
        <f t="array" ref="E197">INDEX(Turmas!C2:C106,MATCH(D197,Turmas!A2:A106,0))</f>
        <v>Manhã</v>
      </c>
      <c r="F197" s="14">
        <v>0.0</v>
      </c>
      <c r="G197" s="15">
        <v>5.0</v>
      </c>
      <c r="H197" s="15">
        <v>0.0</v>
      </c>
      <c r="I197" s="16" t="str">
        <f t="shared" si="1"/>
        <v>7-16</v>
      </c>
      <c r="J197" s="16" t="str">
        <f t="shared" si="2"/>
        <v>7-16</v>
      </c>
      <c r="K197" s="16" t="str">
        <f t="shared" si="3"/>
        <v>7-16</v>
      </c>
      <c r="L197" s="16" t="str">
        <f t="shared" si="4"/>
        <v>7-16</v>
      </c>
      <c r="M197" s="16" t="str">
        <f t="shared" si="5"/>
        <v>7-16</v>
      </c>
      <c r="N197" s="16" t="str">
        <f t="shared" si="6"/>
        <v>1-16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500</v>
      </c>
      <c r="B198" s="10" t="s">
        <v>501</v>
      </c>
      <c r="C198" s="11" t="s">
        <v>502</v>
      </c>
      <c r="D198" s="22" t="s">
        <v>496</v>
      </c>
      <c r="E198" s="13" t="str">
        <f t="array" ref="E198">INDEX(Turmas!C2:C106,MATCH(D198,Turmas!A2:A106,0))</f>
        <v>Manhã</v>
      </c>
      <c r="F198" s="14">
        <v>0.0</v>
      </c>
      <c r="G198" s="15">
        <v>5.0</v>
      </c>
      <c r="H198" s="15">
        <v>0.0</v>
      </c>
      <c r="I198" s="16" t="str">
        <f t="shared" si="1"/>
        <v>7-16</v>
      </c>
      <c r="J198" s="16" t="str">
        <f t="shared" si="2"/>
        <v>7-16</v>
      </c>
      <c r="K198" s="16" t="str">
        <f t="shared" si="3"/>
        <v>7-16</v>
      </c>
      <c r="L198" s="16" t="str">
        <f t="shared" si="4"/>
        <v>7-16</v>
      </c>
      <c r="M198" s="16" t="str">
        <f t="shared" si="5"/>
        <v>7-16</v>
      </c>
      <c r="N198" s="16" t="str">
        <f t="shared" si="6"/>
        <v>1-16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503</v>
      </c>
      <c r="B199" s="10" t="s">
        <v>504</v>
      </c>
      <c r="C199" s="11" t="s">
        <v>505</v>
      </c>
      <c r="D199" s="22" t="s">
        <v>496</v>
      </c>
      <c r="E199" s="13" t="str">
        <f t="array" ref="E199">INDEX(Turmas!C2:C106,MATCH(D199,Turmas!A2:A106,0))</f>
        <v>Manhã</v>
      </c>
      <c r="F199" s="14">
        <v>0.0</v>
      </c>
      <c r="G199" s="15">
        <v>2.0</v>
      </c>
      <c r="H199" s="15">
        <v>0.0</v>
      </c>
      <c r="I199" s="16" t="str">
        <f t="shared" si="1"/>
        <v>7-16</v>
      </c>
      <c r="J199" s="16" t="str">
        <f t="shared" si="2"/>
        <v>7-16</v>
      </c>
      <c r="K199" s="16" t="str">
        <f t="shared" si="3"/>
        <v>7-16</v>
      </c>
      <c r="L199" s="16" t="str">
        <f t="shared" si="4"/>
        <v>7-16</v>
      </c>
      <c r="M199" s="16" t="str">
        <f t="shared" si="5"/>
        <v>7-16</v>
      </c>
      <c r="N199" s="16" t="str">
        <f t="shared" si="6"/>
        <v>1-16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506</v>
      </c>
      <c r="B200" s="10" t="s">
        <v>507</v>
      </c>
      <c r="C200" s="11" t="s">
        <v>499</v>
      </c>
      <c r="D200" s="22" t="s">
        <v>496</v>
      </c>
      <c r="E200" s="13" t="str">
        <f t="array" ref="E200">INDEX(Turmas!C2:C106,MATCH(D200,Turmas!A2:A106,0))</f>
        <v>Manhã</v>
      </c>
      <c r="F200" s="14">
        <v>0.0</v>
      </c>
      <c r="G200" s="15">
        <v>5.0</v>
      </c>
      <c r="H200" s="15">
        <v>0.0</v>
      </c>
      <c r="I200" s="16" t="str">
        <f t="shared" si="1"/>
        <v>7-16</v>
      </c>
      <c r="J200" s="16" t="str">
        <f t="shared" si="2"/>
        <v>7-16</v>
      </c>
      <c r="K200" s="16" t="str">
        <f t="shared" si="3"/>
        <v>7-16</v>
      </c>
      <c r="L200" s="16" t="str">
        <f t="shared" si="4"/>
        <v>7-16</v>
      </c>
      <c r="M200" s="16" t="str">
        <f t="shared" si="5"/>
        <v>7-16</v>
      </c>
      <c r="N200" s="16" t="str">
        <f t="shared" si="6"/>
        <v>1-16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508</v>
      </c>
      <c r="B201" s="10" t="s">
        <v>509</v>
      </c>
      <c r="C201" s="11" t="s">
        <v>345</v>
      </c>
      <c r="D201" s="22" t="s">
        <v>496</v>
      </c>
      <c r="E201" s="13" t="str">
        <f t="array" ref="E201">INDEX(Turmas!C2:C106,MATCH(D201,Turmas!A2:A106,0))</f>
        <v>Manhã</v>
      </c>
      <c r="F201" s="14">
        <v>0.0</v>
      </c>
      <c r="G201" s="15">
        <v>4.0</v>
      </c>
      <c r="H201" s="15">
        <v>0.0</v>
      </c>
      <c r="I201" s="16" t="str">
        <f t="shared" si="1"/>
        <v>7-16</v>
      </c>
      <c r="J201" s="16" t="str">
        <f t="shared" si="2"/>
        <v>7-16</v>
      </c>
      <c r="K201" s="16" t="str">
        <f t="shared" si="3"/>
        <v>7-16</v>
      </c>
      <c r="L201" s="16" t="str">
        <f t="shared" si="4"/>
        <v>7-16</v>
      </c>
      <c r="M201" s="16" t="str">
        <f t="shared" si="5"/>
        <v>7-16</v>
      </c>
      <c r="N201" s="16" t="str">
        <f t="shared" si="6"/>
        <v>1-16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510</v>
      </c>
      <c r="B202" s="10" t="s">
        <v>511</v>
      </c>
      <c r="C202" s="11" t="s">
        <v>340</v>
      </c>
      <c r="D202" s="22" t="s">
        <v>512</v>
      </c>
      <c r="E202" s="13" t="str">
        <f t="array" ref="E202">INDEX(Turmas!C2:C106,MATCH(D202,Turmas!A2:A106,0))</f>
        <v>Tarde</v>
      </c>
      <c r="F202" s="14">
        <v>0.0</v>
      </c>
      <c r="G202" s="15">
        <v>4.0</v>
      </c>
      <c r="H202" s="15">
        <v>0.0</v>
      </c>
      <c r="I202" s="16" t="str">
        <f t="shared" si="1"/>
        <v>1-6,13-16</v>
      </c>
      <c r="J202" s="16" t="str">
        <f t="shared" si="2"/>
        <v>1-6,13-16</v>
      </c>
      <c r="K202" s="16" t="str">
        <f t="shared" si="3"/>
        <v>1-6,13-16</v>
      </c>
      <c r="L202" s="16" t="str">
        <f t="shared" si="4"/>
        <v>1-6,13-16</v>
      </c>
      <c r="M202" s="16" t="str">
        <f t="shared" si="5"/>
        <v>1-6,13-16</v>
      </c>
      <c r="N202" s="16" t="str">
        <f t="shared" si="6"/>
        <v>1-16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513</v>
      </c>
      <c r="B203" s="10" t="s">
        <v>514</v>
      </c>
      <c r="C203" s="11" t="s">
        <v>515</v>
      </c>
      <c r="D203" s="22" t="s">
        <v>512</v>
      </c>
      <c r="E203" s="13" t="str">
        <f t="array" ref="E203">INDEX(Turmas!C2:C106,MATCH(D203,Turmas!A2:A106,0))</f>
        <v>Tarde</v>
      </c>
      <c r="F203" s="14">
        <v>0.0</v>
      </c>
      <c r="G203" s="15">
        <v>4.0</v>
      </c>
      <c r="H203" s="15">
        <v>0.0</v>
      </c>
      <c r="I203" s="16" t="str">
        <f t="shared" si="1"/>
        <v>1-6,13-16</v>
      </c>
      <c r="J203" s="16" t="str">
        <f t="shared" si="2"/>
        <v>1-6,13-16</v>
      </c>
      <c r="K203" s="16" t="str">
        <f t="shared" si="3"/>
        <v>1-6,13-16</v>
      </c>
      <c r="L203" s="16" t="str">
        <f t="shared" si="4"/>
        <v>1-6,13-16</v>
      </c>
      <c r="M203" s="16" t="str">
        <f t="shared" si="5"/>
        <v>1-6,13-16</v>
      </c>
      <c r="N203" s="16" t="str">
        <f t="shared" si="6"/>
        <v>1-16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516</v>
      </c>
      <c r="B204" s="10" t="s">
        <v>517</v>
      </c>
      <c r="C204" s="11" t="s">
        <v>515</v>
      </c>
      <c r="D204" s="22" t="s">
        <v>512</v>
      </c>
      <c r="E204" s="13" t="str">
        <f t="array" ref="E204">INDEX(Turmas!C2:C106,MATCH(D204,Turmas!A2:A106,0))</f>
        <v>Tarde</v>
      </c>
      <c r="F204" s="14">
        <v>0.0</v>
      </c>
      <c r="G204" s="15">
        <v>5.0</v>
      </c>
      <c r="H204" s="15">
        <v>0.0</v>
      </c>
      <c r="I204" s="16" t="str">
        <f t="shared" si="1"/>
        <v>1-6,13-16</v>
      </c>
      <c r="J204" s="16" t="str">
        <f t="shared" si="2"/>
        <v>1-6,13-16</v>
      </c>
      <c r="K204" s="16" t="str">
        <f t="shared" si="3"/>
        <v>1-6,13-16</v>
      </c>
      <c r="L204" s="16" t="str">
        <f t="shared" si="4"/>
        <v>1-6,13-16</v>
      </c>
      <c r="M204" s="16" t="str">
        <f t="shared" si="5"/>
        <v>1-6,13-16</v>
      </c>
      <c r="N204" s="16" t="str">
        <f t="shared" si="6"/>
        <v>1-16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518</v>
      </c>
      <c r="B205" s="10" t="s">
        <v>519</v>
      </c>
      <c r="C205" s="11" t="s">
        <v>340</v>
      </c>
      <c r="D205" s="22" t="s">
        <v>512</v>
      </c>
      <c r="E205" s="13" t="str">
        <f t="array" ref="E205">INDEX(Turmas!C2:C106,MATCH(D205,Turmas!A2:A106,0))</f>
        <v>Tarde</v>
      </c>
      <c r="F205" s="14">
        <v>0.0</v>
      </c>
      <c r="G205" s="15">
        <v>5.0</v>
      </c>
      <c r="H205" s="15">
        <v>0.0</v>
      </c>
      <c r="I205" s="16" t="str">
        <f t="shared" si="1"/>
        <v>1-6,13-16</v>
      </c>
      <c r="J205" s="16" t="str">
        <f t="shared" si="2"/>
        <v>1-6,13-16</v>
      </c>
      <c r="K205" s="16" t="str">
        <f t="shared" si="3"/>
        <v>1-6,13-16</v>
      </c>
      <c r="L205" s="16" t="str">
        <f t="shared" si="4"/>
        <v>1-6,13-16</v>
      </c>
      <c r="M205" s="16" t="str">
        <f t="shared" si="5"/>
        <v>1-6,13-16</v>
      </c>
      <c r="N205" s="16" t="str">
        <f t="shared" si="6"/>
        <v>1-16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520</v>
      </c>
      <c r="B206" s="10" t="s">
        <v>521</v>
      </c>
      <c r="C206" s="11" t="s">
        <v>499</v>
      </c>
      <c r="D206" s="22" t="s">
        <v>512</v>
      </c>
      <c r="E206" s="13" t="str">
        <f t="array" ref="E206">INDEX(Turmas!C2:C106,MATCH(D206,Turmas!A2:A106,0))</f>
        <v>Tarde</v>
      </c>
      <c r="F206" s="14">
        <v>0.0</v>
      </c>
      <c r="G206" s="15">
        <v>4.0</v>
      </c>
      <c r="H206" s="15">
        <v>0.0</v>
      </c>
      <c r="I206" s="16" t="str">
        <f t="shared" si="1"/>
        <v>1-6,13-16</v>
      </c>
      <c r="J206" s="16" t="str">
        <f t="shared" si="2"/>
        <v>1-6,13-16</v>
      </c>
      <c r="K206" s="16" t="str">
        <f t="shared" si="3"/>
        <v>1-6,13-16</v>
      </c>
      <c r="L206" s="16" t="str">
        <f t="shared" si="4"/>
        <v>1-6,13-16</v>
      </c>
      <c r="M206" s="16" t="str">
        <f t="shared" si="5"/>
        <v>1-6,13-16</v>
      </c>
      <c r="N206" s="16" t="str">
        <f t="shared" si="6"/>
        <v>1-16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522</v>
      </c>
      <c r="B207" s="10" t="s">
        <v>523</v>
      </c>
      <c r="C207" s="11" t="s">
        <v>524</v>
      </c>
      <c r="D207" s="12" t="s">
        <v>512</v>
      </c>
      <c r="E207" s="13" t="str">
        <f t="array" ref="E207">INDEX(Turmas!C2:C106,MATCH(D207,Turmas!A2:A106,0))</f>
        <v>Tarde</v>
      </c>
      <c r="F207" s="14">
        <v>0.0</v>
      </c>
      <c r="G207" s="15">
        <v>4.0</v>
      </c>
      <c r="H207" s="15">
        <v>0.0</v>
      </c>
      <c r="I207" s="16" t="str">
        <f t="shared" si="1"/>
        <v>1-6,13-16</v>
      </c>
      <c r="J207" s="16" t="str">
        <f t="shared" si="2"/>
        <v>1-6,13-16</v>
      </c>
      <c r="K207" s="16" t="str">
        <f t="shared" si="3"/>
        <v>1-6,13-16</v>
      </c>
      <c r="L207" s="16" t="str">
        <f t="shared" si="4"/>
        <v>1-6,13-16</v>
      </c>
      <c r="M207" s="16" t="str">
        <f t="shared" si="5"/>
        <v>1-6,13-16</v>
      </c>
      <c r="N207" s="16" t="str">
        <f t="shared" si="6"/>
        <v>1-16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343</v>
      </c>
      <c r="B208" s="10" t="s">
        <v>344</v>
      </c>
      <c r="C208" s="11" t="s">
        <v>345</v>
      </c>
      <c r="D208" s="12" t="s">
        <v>525</v>
      </c>
      <c r="E208" s="13" t="str">
        <f t="array" ref="E208">INDEX(Turmas!C2:C106,MATCH(D208,Turmas!A2:A106,0))</f>
        <v>Manhã</v>
      </c>
      <c r="F208" s="14">
        <v>0.0</v>
      </c>
      <c r="G208" s="15">
        <v>5.0</v>
      </c>
      <c r="H208" s="15">
        <v>0.0</v>
      </c>
      <c r="I208" s="16" t="str">
        <f t="shared" si="1"/>
        <v>7-16</v>
      </c>
      <c r="J208" s="16" t="str">
        <f t="shared" si="2"/>
        <v>7-16</v>
      </c>
      <c r="K208" s="16" t="str">
        <f t="shared" si="3"/>
        <v>7-16</v>
      </c>
      <c r="L208" s="16" t="str">
        <f t="shared" si="4"/>
        <v>7-16</v>
      </c>
      <c r="M208" s="16" t="str">
        <f t="shared" si="5"/>
        <v>7-16</v>
      </c>
      <c r="N208" s="16" t="str">
        <f t="shared" si="6"/>
        <v>1-16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526</v>
      </c>
      <c r="B209" s="10" t="s">
        <v>527</v>
      </c>
      <c r="C209" s="11" t="s">
        <v>528</v>
      </c>
      <c r="D209" s="12" t="s">
        <v>525</v>
      </c>
      <c r="E209" s="13" t="str">
        <f t="array" ref="E209">INDEX(Turmas!C2:C106,MATCH(D209,Turmas!A2:A106,0))</f>
        <v>Manhã</v>
      </c>
      <c r="F209" s="14">
        <v>0.0</v>
      </c>
      <c r="G209" s="15">
        <v>3.0</v>
      </c>
      <c r="H209" s="15">
        <v>0.0</v>
      </c>
      <c r="I209" s="16" t="str">
        <f t="shared" si="1"/>
        <v>7-16</v>
      </c>
      <c r="J209" s="16" t="str">
        <f t="shared" si="2"/>
        <v>7-16</v>
      </c>
      <c r="K209" s="16" t="str">
        <f t="shared" si="3"/>
        <v>7-16</v>
      </c>
      <c r="L209" s="16" t="str">
        <f t="shared" si="4"/>
        <v>7-16</v>
      </c>
      <c r="M209" s="16" t="str">
        <f t="shared" si="5"/>
        <v>7-16</v>
      </c>
      <c r="N209" s="16" t="str">
        <f t="shared" si="6"/>
        <v>1-16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529</v>
      </c>
      <c r="B210" s="10" t="s">
        <v>530</v>
      </c>
      <c r="C210" s="11" t="s">
        <v>515</v>
      </c>
      <c r="D210" s="12" t="s">
        <v>525</v>
      </c>
      <c r="E210" s="13" t="str">
        <f t="array" ref="E210">INDEX(Turmas!C2:C106,MATCH(D210,Turmas!A2:A106,0))</f>
        <v>Manhã</v>
      </c>
      <c r="F210" s="14">
        <v>0.0</v>
      </c>
      <c r="G210" s="15">
        <v>4.0</v>
      </c>
      <c r="H210" s="15">
        <v>0.0</v>
      </c>
      <c r="I210" s="16" t="str">
        <f t="shared" si="1"/>
        <v>7-16</v>
      </c>
      <c r="J210" s="16" t="str">
        <f t="shared" si="2"/>
        <v>7-16</v>
      </c>
      <c r="K210" s="16" t="str">
        <f t="shared" si="3"/>
        <v>7-16</v>
      </c>
      <c r="L210" s="16" t="str">
        <f t="shared" si="4"/>
        <v>7-16</v>
      </c>
      <c r="M210" s="16" t="str">
        <f t="shared" si="5"/>
        <v>7-16</v>
      </c>
      <c r="N210" s="16" t="str">
        <f t="shared" si="6"/>
        <v>1-16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531</v>
      </c>
      <c r="B211" s="10" t="s">
        <v>532</v>
      </c>
      <c r="C211" s="11" t="s">
        <v>533</v>
      </c>
      <c r="D211" s="12" t="s">
        <v>525</v>
      </c>
      <c r="E211" s="13" t="str">
        <f t="array" ref="E211">INDEX(Turmas!C2:C106,MATCH(D211,Turmas!A2:A106,0))</f>
        <v>Manhã</v>
      </c>
      <c r="F211" s="14">
        <v>0.0</v>
      </c>
      <c r="G211" s="15">
        <v>4.0</v>
      </c>
      <c r="H211" s="15">
        <v>0.0</v>
      </c>
      <c r="I211" s="16" t="str">
        <f t="shared" si="1"/>
        <v>7-16</v>
      </c>
      <c r="J211" s="16" t="str">
        <f t="shared" si="2"/>
        <v>7-16</v>
      </c>
      <c r="K211" s="16" t="str">
        <f t="shared" si="3"/>
        <v>7-16</v>
      </c>
      <c r="L211" s="16" t="str">
        <f t="shared" si="4"/>
        <v>7-16</v>
      </c>
      <c r="M211" s="16" t="str">
        <f t="shared" si="5"/>
        <v>7-16</v>
      </c>
      <c r="N211" s="16" t="str">
        <f t="shared" si="6"/>
        <v>1-16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534</v>
      </c>
      <c r="B212" s="10" t="s">
        <v>535</v>
      </c>
      <c r="C212" s="11" t="s">
        <v>505</v>
      </c>
      <c r="D212" s="12" t="s">
        <v>525</v>
      </c>
      <c r="E212" s="13" t="str">
        <f t="array" ref="E212">INDEX(Turmas!C2:C106,MATCH(D212,Turmas!A2:A106,0))</f>
        <v>Manhã</v>
      </c>
      <c r="F212" s="14">
        <v>0.0</v>
      </c>
      <c r="G212" s="15">
        <v>5.0</v>
      </c>
      <c r="H212" s="15">
        <v>0.0</v>
      </c>
      <c r="I212" s="16" t="str">
        <f t="shared" si="1"/>
        <v>7-16</v>
      </c>
      <c r="J212" s="16" t="str">
        <f t="shared" si="2"/>
        <v>7-16</v>
      </c>
      <c r="K212" s="16" t="str">
        <f t="shared" si="3"/>
        <v>7-16</v>
      </c>
      <c r="L212" s="16" t="str">
        <f t="shared" si="4"/>
        <v>7-16</v>
      </c>
      <c r="M212" s="16" t="str">
        <f t="shared" si="5"/>
        <v>7-16</v>
      </c>
      <c r="N212" s="16" t="str">
        <f t="shared" si="6"/>
        <v>1-16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536</v>
      </c>
      <c r="B213" s="10" t="s">
        <v>185</v>
      </c>
      <c r="C213" s="11" t="s">
        <v>533</v>
      </c>
      <c r="D213" s="12" t="s">
        <v>537</v>
      </c>
      <c r="E213" s="13" t="str">
        <f t="array" ref="E213">INDEX(Turmas!C2:C106,MATCH(D213,Turmas!A2:A106,0))</f>
        <v>Tarde</v>
      </c>
      <c r="F213" s="14">
        <v>0.0</v>
      </c>
      <c r="G213" s="15">
        <v>4.0</v>
      </c>
      <c r="H213" s="15">
        <v>0.0</v>
      </c>
      <c r="I213" s="16" t="str">
        <f t="shared" si="1"/>
        <v>1-6,13-16</v>
      </c>
      <c r="J213" s="16" t="str">
        <f t="shared" si="2"/>
        <v>1-6,13-16</v>
      </c>
      <c r="K213" s="16" t="str">
        <f t="shared" si="3"/>
        <v>1-6,13-16</v>
      </c>
      <c r="L213" s="16" t="str">
        <f t="shared" si="4"/>
        <v>1-6,13-16</v>
      </c>
      <c r="M213" s="16" t="str">
        <f t="shared" si="5"/>
        <v>1-6,13-16</v>
      </c>
      <c r="N213" s="16" t="str">
        <f t="shared" si="6"/>
        <v>1-16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538</v>
      </c>
      <c r="B214" s="10" t="s">
        <v>539</v>
      </c>
      <c r="C214" s="11" t="s">
        <v>237</v>
      </c>
      <c r="D214" s="12" t="s">
        <v>537</v>
      </c>
      <c r="E214" s="13" t="str">
        <f t="array" ref="E214">INDEX(Turmas!C2:C106,MATCH(D214,Turmas!A2:A106,0))</f>
        <v>Tarde</v>
      </c>
      <c r="F214" s="14">
        <v>0.0</v>
      </c>
      <c r="G214" s="15">
        <v>3.0</v>
      </c>
      <c r="H214" s="15">
        <v>0.0</v>
      </c>
      <c r="I214" s="16" t="str">
        <f t="shared" si="1"/>
        <v>1-6,13-16</v>
      </c>
      <c r="J214" s="16" t="str">
        <f t="shared" si="2"/>
        <v>1-6,13-16</v>
      </c>
      <c r="K214" s="16" t="str">
        <f t="shared" si="3"/>
        <v>1-6,13-16</v>
      </c>
      <c r="L214" s="16" t="str">
        <f t="shared" si="4"/>
        <v>1-6,13-16</v>
      </c>
      <c r="M214" s="16" t="str">
        <f t="shared" si="5"/>
        <v>1-6,13-16</v>
      </c>
      <c r="N214" s="16" t="str">
        <f t="shared" si="6"/>
        <v>1-16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540</v>
      </c>
      <c r="B215" s="10" t="s">
        <v>541</v>
      </c>
      <c r="C215" s="11" t="s">
        <v>528</v>
      </c>
      <c r="D215" s="12" t="s">
        <v>537</v>
      </c>
      <c r="E215" s="13" t="str">
        <f t="array" ref="E215">INDEX(Turmas!C2:C106,MATCH(D215,Turmas!A2:A106,0))</f>
        <v>Tarde</v>
      </c>
      <c r="F215" s="14">
        <v>0.0</v>
      </c>
      <c r="G215" s="15">
        <v>5.0</v>
      </c>
      <c r="H215" s="15">
        <v>0.0</v>
      </c>
      <c r="I215" s="16" t="str">
        <f t="shared" si="1"/>
        <v>1-6,13-16</v>
      </c>
      <c r="J215" s="16" t="str">
        <f t="shared" si="2"/>
        <v>1-6,13-16</v>
      </c>
      <c r="K215" s="16" t="str">
        <f t="shared" si="3"/>
        <v>1-6,13-16</v>
      </c>
      <c r="L215" s="16" t="str">
        <f t="shared" si="4"/>
        <v>1-6,13-16</v>
      </c>
      <c r="M215" s="16" t="str">
        <f t="shared" si="5"/>
        <v>1-6,13-16</v>
      </c>
      <c r="N215" s="16" t="str">
        <f t="shared" si="6"/>
        <v>1-16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542</v>
      </c>
      <c r="B216" s="10" t="s">
        <v>543</v>
      </c>
      <c r="C216" s="11" t="s">
        <v>528</v>
      </c>
      <c r="D216" s="12" t="s">
        <v>537</v>
      </c>
      <c r="E216" s="13" t="str">
        <f t="array" ref="E216">INDEX(Turmas!C2:C106,MATCH(D216,Turmas!A2:A106,0))</f>
        <v>Tarde</v>
      </c>
      <c r="F216" s="14">
        <v>0.0</v>
      </c>
      <c r="G216" s="15">
        <v>4.0</v>
      </c>
      <c r="H216" s="15">
        <v>0.0</v>
      </c>
      <c r="I216" s="16" t="str">
        <f t="shared" si="1"/>
        <v>1-6,13-16</v>
      </c>
      <c r="J216" s="16" t="str">
        <f t="shared" si="2"/>
        <v>1-6,13-16</v>
      </c>
      <c r="K216" s="16" t="str">
        <f t="shared" si="3"/>
        <v>1-6,13-16</v>
      </c>
      <c r="L216" s="16" t="str">
        <f t="shared" si="4"/>
        <v>1-6,13-16</v>
      </c>
      <c r="M216" s="16" t="str">
        <f t="shared" si="5"/>
        <v>1-6,13-16</v>
      </c>
      <c r="N216" s="16" t="str">
        <f t="shared" si="6"/>
        <v>1-16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544</v>
      </c>
      <c r="B217" s="10" t="s">
        <v>545</v>
      </c>
      <c r="C217" s="11" t="s">
        <v>505</v>
      </c>
      <c r="D217" s="12" t="s">
        <v>537</v>
      </c>
      <c r="E217" s="13" t="str">
        <f t="array" ref="E217">INDEX(Turmas!C2:C106,MATCH(D217,Turmas!A2:A106,0))</f>
        <v>Tarde</v>
      </c>
      <c r="F217" s="14">
        <v>0.0</v>
      </c>
      <c r="G217" s="15">
        <v>4.0</v>
      </c>
      <c r="H217" s="15">
        <v>0.0</v>
      </c>
      <c r="I217" s="16" t="str">
        <f t="shared" si="1"/>
        <v>1-6,13-16</v>
      </c>
      <c r="J217" s="16" t="str">
        <f t="shared" si="2"/>
        <v>1-6,13-16</v>
      </c>
      <c r="K217" s="16" t="str">
        <f t="shared" si="3"/>
        <v>1-6,13-16</v>
      </c>
      <c r="L217" s="16" t="str">
        <f t="shared" si="4"/>
        <v>1-6,13-16</v>
      </c>
      <c r="M217" s="16" t="str">
        <f t="shared" si="5"/>
        <v>1-6,13-16</v>
      </c>
      <c r="N217" s="16" t="str">
        <f t="shared" si="6"/>
        <v>1-16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546</v>
      </c>
      <c r="B218" s="10" t="s">
        <v>547</v>
      </c>
      <c r="C218" s="11" t="s">
        <v>168</v>
      </c>
      <c r="D218" s="12" t="s">
        <v>548</v>
      </c>
      <c r="E218" s="13" t="str">
        <f t="array" ref="E218">INDEX(Turmas!C2:C106,MATCH(D218,Turmas!A2:A106,0))</f>
        <v>Manhã</v>
      </c>
      <c r="F218" s="14">
        <v>0.0</v>
      </c>
      <c r="G218" s="15">
        <v>6.0</v>
      </c>
      <c r="H218" s="15">
        <v>0.0</v>
      </c>
      <c r="I218" s="16" t="str">
        <f t="shared" si="1"/>
        <v>7-16</v>
      </c>
      <c r="J218" s="16" t="str">
        <f t="shared" si="2"/>
        <v>7-16</v>
      </c>
      <c r="K218" s="16" t="str">
        <f t="shared" si="3"/>
        <v>7-16</v>
      </c>
      <c r="L218" s="16" t="str">
        <f t="shared" si="4"/>
        <v>7-16</v>
      </c>
      <c r="M218" s="16" t="str">
        <f t="shared" si="5"/>
        <v>7-16</v>
      </c>
      <c r="N218" s="16" t="str">
        <f t="shared" si="6"/>
        <v>1-16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302</v>
      </c>
      <c r="B219" s="10" t="s">
        <v>303</v>
      </c>
      <c r="C219" s="11" t="s">
        <v>317</v>
      </c>
      <c r="D219" s="12" t="s">
        <v>549</v>
      </c>
      <c r="E219" s="13" t="str">
        <f t="array" ref="E219">INDEX(Turmas!C2:C106,MATCH(D219,Turmas!A2:A106,0))</f>
        <v>Manhã</v>
      </c>
      <c r="F219" s="14">
        <v>0.0</v>
      </c>
      <c r="G219" s="15">
        <v>4.0</v>
      </c>
      <c r="H219" s="15">
        <v>0.0</v>
      </c>
      <c r="I219" s="16" t="str">
        <f t="shared" si="1"/>
        <v>7-16</v>
      </c>
      <c r="J219" s="16" t="str">
        <f t="shared" si="2"/>
        <v>7-16</v>
      </c>
      <c r="K219" s="16" t="str">
        <f t="shared" si="3"/>
        <v>7-16</v>
      </c>
      <c r="L219" s="16" t="str">
        <f t="shared" si="4"/>
        <v>7-16</v>
      </c>
      <c r="M219" s="16" t="str">
        <f t="shared" si="5"/>
        <v>7-16</v>
      </c>
      <c r="N219" s="16" t="str">
        <f t="shared" si="6"/>
        <v>1-16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315</v>
      </c>
      <c r="B220" s="10" t="s">
        <v>316</v>
      </c>
      <c r="C220" s="11" t="s">
        <v>317</v>
      </c>
      <c r="D220" s="12" t="s">
        <v>549</v>
      </c>
      <c r="E220" s="13" t="str">
        <f t="array" ref="E220">INDEX(Turmas!C2:C106,MATCH(D220,Turmas!A2:A106,0))</f>
        <v>Manhã</v>
      </c>
      <c r="F220" s="14">
        <v>0.0</v>
      </c>
      <c r="G220" s="15">
        <v>4.0</v>
      </c>
      <c r="H220" s="15">
        <v>0.0</v>
      </c>
      <c r="I220" s="16" t="str">
        <f t="shared" si="1"/>
        <v>7-16</v>
      </c>
      <c r="J220" s="16" t="str">
        <f t="shared" si="2"/>
        <v>7-16</v>
      </c>
      <c r="K220" s="16" t="str">
        <f t="shared" si="3"/>
        <v>7-16</v>
      </c>
      <c r="L220" s="16" t="str">
        <f t="shared" si="4"/>
        <v>7-16</v>
      </c>
      <c r="M220" s="16" t="str">
        <f t="shared" si="5"/>
        <v>7-16</v>
      </c>
      <c r="N220" s="16" t="str">
        <f t="shared" si="6"/>
        <v>1-16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58</v>
      </c>
      <c r="B221" s="10" t="s">
        <v>32</v>
      </c>
      <c r="C221" s="11" t="s">
        <v>33</v>
      </c>
      <c r="D221" s="12" t="s">
        <v>549</v>
      </c>
      <c r="E221" s="13" t="str">
        <f t="array" ref="E221">INDEX(Turmas!C2:C106,MATCH(D221,Turmas!A2:A106,0))</f>
        <v>Manhã</v>
      </c>
      <c r="F221" s="14">
        <v>0.0</v>
      </c>
      <c r="G221" s="15">
        <v>4.0</v>
      </c>
      <c r="H221" s="15">
        <v>0.0</v>
      </c>
      <c r="I221" s="16" t="str">
        <f t="shared" si="1"/>
        <v>7-16</v>
      </c>
      <c r="J221" s="16" t="str">
        <f t="shared" si="2"/>
        <v>7-16</v>
      </c>
      <c r="K221" s="16" t="str">
        <f t="shared" si="3"/>
        <v>7-16</v>
      </c>
      <c r="L221" s="16" t="str">
        <f t="shared" si="4"/>
        <v>7-16</v>
      </c>
      <c r="M221" s="16" t="str">
        <f t="shared" si="5"/>
        <v>7-16</v>
      </c>
      <c r="N221" s="16" t="str">
        <f t="shared" si="6"/>
        <v>1-16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550</v>
      </c>
      <c r="B222" s="10" t="s">
        <v>551</v>
      </c>
      <c r="C222" s="11" t="s">
        <v>552</v>
      </c>
      <c r="D222" s="12" t="s">
        <v>549</v>
      </c>
      <c r="E222" s="13" t="str">
        <f t="array" ref="E222">INDEX(Turmas!C2:C106,MATCH(D222,Turmas!A2:A106,0))</f>
        <v>Manhã</v>
      </c>
      <c r="F222" s="14">
        <v>0.0</v>
      </c>
      <c r="G222" s="15">
        <v>2.0</v>
      </c>
      <c r="H222" s="15">
        <v>0.0</v>
      </c>
      <c r="I222" s="16" t="str">
        <f t="shared" si="1"/>
        <v>7-16</v>
      </c>
      <c r="J222" s="16" t="str">
        <f t="shared" si="2"/>
        <v>7-16</v>
      </c>
      <c r="K222" s="16" t="str">
        <f t="shared" si="3"/>
        <v>7-16</v>
      </c>
      <c r="L222" s="16" t="str">
        <f t="shared" si="4"/>
        <v>7-16</v>
      </c>
      <c r="M222" s="16" t="str">
        <f t="shared" si="5"/>
        <v>7-16</v>
      </c>
      <c r="N222" s="16" t="str">
        <f t="shared" si="6"/>
        <v>1-16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553</v>
      </c>
      <c r="B223" s="10" t="s">
        <v>46</v>
      </c>
      <c r="C223" s="11" t="s">
        <v>47</v>
      </c>
      <c r="D223" s="12" t="s">
        <v>549</v>
      </c>
      <c r="E223" s="13" t="str">
        <f t="array" ref="E223">INDEX(Turmas!C2:C106,MATCH(D223,Turmas!A2:A106,0))</f>
        <v>Manhã</v>
      </c>
      <c r="F223" s="14">
        <v>0.0</v>
      </c>
      <c r="G223" s="15">
        <v>4.0</v>
      </c>
      <c r="H223" s="15">
        <v>0.0</v>
      </c>
      <c r="I223" s="16" t="str">
        <f t="shared" si="1"/>
        <v>7-16</v>
      </c>
      <c r="J223" s="16" t="str">
        <f t="shared" si="2"/>
        <v>7-16</v>
      </c>
      <c r="K223" s="16" t="str">
        <f t="shared" si="3"/>
        <v>7-16</v>
      </c>
      <c r="L223" s="16" t="str">
        <f t="shared" si="4"/>
        <v>7-16</v>
      </c>
      <c r="M223" s="16" t="str">
        <f t="shared" si="5"/>
        <v>7-16</v>
      </c>
      <c r="N223" s="16" t="str">
        <f t="shared" si="6"/>
        <v>1-16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554</v>
      </c>
      <c r="B224" s="10" t="s">
        <v>555</v>
      </c>
      <c r="C224" s="11" t="s">
        <v>556</v>
      </c>
      <c r="D224" s="12" t="s">
        <v>549</v>
      </c>
      <c r="E224" s="13" t="str">
        <f t="array" ref="E224">INDEX(Turmas!C2:C106,MATCH(D224,Turmas!A2:A106,0))</f>
        <v>Manhã</v>
      </c>
      <c r="F224" s="14">
        <v>0.0</v>
      </c>
      <c r="G224" s="15">
        <v>2.0</v>
      </c>
      <c r="H224" s="15">
        <v>0.0</v>
      </c>
      <c r="I224" s="16" t="str">
        <f t="shared" si="1"/>
        <v>7-16</v>
      </c>
      <c r="J224" s="16" t="str">
        <f t="shared" si="2"/>
        <v>7-16</v>
      </c>
      <c r="K224" s="16" t="str">
        <f t="shared" si="3"/>
        <v>7-16</v>
      </c>
      <c r="L224" s="16" t="str">
        <f t="shared" si="4"/>
        <v>7-16</v>
      </c>
      <c r="M224" s="16" t="str">
        <f t="shared" si="5"/>
        <v>7-16</v>
      </c>
      <c r="N224" s="16" t="str">
        <f t="shared" si="6"/>
        <v>1-16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557</v>
      </c>
      <c r="B225" s="10" t="s">
        <v>200</v>
      </c>
      <c r="C225" s="11" t="s">
        <v>201</v>
      </c>
      <c r="D225" s="12" t="s">
        <v>549</v>
      </c>
      <c r="E225" s="13" t="str">
        <f t="array" ref="E225">INDEX(Turmas!C2:C106,MATCH(D225,Turmas!A2:A106,0))</f>
        <v>Manhã</v>
      </c>
      <c r="F225" s="14">
        <v>0.0</v>
      </c>
      <c r="G225" s="15">
        <v>4.0</v>
      </c>
      <c r="H225" s="15">
        <v>0.0</v>
      </c>
      <c r="I225" s="16" t="str">
        <f t="shared" si="1"/>
        <v>7-16</v>
      </c>
      <c r="J225" s="16" t="str">
        <f t="shared" si="2"/>
        <v>7-16</v>
      </c>
      <c r="K225" s="16" t="str">
        <f t="shared" si="3"/>
        <v>7-16</v>
      </c>
      <c r="L225" s="16" t="str">
        <f t="shared" si="4"/>
        <v>7-16</v>
      </c>
      <c r="M225" s="16" t="str">
        <f t="shared" si="5"/>
        <v>7-16</v>
      </c>
      <c r="N225" s="16" t="str">
        <f t="shared" si="6"/>
        <v>1-16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558</v>
      </c>
      <c r="B226" s="10" t="s">
        <v>559</v>
      </c>
      <c r="C226" s="11" t="s">
        <v>560</v>
      </c>
      <c r="D226" s="12" t="s">
        <v>561</v>
      </c>
      <c r="E226" s="13" t="str">
        <f t="array" ref="E226">INDEX(Turmas!C2:C106,MATCH(D226,Turmas!A2:A106,0))</f>
        <v>Tarde</v>
      </c>
      <c r="F226" s="14">
        <v>0.0</v>
      </c>
      <c r="G226" s="15">
        <v>4.0</v>
      </c>
      <c r="H226" s="15">
        <v>0.0</v>
      </c>
      <c r="I226" s="16" t="str">
        <f t="shared" si="1"/>
        <v>1-6,13-16</v>
      </c>
      <c r="J226" s="16" t="str">
        <f t="shared" si="2"/>
        <v>1-6,13-16</v>
      </c>
      <c r="K226" s="16" t="str">
        <f t="shared" si="3"/>
        <v>1-6,13-16</v>
      </c>
      <c r="L226" s="16" t="str">
        <f t="shared" si="4"/>
        <v>1-6,13-16</v>
      </c>
      <c r="M226" s="16" t="str">
        <f t="shared" si="5"/>
        <v>1-6,13-16</v>
      </c>
      <c r="N226" s="16" t="str">
        <f t="shared" si="6"/>
        <v>1-16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562</v>
      </c>
      <c r="B227" s="10" t="s">
        <v>563</v>
      </c>
      <c r="C227" s="11" t="s">
        <v>564</v>
      </c>
      <c r="D227" s="12" t="s">
        <v>561</v>
      </c>
      <c r="E227" s="13" t="str">
        <f t="array" ref="E227">INDEX(Turmas!C2:C106,MATCH(D227,Turmas!A2:A106,0))</f>
        <v>Tarde</v>
      </c>
      <c r="F227" s="14">
        <v>0.0</v>
      </c>
      <c r="G227" s="15">
        <v>4.0</v>
      </c>
      <c r="H227" s="15">
        <v>0.0</v>
      </c>
      <c r="I227" s="16" t="str">
        <f t="shared" si="1"/>
        <v>1-6,13-16</v>
      </c>
      <c r="J227" s="16" t="str">
        <f t="shared" si="2"/>
        <v>1-6,13-16</v>
      </c>
      <c r="K227" s="16" t="str">
        <f t="shared" si="3"/>
        <v>1-6,13-16</v>
      </c>
      <c r="L227" s="16" t="str">
        <f t="shared" si="4"/>
        <v>1-6,13-16</v>
      </c>
      <c r="M227" s="16" t="str">
        <f t="shared" si="5"/>
        <v>1-6,13-16</v>
      </c>
      <c r="N227" s="16" t="str">
        <f t="shared" si="6"/>
        <v>1-16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565</v>
      </c>
      <c r="B228" s="10" t="s">
        <v>566</v>
      </c>
      <c r="C228" s="11" t="s">
        <v>567</v>
      </c>
      <c r="D228" s="12" t="s">
        <v>561</v>
      </c>
      <c r="E228" s="13" t="str">
        <f t="array" ref="E228">INDEX(Turmas!C2:C106,MATCH(D228,Turmas!A2:A106,0))</f>
        <v>Tarde</v>
      </c>
      <c r="F228" s="14">
        <v>0.0</v>
      </c>
      <c r="G228" s="15">
        <v>4.0</v>
      </c>
      <c r="H228" s="15">
        <v>0.0</v>
      </c>
      <c r="I228" s="16" t="str">
        <f t="shared" si="1"/>
        <v>1-6,13-16</v>
      </c>
      <c r="J228" s="16" t="str">
        <f t="shared" si="2"/>
        <v>1-6,13-16</v>
      </c>
      <c r="K228" s="16" t="str">
        <f t="shared" si="3"/>
        <v>1-6,13-16</v>
      </c>
      <c r="L228" s="16" t="str">
        <f t="shared" si="4"/>
        <v>1-6,13-16</v>
      </c>
      <c r="M228" s="16" t="str">
        <f t="shared" si="5"/>
        <v>1-6,13-16</v>
      </c>
      <c r="N228" s="16" t="str">
        <f t="shared" si="6"/>
        <v>1-16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568</v>
      </c>
      <c r="B229" s="10" t="s">
        <v>61</v>
      </c>
      <c r="C229" s="11" t="s">
        <v>569</v>
      </c>
      <c r="D229" s="12" t="s">
        <v>561</v>
      </c>
      <c r="E229" s="13" t="str">
        <f t="array" ref="E229">INDEX(Turmas!C2:C106,MATCH(D229,Turmas!A2:A106,0))</f>
        <v>Tarde</v>
      </c>
      <c r="F229" s="14">
        <v>0.0</v>
      </c>
      <c r="G229" s="15">
        <v>4.0</v>
      </c>
      <c r="H229" s="15">
        <v>0.0</v>
      </c>
      <c r="I229" s="16" t="str">
        <f t="shared" si="1"/>
        <v>1-6,13-16</v>
      </c>
      <c r="J229" s="16" t="str">
        <f t="shared" si="2"/>
        <v>1-6,13-16</v>
      </c>
      <c r="K229" s="16" t="str">
        <f t="shared" si="3"/>
        <v>1-6,13-16</v>
      </c>
      <c r="L229" s="16" t="str">
        <f t="shared" si="4"/>
        <v>1-6,13-16</v>
      </c>
      <c r="M229" s="16" t="str">
        <f t="shared" si="5"/>
        <v>1-6,13-16</v>
      </c>
      <c r="N229" s="16" t="str">
        <f t="shared" si="6"/>
        <v>1-16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570</v>
      </c>
      <c r="B230" s="10" t="s">
        <v>571</v>
      </c>
      <c r="C230" s="11" t="s">
        <v>572</v>
      </c>
      <c r="D230" s="12" t="s">
        <v>561</v>
      </c>
      <c r="E230" s="13" t="str">
        <f t="array" ref="E230">INDEX(Turmas!C2:C106,MATCH(D230,Turmas!A2:A106,0))</f>
        <v>Tarde</v>
      </c>
      <c r="F230" s="14">
        <v>0.0</v>
      </c>
      <c r="G230" s="15">
        <v>4.0</v>
      </c>
      <c r="H230" s="15">
        <v>0.0</v>
      </c>
      <c r="I230" s="16" t="str">
        <f t="shared" si="1"/>
        <v>1-6,13-16</v>
      </c>
      <c r="J230" s="16" t="str">
        <f t="shared" si="2"/>
        <v>1-6,13-16</v>
      </c>
      <c r="K230" s="16" t="str">
        <f t="shared" si="3"/>
        <v>1-6,13-16</v>
      </c>
      <c r="L230" s="16" t="str">
        <f t="shared" si="4"/>
        <v>1-6,13-16</v>
      </c>
      <c r="M230" s="16" t="str">
        <f t="shared" si="5"/>
        <v>1-6,13-16</v>
      </c>
      <c r="N230" s="16" t="str">
        <f t="shared" si="6"/>
        <v>1-16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573</v>
      </c>
      <c r="B231" s="10" t="s">
        <v>574</v>
      </c>
      <c r="C231" s="11" t="s">
        <v>340</v>
      </c>
      <c r="D231" s="12" t="s">
        <v>561</v>
      </c>
      <c r="E231" s="13" t="str">
        <f t="array" ref="E231">INDEX(Turmas!C2:C106,MATCH(D231,Turmas!A2:A106,0))</f>
        <v>Tarde</v>
      </c>
      <c r="F231" s="14">
        <v>0.0</v>
      </c>
      <c r="G231" s="15">
        <v>4.0</v>
      </c>
      <c r="H231" s="15">
        <v>0.0</v>
      </c>
      <c r="I231" s="16" t="str">
        <f t="shared" si="1"/>
        <v>1-6,13-16</v>
      </c>
      <c r="J231" s="16" t="str">
        <f t="shared" si="2"/>
        <v>1-6,13-16</v>
      </c>
      <c r="K231" s="16" t="str">
        <f t="shared" si="3"/>
        <v>1-6,13-16</v>
      </c>
      <c r="L231" s="16" t="str">
        <f t="shared" si="4"/>
        <v>1-6,13-16</v>
      </c>
      <c r="M231" s="16" t="str">
        <f t="shared" si="5"/>
        <v>1-6,13-16</v>
      </c>
      <c r="N231" s="16" t="str">
        <f t="shared" si="6"/>
        <v>1-16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575</v>
      </c>
      <c r="B232" s="10" t="s">
        <v>576</v>
      </c>
      <c r="C232" s="11" t="s">
        <v>577</v>
      </c>
      <c r="D232" s="12" t="s">
        <v>578</v>
      </c>
      <c r="E232" s="13" t="str">
        <f t="array" ref="E232">INDEX(Turmas!C2:C106,MATCH(D232,Turmas!A2:A106,0))</f>
        <v>Manhã</v>
      </c>
      <c r="F232" s="14">
        <v>0.0</v>
      </c>
      <c r="G232" s="15">
        <v>4.0</v>
      </c>
      <c r="H232" s="15">
        <v>0.0</v>
      </c>
      <c r="I232" s="16" t="str">
        <f t="shared" si="1"/>
        <v>7-16</v>
      </c>
      <c r="J232" s="16" t="str">
        <f t="shared" si="2"/>
        <v>7-16</v>
      </c>
      <c r="K232" s="16" t="str">
        <f t="shared" si="3"/>
        <v>7-16</v>
      </c>
      <c r="L232" s="16" t="str">
        <f t="shared" si="4"/>
        <v>7-16</v>
      </c>
      <c r="M232" s="16" t="str">
        <f t="shared" si="5"/>
        <v>7-16</v>
      </c>
      <c r="N232" s="16" t="str">
        <f t="shared" si="6"/>
        <v>1-16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579</v>
      </c>
      <c r="B233" s="10" t="s">
        <v>580</v>
      </c>
      <c r="C233" s="11" t="s">
        <v>581</v>
      </c>
      <c r="D233" s="12" t="s">
        <v>578</v>
      </c>
      <c r="E233" s="13" t="str">
        <f t="array" ref="E233">INDEX(Turmas!C2:C106,MATCH(D233,Turmas!A2:A106,0))</f>
        <v>Manhã</v>
      </c>
      <c r="F233" s="14">
        <v>0.0</v>
      </c>
      <c r="G233" s="15">
        <v>3.0</v>
      </c>
      <c r="H233" s="15">
        <v>0.0</v>
      </c>
      <c r="I233" s="16" t="str">
        <f t="shared" si="1"/>
        <v>7-16</v>
      </c>
      <c r="J233" s="16" t="str">
        <f t="shared" si="2"/>
        <v>7-16</v>
      </c>
      <c r="K233" s="16" t="str">
        <f t="shared" si="3"/>
        <v>7-16</v>
      </c>
      <c r="L233" s="16" t="str">
        <f t="shared" si="4"/>
        <v>7-16</v>
      </c>
      <c r="M233" s="16" t="str">
        <f t="shared" si="5"/>
        <v>7-16</v>
      </c>
      <c r="N233" s="16" t="str">
        <f t="shared" si="6"/>
        <v>1-16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582</v>
      </c>
      <c r="B234" s="10" t="s">
        <v>583</v>
      </c>
      <c r="C234" s="11" t="s">
        <v>584</v>
      </c>
      <c r="D234" s="12" t="s">
        <v>578</v>
      </c>
      <c r="E234" s="13" t="str">
        <f t="array" ref="E234">INDEX(Turmas!C2:C106,MATCH(D234,Turmas!A2:A106,0))</f>
        <v>Manhã</v>
      </c>
      <c r="F234" s="14">
        <v>0.0</v>
      </c>
      <c r="G234" s="15">
        <v>3.0</v>
      </c>
      <c r="H234" s="15">
        <v>0.0</v>
      </c>
      <c r="I234" s="16" t="str">
        <f t="shared" si="1"/>
        <v>7-16</v>
      </c>
      <c r="J234" s="16" t="str">
        <f t="shared" si="2"/>
        <v>7-16</v>
      </c>
      <c r="K234" s="16" t="str">
        <f t="shared" si="3"/>
        <v>7-16</v>
      </c>
      <c r="L234" s="16" t="str">
        <f t="shared" si="4"/>
        <v>7-16</v>
      </c>
      <c r="M234" s="16" t="str">
        <f t="shared" si="5"/>
        <v>7-16</v>
      </c>
      <c r="N234" s="16" t="str">
        <f t="shared" si="6"/>
        <v>1-16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585</v>
      </c>
      <c r="B235" s="10" t="s">
        <v>586</v>
      </c>
      <c r="C235" s="11" t="s">
        <v>577</v>
      </c>
      <c r="D235" s="12" t="s">
        <v>578</v>
      </c>
      <c r="E235" s="13" t="str">
        <f t="array" ref="E235">INDEX(Turmas!C2:C106,MATCH(D235,Turmas!A2:A106,0))</f>
        <v>Manhã</v>
      </c>
      <c r="F235" s="14">
        <v>0.0</v>
      </c>
      <c r="G235" s="15">
        <v>4.0</v>
      </c>
      <c r="H235" s="15">
        <v>0.0</v>
      </c>
      <c r="I235" s="16" t="str">
        <f t="shared" si="1"/>
        <v>7-16</v>
      </c>
      <c r="J235" s="16" t="str">
        <f t="shared" si="2"/>
        <v>7-16</v>
      </c>
      <c r="K235" s="16" t="str">
        <f t="shared" si="3"/>
        <v>7-16</v>
      </c>
      <c r="L235" s="16" t="str">
        <f t="shared" si="4"/>
        <v>7-16</v>
      </c>
      <c r="M235" s="16" t="str">
        <f t="shared" si="5"/>
        <v>7-16</v>
      </c>
      <c r="N235" s="16" t="str">
        <f t="shared" si="6"/>
        <v>1-16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587</v>
      </c>
      <c r="B236" s="10" t="s">
        <v>588</v>
      </c>
      <c r="C236" s="11" t="s">
        <v>577</v>
      </c>
      <c r="D236" s="12" t="s">
        <v>578</v>
      </c>
      <c r="E236" s="13" t="str">
        <f t="array" ref="E236">INDEX(Turmas!C2:C106,MATCH(D236,Turmas!A2:A106,0))</f>
        <v>Manhã</v>
      </c>
      <c r="F236" s="14">
        <v>0.0</v>
      </c>
      <c r="G236" s="15">
        <v>4.0</v>
      </c>
      <c r="H236" s="15">
        <v>0.0</v>
      </c>
      <c r="I236" s="16" t="str">
        <f t="shared" si="1"/>
        <v>7-16</v>
      </c>
      <c r="J236" s="16" t="str">
        <f t="shared" si="2"/>
        <v>7-16</v>
      </c>
      <c r="K236" s="16" t="str">
        <f t="shared" si="3"/>
        <v>7-16</v>
      </c>
      <c r="L236" s="16" t="str">
        <f t="shared" si="4"/>
        <v>7-16</v>
      </c>
      <c r="M236" s="16" t="str">
        <f t="shared" si="5"/>
        <v>7-16</v>
      </c>
      <c r="N236" s="16" t="str">
        <f t="shared" si="6"/>
        <v>1-16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589</v>
      </c>
      <c r="B237" s="10" t="s">
        <v>590</v>
      </c>
      <c r="C237" s="11" t="s">
        <v>591</v>
      </c>
      <c r="D237" s="12" t="s">
        <v>578</v>
      </c>
      <c r="E237" s="13" t="str">
        <f t="array" ref="E237">INDEX(Turmas!C2:C106,MATCH(D237,Turmas!A2:A106,0))</f>
        <v>Manhã</v>
      </c>
      <c r="F237" s="14">
        <v>0.0</v>
      </c>
      <c r="G237" s="15">
        <v>4.0</v>
      </c>
      <c r="H237" s="15">
        <v>0.0</v>
      </c>
      <c r="I237" s="16" t="str">
        <f t="shared" si="1"/>
        <v>7-16</v>
      </c>
      <c r="J237" s="16" t="str">
        <f t="shared" si="2"/>
        <v>7-16</v>
      </c>
      <c r="K237" s="16" t="str">
        <f t="shared" si="3"/>
        <v>7-16</v>
      </c>
      <c r="L237" s="16" t="str">
        <f t="shared" si="4"/>
        <v>7-16</v>
      </c>
      <c r="M237" s="16" t="str">
        <f t="shared" si="5"/>
        <v>7-16</v>
      </c>
      <c r="N237" s="16" t="str">
        <f t="shared" si="6"/>
        <v>1-16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592</v>
      </c>
      <c r="B238" s="10" t="s">
        <v>593</v>
      </c>
      <c r="C238" s="11" t="s">
        <v>581</v>
      </c>
      <c r="D238" s="12" t="s">
        <v>594</v>
      </c>
      <c r="E238" s="13" t="str">
        <f t="array" ref="E238">INDEX(Turmas!C2:C106,MATCH(D238,Turmas!A2:A106,0))</f>
        <v>Tarde</v>
      </c>
      <c r="F238" s="14">
        <v>0.0</v>
      </c>
      <c r="G238" s="15">
        <v>7.0</v>
      </c>
      <c r="H238" s="15">
        <v>0.0</v>
      </c>
      <c r="I238" s="16" t="str">
        <f t="shared" si="1"/>
        <v>1-6,13-16</v>
      </c>
      <c r="J238" s="16" t="str">
        <f t="shared" si="2"/>
        <v>1-6,13-16</v>
      </c>
      <c r="K238" s="16" t="str">
        <f t="shared" si="3"/>
        <v>1-6,13-16</v>
      </c>
      <c r="L238" s="16" t="str">
        <f t="shared" si="4"/>
        <v>1-6,13-16</v>
      </c>
      <c r="M238" s="16" t="str">
        <f t="shared" si="5"/>
        <v>1-6,13-16</v>
      </c>
      <c r="N238" s="16" t="str">
        <f t="shared" si="6"/>
        <v>1-16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595</v>
      </c>
      <c r="B239" s="10" t="s">
        <v>596</v>
      </c>
      <c r="C239" s="11" t="s">
        <v>597</v>
      </c>
      <c r="D239" s="12" t="s">
        <v>594</v>
      </c>
      <c r="E239" s="13" t="str">
        <f t="array" ref="E239">INDEX(Turmas!C2:C106,MATCH(D239,Turmas!A2:A106,0))</f>
        <v>Tarde</v>
      </c>
      <c r="F239" s="14">
        <v>0.0</v>
      </c>
      <c r="G239" s="15">
        <v>3.0</v>
      </c>
      <c r="H239" s="15">
        <v>0.0</v>
      </c>
      <c r="I239" s="16" t="str">
        <f t="shared" si="1"/>
        <v>1-6,13-16</v>
      </c>
      <c r="J239" s="16" t="str">
        <f t="shared" si="2"/>
        <v>1-6,13-16</v>
      </c>
      <c r="K239" s="16" t="str">
        <f t="shared" si="3"/>
        <v>1-6,13-16</v>
      </c>
      <c r="L239" s="16" t="str">
        <f t="shared" si="4"/>
        <v>1-6,13-16</v>
      </c>
      <c r="M239" s="16" t="str">
        <f t="shared" si="5"/>
        <v>1-6,13-16</v>
      </c>
      <c r="N239" s="16" t="str">
        <f t="shared" si="6"/>
        <v>1-16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598</v>
      </c>
      <c r="B240" s="10" t="s">
        <v>599</v>
      </c>
      <c r="C240" s="11" t="s">
        <v>600</v>
      </c>
      <c r="D240" s="12" t="s">
        <v>594</v>
      </c>
      <c r="E240" s="13" t="str">
        <f t="array" ref="E240">INDEX(Turmas!C2:C106,MATCH(D240,Turmas!A2:A106,0))</f>
        <v>Tarde</v>
      </c>
      <c r="F240" s="14">
        <v>0.0</v>
      </c>
      <c r="G240" s="15">
        <v>4.0</v>
      </c>
      <c r="H240" s="15">
        <v>0.0</v>
      </c>
      <c r="I240" s="16" t="str">
        <f t="shared" si="1"/>
        <v>1-6,13-16</v>
      </c>
      <c r="J240" s="16" t="str">
        <f t="shared" si="2"/>
        <v>1-6,13-16</v>
      </c>
      <c r="K240" s="16" t="str">
        <f t="shared" si="3"/>
        <v>1-6,13-16</v>
      </c>
      <c r="L240" s="16" t="str">
        <f t="shared" si="4"/>
        <v>1-6,13-16</v>
      </c>
      <c r="M240" s="16" t="str">
        <f t="shared" si="5"/>
        <v>1-6,13-16</v>
      </c>
      <c r="N240" s="16" t="str">
        <f t="shared" si="6"/>
        <v>1-16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601</v>
      </c>
      <c r="B241" s="10" t="s">
        <v>602</v>
      </c>
      <c r="C241" s="11" t="s">
        <v>600</v>
      </c>
      <c r="D241" s="12" t="s">
        <v>594</v>
      </c>
      <c r="E241" s="13" t="str">
        <f t="array" ref="E241">INDEX(Turmas!C2:C106,MATCH(D241,Turmas!A2:A106,0))</f>
        <v>Tarde</v>
      </c>
      <c r="F241" s="14">
        <v>0.0</v>
      </c>
      <c r="G241" s="15">
        <v>4.0</v>
      </c>
      <c r="H241" s="15">
        <v>0.0</v>
      </c>
      <c r="I241" s="16" t="str">
        <f t="shared" si="1"/>
        <v>1-6,13-16</v>
      </c>
      <c r="J241" s="16" t="str">
        <f t="shared" si="2"/>
        <v>1-6,13-16</v>
      </c>
      <c r="K241" s="16" t="str">
        <f t="shared" si="3"/>
        <v>1-6,13-16</v>
      </c>
      <c r="L241" s="16" t="str">
        <f t="shared" si="4"/>
        <v>1-6,13-16</v>
      </c>
      <c r="M241" s="16" t="str">
        <f t="shared" si="5"/>
        <v>1-6,13-16</v>
      </c>
      <c r="N241" s="16" t="str">
        <f t="shared" si="6"/>
        <v>1-16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603</v>
      </c>
      <c r="B242" s="10" t="s">
        <v>604</v>
      </c>
      <c r="C242" s="11" t="s">
        <v>605</v>
      </c>
      <c r="D242" s="12" t="s">
        <v>594</v>
      </c>
      <c r="E242" s="13" t="str">
        <f t="array" ref="E242">INDEX(Turmas!C2:C106,MATCH(D242,Turmas!A2:A106,0))</f>
        <v>Tarde</v>
      </c>
      <c r="F242" s="14">
        <v>0.0</v>
      </c>
      <c r="G242" s="15">
        <v>3.0</v>
      </c>
      <c r="H242" s="15">
        <v>0.0</v>
      </c>
      <c r="I242" s="16" t="str">
        <f t="shared" si="1"/>
        <v>1-6,13-16</v>
      </c>
      <c r="J242" s="16" t="str">
        <f t="shared" si="2"/>
        <v>1-6,13-16</v>
      </c>
      <c r="K242" s="16" t="str">
        <f t="shared" si="3"/>
        <v>1-6,13-16</v>
      </c>
      <c r="L242" s="16" t="str">
        <f t="shared" si="4"/>
        <v>1-6,13-16</v>
      </c>
      <c r="M242" s="16" t="str">
        <f t="shared" si="5"/>
        <v>1-6,13-16</v>
      </c>
      <c r="N242" s="16" t="str">
        <f t="shared" si="6"/>
        <v>1-16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606</v>
      </c>
      <c r="B243" s="10" t="s">
        <v>607</v>
      </c>
      <c r="C243" s="11" t="s">
        <v>581</v>
      </c>
      <c r="D243" s="12" t="s">
        <v>594</v>
      </c>
      <c r="E243" s="13" t="str">
        <f t="array" ref="E243">INDEX(Turmas!C2:C106,MATCH(D243,Turmas!A2:A106,0))</f>
        <v>Tarde</v>
      </c>
      <c r="F243" s="14">
        <v>0.0</v>
      </c>
      <c r="G243" s="15">
        <v>4.0</v>
      </c>
      <c r="H243" s="15">
        <v>0.0</v>
      </c>
      <c r="I243" s="16" t="str">
        <f t="shared" si="1"/>
        <v>1-6,13-16</v>
      </c>
      <c r="J243" s="16" t="str">
        <f t="shared" si="2"/>
        <v>1-6,13-16</v>
      </c>
      <c r="K243" s="16" t="str">
        <f t="shared" si="3"/>
        <v>1-6,13-16</v>
      </c>
      <c r="L243" s="16" t="str">
        <f t="shared" si="4"/>
        <v>1-6,13-16</v>
      </c>
      <c r="M243" s="16" t="str">
        <f t="shared" si="5"/>
        <v>1-6,13-16</v>
      </c>
      <c r="N243" s="16" t="str">
        <f t="shared" si="6"/>
        <v>1-16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608</v>
      </c>
      <c r="B244" s="10" t="s">
        <v>609</v>
      </c>
      <c r="C244" s="11" t="s">
        <v>154</v>
      </c>
      <c r="D244" s="12" t="s">
        <v>594</v>
      </c>
      <c r="E244" s="13" t="str">
        <f t="array" ref="E244">INDEX(Turmas!C2:C106,MATCH(D244,Turmas!A2:A106,0))</f>
        <v>Tarde</v>
      </c>
      <c r="F244" s="14">
        <v>0.0</v>
      </c>
      <c r="G244" s="15">
        <v>4.0</v>
      </c>
      <c r="H244" s="15">
        <v>0.0</v>
      </c>
      <c r="I244" s="16" t="str">
        <f t="shared" si="1"/>
        <v>1-6,13-16</v>
      </c>
      <c r="J244" s="16" t="str">
        <f t="shared" si="2"/>
        <v>1-6,13-16</v>
      </c>
      <c r="K244" s="16" t="str">
        <f t="shared" si="3"/>
        <v>1-6,13-16</v>
      </c>
      <c r="L244" s="16" t="str">
        <f t="shared" si="4"/>
        <v>1-6,13-16</v>
      </c>
      <c r="M244" s="16" t="str">
        <f t="shared" si="5"/>
        <v>1-6,13-16</v>
      </c>
      <c r="N244" s="16" t="str">
        <f t="shared" si="6"/>
        <v>1-16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610</v>
      </c>
      <c r="B245" s="10" t="s">
        <v>611</v>
      </c>
      <c r="C245" s="11" t="s">
        <v>591</v>
      </c>
      <c r="D245" s="12" t="s">
        <v>612</v>
      </c>
      <c r="E245" s="13" t="str">
        <f t="array" ref="E245">INDEX(Turmas!C2:C106,MATCH(D245,Turmas!A2:A106,0))</f>
        <v>Manhã</v>
      </c>
      <c r="F245" s="14">
        <v>0.0</v>
      </c>
      <c r="G245" s="15">
        <v>6.0</v>
      </c>
      <c r="H245" s="15">
        <v>0.0</v>
      </c>
      <c r="I245" s="16" t="str">
        <f t="shared" si="1"/>
        <v>7-16</v>
      </c>
      <c r="J245" s="16" t="str">
        <f t="shared" si="2"/>
        <v>7-16</v>
      </c>
      <c r="K245" s="16" t="str">
        <f t="shared" si="3"/>
        <v>7-16</v>
      </c>
      <c r="L245" s="16" t="str">
        <f t="shared" si="4"/>
        <v>7-16</v>
      </c>
      <c r="M245" s="16" t="str">
        <f t="shared" si="5"/>
        <v>7-16</v>
      </c>
      <c r="N245" s="16" t="str">
        <f t="shared" si="6"/>
        <v>1-16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613</v>
      </c>
      <c r="B246" s="10" t="s">
        <v>614</v>
      </c>
      <c r="C246" s="11" t="s">
        <v>615</v>
      </c>
      <c r="D246" s="12" t="s">
        <v>612</v>
      </c>
      <c r="E246" s="13" t="str">
        <f t="array" ref="E246">INDEX(Turmas!C2:C106,MATCH(D246,Turmas!A2:A106,0))</f>
        <v>Manhã</v>
      </c>
      <c r="F246" s="14">
        <v>0.0</v>
      </c>
      <c r="G246" s="15">
        <v>7.0</v>
      </c>
      <c r="H246" s="15">
        <v>0.0</v>
      </c>
      <c r="I246" s="16" t="str">
        <f t="shared" si="1"/>
        <v>7-16</v>
      </c>
      <c r="J246" s="16" t="str">
        <f t="shared" si="2"/>
        <v>7-16</v>
      </c>
      <c r="K246" s="16" t="str">
        <f t="shared" si="3"/>
        <v>7-16</v>
      </c>
      <c r="L246" s="16" t="str">
        <f t="shared" si="4"/>
        <v>7-16</v>
      </c>
      <c r="M246" s="16" t="str">
        <f t="shared" si="5"/>
        <v>7-16</v>
      </c>
      <c r="N246" s="16" t="str">
        <f t="shared" si="6"/>
        <v>1-16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616</v>
      </c>
      <c r="B247" s="10" t="s">
        <v>617</v>
      </c>
      <c r="C247" s="11" t="s">
        <v>618</v>
      </c>
      <c r="D247" s="12" t="s">
        <v>619</v>
      </c>
      <c r="E247" s="13" t="str">
        <f t="array" ref="E247">INDEX(Turmas!C2:C106,MATCH(D247,Turmas!A2:A106,0))</f>
        <v>Noite</v>
      </c>
      <c r="F247" s="14">
        <v>0.0</v>
      </c>
      <c r="G247" s="15">
        <v>3.0</v>
      </c>
      <c r="H247" s="15">
        <v>0.0</v>
      </c>
      <c r="I247" s="16" t="str">
        <f t="shared" si="1"/>
        <v>1-12</v>
      </c>
      <c r="J247" s="16" t="str">
        <f t="shared" si="2"/>
        <v>1-12</v>
      </c>
      <c r="K247" s="16" t="str">
        <f t="shared" si="3"/>
        <v>1-12</v>
      </c>
      <c r="L247" s="16" t="str">
        <f t="shared" si="4"/>
        <v>1-12</v>
      </c>
      <c r="M247" s="16" t="str">
        <f t="shared" si="5"/>
        <v>1-12</v>
      </c>
      <c r="N247" s="16" t="str">
        <f t="shared" si="6"/>
        <v>0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620</v>
      </c>
      <c r="B248" s="10" t="s">
        <v>621</v>
      </c>
      <c r="C248" s="11" t="s">
        <v>618</v>
      </c>
      <c r="D248" s="22" t="s">
        <v>619</v>
      </c>
      <c r="E248" s="13" t="str">
        <f t="array" ref="E248">INDEX(Turmas!C2:C106,MATCH(D248,Turmas!A2:A106,0))</f>
        <v>Noite</v>
      </c>
      <c r="F248" s="14">
        <v>0.0</v>
      </c>
      <c r="G248" s="15">
        <v>4.0</v>
      </c>
      <c r="H248" s="15">
        <v>0.0</v>
      </c>
      <c r="I248" s="16" t="str">
        <f t="shared" si="1"/>
        <v>1-12</v>
      </c>
      <c r="J248" s="16" t="str">
        <f t="shared" si="2"/>
        <v>1-12</v>
      </c>
      <c r="K248" s="16" t="str">
        <f t="shared" si="3"/>
        <v>1-12</v>
      </c>
      <c r="L248" s="16" t="str">
        <f t="shared" si="4"/>
        <v>1-12</v>
      </c>
      <c r="M248" s="16" t="str">
        <f t="shared" si="5"/>
        <v>1-12</v>
      </c>
      <c r="N248" s="16" t="str">
        <f t="shared" si="6"/>
        <v>0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622</v>
      </c>
      <c r="B249" s="10" t="s">
        <v>623</v>
      </c>
      <c r="C249" s="11" t="s">
        <v>624</v>
      </c>
      <c r="D249" s="22" t="s">
        <v>619</v>
      </c>
      <c r="E249" s="13" t="str">
        <f t="array" ref="E249">INDEX(Turmas!C2:C106,MATCH(D249,Turmas!A2:A106,0))</f>
        <v>Noite</v>
      </c>
      <c r="F249" s="14">
        <v>0.0</v>
      </c>
      <c r="G249" s="15">
        <v>5.0</v>
      </c>
      <c r="H249" s="15">
        <v>0.0</v>
      </c>
      <c r="I249" s="16" t="str">
        <f t="shared" si="1"/>
        <v>1-12</v>
      </c>
      <c r="J249" s="16" t="str">
        <f t="shared" si="2"/>
        <v>1-12</v>
      </c>
      <c r="K249" s="16" t="str">
        <f t="shared" si="3"/>
        <v>1-12</v>
      </c>
      <c r="L249" s="16" t="str">
        <f t="shared" si="4"/>
        <v>1-12</v>
      </c>
      <c r="M249" s="16" t="str">
        <f t="shared" si="5"/>
        <v>1-12</v>
      </c>
      <c r="N249" s="16" t="str">
        <f t="shared" si="6"/>
        <v>0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625</v>
      </c>
      <c r="B250" s="10" t="s">
        <v>626</v>
      </c>
      <c r="C250" s="11" t="s">
        <v>618</v>
      </c>
      <c r="D250" s="22" t="s">
        <v>619</v>
      </c>
      <c r="E250" s="13" t="str">
        <f t="array" ref="E250">INDEX(Turmas!C2:C106,MATCH(D250,Turmas!A2:A106,0))</f>
        <v>Noite</v>
      </c>
      <c r="F250" s="14">
        <v>0.0</v>
      </c>
      <c r="G250" s="15">
        <v>4.0</v>
      </c>
      <c r="H250" s="15">
        <v>0.0</v>
      </c>
      <c r="I250" s="16" t="str">
        <f t="shared" si="1"/>
        <v>1-12</v>
      </c>
      <c r="J250" s="16" t="str">
        <f t="shared" si="2"/>
        <v>1-12</v>
      </c>
      <c r="K250" s="16" t="str">
        <f t="shared" si="3"/>
        <v>1-12</v>
      </c>
      <c r="L250" s="16" t="str">
        <f t="shared" si="4"/>
        <v>1-12</v>
      </c>
      <c r="M250" s="16" t="str">
        <f t="shared" si="5"/>
        <v>1-12</v>
      </c>
      <c r="N250" s="16" t="str">
        <f t="shared" si="6"/>
        <v>0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627</v>
      </c>
      <c r="B251" s="10" t="s">
        <v>628</v>
      </c>
      <c r="C251" s="11" t="s">
        <v>79</v>
      </c>
      <c r="D251" s="22" t="s">
        <v>619</v>
      </c>
      <c r="E251" s="13" t="str">
        <f t="array" ref="E251">INDEX(Turmas!C2:C106,MATCH(D251,Turmas!A2:A106,0))</f>
        <v>Noite</v>
      </c>
      <c r="F251" s="14">
        <v>0.0</v>
      </c>
      <c r="G251" s="15">
        <v>4.0</v>
      </c>
      <c r="H251" s="15">
        <v>0.0</v>
      </c>
      <c r="I251" s="16" t="str">
        <f t="shared" si="1"/>
        <v>1-12</v>
      </c>
      <c r="J251" s="16" t="str">
        <f t="shared" si="2"/>
        <v>1-12</v>
      </c>
      <c r="K251" s="16" t="str">
        <f t="shared" si="3"/>
        <v>1-12</v>
      </c>
      <c r="L251" s="16" t="str">
        <f t="shared" si="4"/>
        <v>1-12</v>
      </c>
      <c r="M251" s="16" t="str">
        <f t="shared" si="5"/>
        <v>1-12</v>
      </c>
      <c r="N251" s="16" t="str">
        <f t="shared" si="6"/>
        <v>0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302</v>
      </c>
      <c r="B252" s="10" t="s">
        <v>303</v>
      </c>
      <c r="C252" s="11" t="s">
        <v>304</v>
      </c>
      <c r="D252" s="22" t="s">
        <v>629</v>
      </c>
      <c r="E252" s="13" t="str">
        <f t="array" ref="E252">INDEX(Turmas!C2:C106,MATCH(D252,Turmas!A2:A106,0))</f>
        <v>Manhã</v>
      </c>
      <c r="F252" s="14">
        <v>0.0</v>
      </c>
      <c r="G252" s="15">
        <v>4.0</v>
      </c>
      <c r="H252" s="15">
        <v>0.0</v>
      </c>
      <c r="I252" s="16" t="str">
        <f t="shared" si="1"/>
        <v>7-16</v>
      </c>
      <c r="J252" s="16" t="str">
        <f t="shared" si="2"/>
        <v>7-16</v>
      </c>
      <c r="K252" s="16" t="str">
        <f t="shared" si="3"/>
        <v>7-16</v>
      </c>
      <c r="L252" s="16" t="str">
        <f t="shared" si="4"/>
        <v>7-16</v>
      </c>
      <c r="M252" s="16" t="str">
        <f t="shared" si="5"/>
        <v>7-16</v>
      </c>
      <c r="N252" s="16" t="str">
        <f t="shared" si="6"/>
        <v>1-16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306</v>
      </c>
      <c r="B253" s="10" t="s">
        <v>153</v>
      </c>
      <c r="C253" s="11" t="s">
        <v>286</v>
      </c>
      <c r="D253" s="22" t="s">
        <v>629</v>
      </c>
      <c r="E253" s="13" t="str">
        <f t="array" ref="E253">INDEX(Turmas!C2:C106,MATCH(D253,Turmas!A2:A106,0))</f>
        <v>Manhã</v>
      </c>
      <c r="F253" s="14">
        <v>0.0</v>
      </c>
      <c r="G253" s="15">
        <v>4.0</v>
      </c>
      <c r="H253" s="15">
        <v>0.0</v>
      </c>
      <c r="I253" s="16" t="str">
        <f t="shared" si="1"/>
        <v>7-16</v>
      </c>
      <c r="J253" s="16" t="str">
        <f t="shared" si="2"/>
        <v>7-16</v>
      </c>
      <c r="K253" s="16" t="str">
        <f t="shared" si="3"/>
        <v>7-16</v>
      </c>
      <c r="L253" s="16" t="str">
        <f t="shared" si="4"/>
        <v>7-16</v>
      </c>
      <c r="M253" s="16" t="str">
        <f t="shared" si="5"/>
        <v>7-16</v>
      </c>
      <c r="N253" s="16" t="str">
        <f t="shared" si="6"/>
        <v>1-16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536</v>
      </c>
      <c r="B254" s="10" t="s">
        <v>185</v>
      </c>
      <c r="C254" s="11" t="s">
        <v>600</v>
      </c>
      <c r="D254" s="23" t="s">
        <v>629</v>
      </c>
      <c r="E254" s="13" t="str">
        <f t="array" ref="E254">INDEX(Turmas!C2:C106,MATCH(D254,Turmas!A2:A106,0))</f>
        <v>Manhã</v>
      </c>
      <c r="F254" s="14">
        <v>0.0</v>
      </c>
      <c r="G254" s="15">
        <v>4.0</v>
      </c>
      <c r="H254" s="15">
        <v>0.0</v>
      </c>
      <c r="I254" s="16" t="str">
        <f t="shared" si="1"/>
        <v>7-16</v>
      </c>
      <c r="J254" s="16" t="str">
        <f t="shared" si="2"/>
        <v>7-16</v>
      </c>
      <c r="K254" s="16" t="str">
        <f t="shared" si="3"/>
        <v>7-16</v>
      </c>
      <c r="L254" s="16" t="str">
        <f t="shared" si="4"/>
        <v>7-16</v>
      </c>
      <c r="M254" s="16" t="str">
        <f t="shared" si="5"/>
        <v>7-16</v>
      </c>
      <c r="N254" s="16" t="str">
        <f t="shared" si="6"/>
        <v>1-16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630</v>
      </c>
      <c r="B255" s="10" t="s">
        <v>631</v>
      </c>
      <c r="C255" s="11" t="s">
        <v>44</v>
      </c>
      <c r="D255" s="23" t="s">
        <v>629</v>
      </c>
      <c r="E255" s="13" t="str">
        <f t="array" ref="E255">INDEX(Turmas!C2:C106,MATCH(D255,Turmas!A2:A106,0))</f>
        <v>Manhã</v>
      </c>
      <c r="F255" s="14">
        <v>0.0</v>
      </c>
      <c r="G255" s="15">
        <v>3.0</v>
      </c>
      <c r="H255" s="15">
        <v>0.0</v>
      </c>
      <c r="I255" s="16" t="str">
        <f t="shared" si="1"/>
        <v>7-16</v>
      </c>
      <c r="J255" s="16" t="str">
        <f t="shared" si="2"/>
        <v>7-16</v>
      </c>
      <c r="K255" s="16" t="str">
        <f t="shared" si="3"/>
        <v>7-16</v>
      </c>
      <c r="L255" s="16" t="str">
        <f t="shared" si="4"/>
        <v>7-16</v>
      </c>
      <c r="M255" s="16" t="str">
        <f t="shared" si="5"/>
        <v>7-16</v>
      </c>
      <c r="N255" s="16" t="str">
        <f t="shared" si="6"/>
        <v>1-16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632</v>
      </c>
      <c r="B256" s="10" t="s">
        <v>633</v>
      </c>
      <c r="C256" s="11" t="s">
        <v>198</v>
      </c>
      <c r="D256" s="23" t="s">
        <v>629</v>
      </c>
      <c r="E256" s="13" t="str">
        <f t="array" ref="E256">INDEX(Turmas!C2:C106,MATCH(D256,Turmas!A2:A106,0))</f>
        <v>Manhã</v>
      </c>
      <c r="F256" s="14">
        <v>0.0</v>
      </c>
      <c r="G256" s="15">
        <v>6.0</v>
      </c>
      <c r="H256" s="15">
        <v>0.0</v>
      </c>
      <c r="I256" s="16" t="str">
        <f t="shared" si="1"/>
        <v>7-16</v>
      </c>
      <c r="J256" s="16" t="str">
        <f t="shared" si="2"/>
        <v>7-16</v>
      </c>
      <c r="K256" s="16" t="str">
        <f t="shared" si="3"/>
        <v>7-16</v>
      </c>
      <c r="L256" s="16" t="str">
        <f t="shared" si="4"/>
        <v>7-16</v>
      </c>
      <c r="M256" s="16" t="str">
        <f t="shared" si="5"/>
        <v>7-16</v>
      </c>
      <c r="N256" s="16" t="str">
        <f t="shared" si="6"/>
        <v>1-16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455</v>
      </c>
      <c r="B257" s="10" t="s">
        <v>456</v>
      </c>
      <c r="C257" s="11" t="s">
        <v>402</v>
      </c>
      <c r="D257" s="23" t="s">
        <v>634</v>
      </c>
      <c r="E257" s="13" t="str">
        <f t="array" ref="E257">INDEX(Turmas!C2:C106,MATCH(D257,Turmas!A2:A106,0))</f>
        <v>Tarde</v>
      </c>
      <c r="F257" s="14">
        <v>0.0</v>
      </c>
      <c r="G257" s="15">
        <v>4.0</v>
      </c>
      <c r="H257" s="15">
        <v>0.0</v>
      </c>
      <c r="I257" s="16" t="str">
        <f t="shared" si="1"/>
        <v>1-6,13-16</v>
      </c>
      <c r="J257" s="16" t="str">
        <f t="shared" si="2"/>
        <v>1-6,13-16</v>
      </c>
      <c r="K257" s="16" t="str">
        <f t="shared" si="3"/>
        <v>1-6,13-16</v>
      </c>
      <c r="L257" s="16" t="str">
        <f t="shared" si="4"/>
        <v>1-6,13-16</v>
      </c>
      <c r="M257" s="16" t="str">
        <f t="shared" si="5"/>
        <v>1-6,13-16</v>
      </c>
      <c r="N257" s="16" t="str">
        <f t="shared" si="6"/>
        <v>1-16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635</v>
      </c>
      <c r="B258" s="10" t="s">
        <v>636</v>
      </c>
      <c r="C258" s="11" t="s">
        <v>637</v>
      </c>
      <c r="D258" s="23" t="s">
        <v>634</v>
      </c>
      <c r="E258" s="13" t="str">
        <f t="array" ref="E258">INDEX(Turmas!C2:C106,MATCH(D258,Turmas!A2:A106,0))</f>
        <v>Tarde</v>
      </c>
      <c r="F258" s="14">
        <v>0.0</v>
      </c>
      <c r="G258" s="15">
        <v>5.0</v>
      </c>
      <c r="H258" s="15">
        <v>0.0</v>
      </c>
      <c r="I258" s="16" t="str">
        <f t="shared" si="1"/>
        <v>1-6,13-16</v>
      </c>
      <c r="J258" s="16" t="str">
        <f t="shared" si="2"/>
        <v>1-6,13-16</v>
      </c>
      <c r="K258" s="16" t="str">
        <f t="shared" si="3"/>
        <v>1-6,13-16</v>
      </c>
      <c r="L258" s="16" t="str">
        <f t="shared" si="4"/>
        <v>1-6,13-16</v>
      </c>
      <c r="M258" s="16" t="str">
        <f t="shared" si="5"/>
        <v>1-6,13-16</v>
      </c>
      <c r="N258" s="16" t="str">
        <f t="shared" si="6"/>
        <v>1-16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638</v>
      </c>
      <c r="B259" s="10" t="s">
        <v>639</v>
      </c>
      <c r="C259" s="11" t="s">
        <v>640</v>
      </c>
      <c r="D259" s="22" t="s">
        <v>634</v>
      </c>
      <c r="E259" s="13" t="str">
        <f t="array" ref="E259">INDEX(Turmas!C2:C106,MATCH(D259,Turmas!A2:A106,0))</f>
        <v>Tarde</v>
      </c>
      <c r="F259" s="14">
        <v>0.0</v>
      </c>
      <c r="G259" s="15">
        <v>4.0</v>
      </c>
      <c r="H259" s="15">
        <v>0.0</v>
      </c>
      <c r="I259" s="16" t="str">
        <f t="shared" si="1"/>
        <v>1-6,13-16</v>
      </c>
      <c r="J259" s="16" t="str">
        <f t="shared" si="2"/>
        <v>1-6,13-16</v>
      </c>
      <c r="K259" s="16" t="str">
        <f t="shared" si="3"/>
        <v>1-6,13-16</v>
      </c>
      <c r="L259" s="16" t="str">
        <f t="shared" si="4"/>
        <v>1-6,13-16</v>
      </c>
      <c r="M259" s="16" t="str">
        <f t="shared" si="5"/>
        <v>1-6,13-16</v>
      </c>
      <c r="N259" s="16" t="str">
        <f t="shared" si="6"/>
        <v>1-16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641</v>
      </c>
      <c r="B260" s="10" t="s">
        <v>642</v>
      </c>
      <c r="C260" s="11" t="s">
        <v>304</v>
      </c>
      <c r="D260" s="22" t="s">
        <v>634</v>
      </c>
      <c r="E260" s="13" t="str">
        <f t="array" ref="E260">INDEX(Turmas!C2:C106,MATCH(D260,Turmas!A2:A106,0))</f>
        <v>Tarde</v>
      </c>
      <c r="F260" s="14">
        <v>0.0</v>
      </c>
      <c r="G260" s="15">
        <v>4.0</v>
      </c>
      <c r="H260" s="15">
        <v>0.0</v>
      </c>
      <c r="I260" s="16" t="str">
        <f t="shared" si="1"/>
        <v>1-6,13-16</v>
      </c>
      <c r="J260" s="16" t="str">
        <f t="shared" si="2"/>
        <v>1-6,13-16</v>
      </c>
      <c r="K260" s="16" t="str">
        <f t="shared" si="3"/>
        <v>1-6,13-16</v>
      </c>
      <c r="L260" s="16" t="str">
        <f t="shared" si="4"/>
        <v>1-6,13-16</v>
      </c>
      <c r="M260" s="16" t="str">
        <f t="shared" si="5"/>
        <v>1-6,13-16</v>
      </c>
      <c r="N260" s="16" t="str">
        <f t="shared" si="6"/>
        <v>1-16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557</v>
      </c>
      <c r="B261" s="10" t="s">
        <v>200</v>
      </c>
      <c r="C261" s="11" t="s">
        <v>643</v>
      </c>
      <c r="D261" s="22" t="s">
        <v>634</v>
      </c>
      <c r="E261" s="13" t="str">
        <f t="array" ref="E261">INDEX(Turmas!C2:C106,MATCH(D261,Turmas!A2:A106,0))</f>
        <v>Tarde</v>
      </c>
      <c r="F261" s="14">
        <v>0.0</v>
      </c>
      <c r="G261" s="15">
        <v>4.0</v>
      </c>
      <c r="H261" s="15">
        <v>0.0</v>
      </c>
      <c r="I261" s="16" t="str">
        <f t="shared" si="1"/>
        <v>1-6,13-16</v>
      </c>
      <c r="J261" s="16" t="str">
        <f t="shared" si="2"/>
        <v>1-6,13-16</v>
      </c>
      <c r="K261" s="16" t="str">
        <f t="shared" si="3"/>
        <v>1-6,13-16</v>
      </c>
      <c r="L261" s="16" t="str">
        <f t="shared" si="4"/>
        <v>1-6,13-16</v>
      </c>
      <c r="M261" s="16" t="str">
        <f t="shared" si="5"/>
        <v>1-6,13-16</v>
      </c>
      <c r="N261" s="16" t="str">
        <f t="shared" si="6"/>
        <v>1-16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644</v>
      </c>
      <c r="B262" s="10" t="s">
        <v>645</v>
      </c>
      <c r="C262" s="11" t="s">
        <v>141</v>
      </c>
      <c r="D262" s="22" t="s">
        <v>646</v>
      </c>
      <c r="E262" s="13" t="str">
        <f t="array" ref="E262">INDEX(Turmas!C2:C106,MATCH(D262,Turmas!A2:A106,0))</f>
        <v>Manhã</v>
      </c>
      <c r="F262" s="14">
        <v>0.0</v>
      </c>
      <c r="G262" s="15">
        <v>3.0</v>
      </c>
      <c r="H262" s="15">
        <v>0.0</v>
      </c>
      <c r="I262" s="16" t="str">
        <f t="shared" si="1"/>
        <v>7-16</v>
      </c>
      <c r="J262" s="16" t="str">
        <f t="shared" si="2"/>
        <v>7-16</v>
      </c>
      <c r="K262" s="16" t="str">
        <f t="shared" si="3"/>
        <v>7-16</v>
      </c>
      <c r="L262" s="16" t="str">
        <f t="shared" si="4"/>
        <v>7-16</v>
      </c>
      <c r="M262" s="16" t="str">
        <f t="shared" si="5"/>
        <v>7-16</v>
      </c>
      <c r="N262" s="16" t="str">
        <f t="shared" si="6"/>
        <v>1-16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647</v>
      </c>
      <c r="B263" s="10" t="s">
        <v>648</v>
      </c>
      <c r="C263" s="11" t="s">
        <v>333</v>
      </c>
      <c r="D263" s="22" t="s">
        <v>646</v>
      </c>
      <c r="E263" s="13" t="str">
        <f t="array" ref="E263">INDEX(Turmas!C2:C106,MATCH(D263,Turmas!A2:A106,0))</f>
        <v>Manhã</v>
      </c>
      <c r="F263" s="14">
        <v>0.0</v>
      </c>
      <c r="G263" s="15">
        <v>4.0</v>
      </c>
      <c r="H263" s="15">
        <v>0.0</v>
      </c>
      <c r="I263" s="16" t="str">
        <f t="shared" si="1"/>
        <v>7-16</v>
      </c>
      <c r="J263" s="16" t="str">
        <f t="shared" si="2"/>
        <v>7-16</v>
      </c>
      <c r="K263" s="16" t="str">
        <f t="shared" si="3"/>
        <v>7-16</v>
      </c>
      <c r="L263" s="16" t="str">
        <f t="shared" si="4"/>
        <v>7-16</v>
      </c>
      <c r="M263" s="16" t="str">
        <f t="shared" si="5"/>
        <v>7-16</v>
      </c>
      <c r="N263" s="16" t="str">
        <f t="shared" si="6"/>
        <v>1-16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649</v>
      </c>
      <c r="B264" s="10" t="s">
        <v>650</v>
      </c>
      <c r="C264" s="11" t="s">
        <v>643</v>
      </c>
      <c r="D264" s="22" t="s">
        <v>646</v>
      </c>
      <c r="E264" s="13" t="str">
        <f t="array" ref="E264">INDEX(Turmas!C2:C106,MATCH(D264,Turmas!A2:A106,0))</f>
        <v>Manhã</v>
      </c>
      <c r="F264" s="14">
        <v>0.0</v>
      </c>
      <c r="G264" s="15">
        <v>4.0</v>
      </c>
      <c r="H264" s="15">
        <v>0.0</v>
      </c>
      <c r="I264" s="16" t="str">
        <f t="shared" si="1"/>
        <v>7-16</v>
      </c>
      <c r="J264" s="16" t="str">
        <f t="shared" si="2"/>
        <v>7-16</v>
      </c>
      <c r="K264" s="16" t="str">
        <f t="shared" si="3"/>
        <v>7-16</v>
      </c>
      <c r="L264" s="16" t="str">
        <f t="shared" si="4"/>
        <v>7-16</v>
      </c>
      <c r="M264" s="16" t="str">
        <f t="shared" si="5"/>
        <v>7-16</v>
      </c>
      <c r="N264" s="16" t="str">
        <f t="shared" si="6"/>
        <v>1-16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651</v>
      </c>
      <c r="B265" s="10" t="s">
        <v>652</v>
      </c>
      <c r="C265" s="11" t="s">
        <v>560</v>
      </c>
      <c r="D265" s="22" t="s">
        <v>646</v>
      </c>
      <c r="E265" s="13" t="str">
        <f t="array" ref="E265">INDEX(Turmas!C2:C106,MATCH(D265,Turmas!A2:A106,0))</f>
        <v>Manhã</v>
      </c>
      <c r="F265" s="14">
        <v>0.0</v>
      </c>
      <c r="G265" s="15">
        <v>5.0</v>
      </c>
      <c r="H265" s="15">
        <v>0.0</v>
      </c>
      <c r="I265" s="16" t="str">
        <f t="shared" si="1"/>
        <v>7-16</v>
      </c>
      <c r="J265" s="16" t="str">
        <f t="shared" si="2"/>
        <v>7-16</v>
      </c>
      <c r="K265" s="16" t="str">
        <f t="shared" si="3"/>
        <v>7-16</v>
      </c>
      <c r="L265" s="16" t="str">
        <f t="shared" si="4"/>
        <v>7-16</v>
      </c>
      <c r="M265" s="16" t="str">
        <f t="shared" si="5"/>
        <v>7-16</v>
      </c>
      <c r="N265" s="16" t="str">
        <f t="shared" si="6"/>
        <v>1-16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653</v>
      </c>
      <c r="B266" s="10" t="s">
        <v>654</v>
      </c>
      <c r="C266" s="11" t="s">
        <v>655</v>
      </c>
      <c r="D266" s="22" t="s">
        <v>646</v>
      </c>
      <c r="E266" s="13" t="str">
        <f t="array" ref="E266">INDEX(Turmas!C2:C106,MATCH(D266,Turmas!A2:A106,0))</f>
        <v>Manhã</v>
      </c>
      <c r="F266" s="14">
        <v>0.0</v>
      </c>
      <c r="G266" s="15">
        <v>4.0</v>
      </c>
      <c r="H266" s="15">
        <v>0.0</v>
      </c>
      <c r="I266" s="16" t="str">
        <f t="shared" si="1"/>
        <v>7-16</v>
      </c>
      <c r="J266" s="16" t="str">
        <f t="shared" si="2"/>
        <v>7-16</v>
      </c>
      <c r="K266" s="16" t="str">
        <f t="shared" si="3"/>
        <v>7-16</v>
      </c>
      <c r="L266" s="16" t="str">
        <f t="shared" si="4"/>
        <v>7-16</v>
      </c>
      <c r="M266" s="16" t="str">
        <f t="shared" si="5"/>
        <v>7-16</v>
      </c>
      <c r="N266" s="16" t="str">
        <f t="shared" si="6"/>
        <v>1-16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656</v>
      </c>
      <c r="B267" s="10" t="s">
        <v>657</v>
      </c>
      <c r="C267" s="11" t="s">
        <v>345</v>
      </c>
      <c r="D267" s="22" t="s">
        <v>658</v>
      </c>
      <c r="E267" s="13" t="str">
        <f t="array" ref="E267">INDEX(Turmas!C2:C106,MATCH(D267,Turmas!A2:A106,0))</f>
        <v>Tarde</v>
      </c>
      <c r="F267" s="14">
        <v>0.0</v>
      </c>
      <c r="G267" s="15">
        <v>4.0</v>
      </c>
      <c r="H267" s="15">
        <v>0.0</v>
      </c>
      <c r="I267" s="16" t="str">
        <f t="shared" si="1"/>
        <v>1-6,13-16</v>
      </c>
      <c r="J267" s="16" t="str">
        <f t="shared" si="2"/>
        <v>1-6,13-16</v>
      </c>
      <c r="K267" s="16" t="str">
        <f t="shared" si="3"/>
        <v>1-6,13-16</v>
      </c>
      <c r="L267" s="16" t="str">
        <f t="shared" si="4"/>
        <v>1-6,13-16</v>
      </c>
      <c r="M267" s="16" t="str">
        <f t="shared" si="5"/>
        <v>1-6,13-16</v>
      </c>
      <c r="N267" s="16" t="str">
        <f t="shared" si="6"/>
        <v>1-16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659</v>
      </c>
      <c r="B268" s="10" t="s">
        <v>660</v>
      </c>
      <c r="C268" s="11" t="s">
        <v>605</v>
      </c>
      <c r="D268" s="22" t="s">
        <v>658</v>
      </c>
      <c r="E268" s="13" t="str">
        <f t="array" ref="E268">INDEX(Turmas!C2:C106,MATCH(D268,Turmas!A2:A106,0))</f>
        <v>Tarde</v>
      </c>
      <c r="F268" s="14">
        <v>0.0</v>
      </c>
      <c r="G268" s="15">
        <v>3.0</v>
      </c>
      <c r="H268" s="15">
        <v>0.0</v>
      </c>
      <c r="I268" s="16" t="str">
        <f t="shared" si="1"/>
        <v>1-6,13-16</v>
      </c>
      <c r="J268" s="16" t="str">
        <f t="shared" si="2"/>
        <v>1-6,13-16</v>
      </c>
      <c r="K268" s="16" t="str">
        <f t="shared" si="3"/>
        <v>1-6,13-16</v>
      </c>
      <c r="L268" s="16" t="str">
        <f t="shared" si="4"/>
        <v>1-6,13-16</v>
      </c>
      <c r="M268" s="16" t="str">
        <f t="shared" si="5"/>
        <v>1-6,13-16</v>
      </c>
      <c r="N268" s="16" t="str">
        <f t="shared" si="6"/>
        <v>1-16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661</v>
      </c>
      <c r="B269" s="10" t="s">
        <v>662</v>
      </c>
      <c r="C269" s="11" t="s">
        <v>68</v>
      </c>
      <c r="D269" s="22" t="s">
        <v>658</v>
      </c>
      <c r="E269" s="13" t="str">
        <f t="array" ref="E269">INDEX(Turmas!C2:C106,MATCH(D269,Turmas!A2:A106,0))</f>
        <v>Tarde</v>
      </c>
      <c r="F269" s="14">
        <v>0.0</v>
      </c>
      <c r="G269" s="15">
        <v>4.0</v>
      </c>
      <c r="H269" s="15">
        <v>0.0</v>
      </c>
      <c r="I269" s="16" t="str">
        <f t="shared" si="1"/>
        <v>1-6,13-16</v>
      </c>
      <c r="J269" s="16" t="str">
        <f t="shared" si="2"/>
        <v>1-6,13-16</v>
      </c>
      <c r="K269" s="16" t="str">
        <f t="shared" si="3"/>
        <v>1-6,13-16</v>
      </c>
      <c r="L269" s="16" t="str">
        <f t="shared" si="4"/>
        <v>1-6,13-16</v>
      </c>
      <c r="M269" s="16" t="str">
        <f t="shared" si="5"/>
        <v>1-6,13-16</v>
      </c>
      <c r="N269" s="16" t="str">
        <f t="shared" si="6"/>
        <v>1-16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663</v>
      </c>
      <c r="B270" s="10" t="s">
        <v>664</v>
      </c>
      <c r="C270" s="11" t="s">
        <v>637</v>
      </c>
      <c r="D270" s="22" t="s">
        <v>658</v>
      </c>
      <c r="E270" s="13" t="str">
        <f t="array" ref="E270">INDEX(Turmas!C2:C106,MATCH(D270,Turmas!A2:A106,0))</f>
        <v>Tarde</v>
      </c>
      <c r="F270" s="14">
        <v>0.0</v>
      </c>
      <c r="G270" s="15">
        <v>4.0</v>
      </c>
      <c r="H270" s="15">
        <v>0.0</v>
      </c>
      <c r="I270" s="16" t="str">
        <f t="shared" si="1"/>
        <v>1-6,13-16</v>
      </c>
      <c r="J270" s="16" t="str">
        <f t="shared" si="2"/>
        <v>1-6,13-16</v>
      </c>
      <c r="K270" s="16" t="str">
        <f t="shared" si="3"/>
        <v>1-6,13-16</v>
      </c>
      <c r="L270" s="16" t="str">
        <f t="shared" si="4"/>
        <v>1-6,13-16</v>
      </c>
      <c r="M270" s="16" t="str">
        <f t="shared" si="5"/>
        <v>1-6,13-16</v>
      </c>
      <c r="N270" s="16" t="str">
        <f t="shared" si="6"/>
        <v>1-16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665</v>
      </c>
      <c r="B271" s="10" t="s">
        <v>666</v>
      </c>
      <c r="C271" s="11" t="s">
        <v>640</v>
      </c>
      <c r="D271" s="24" t="s">
        <v>658</v>
      </c>
      <c r="E271" s="13" t="str">
        <f t="array" ref="E271">INDEX(Turmas!C2:C106,MATCH(D271,Turmas!A2:A106,0))</f>
        <v>Tarde</v>
      </c>
      <c r="F271" s="14">
        <v>0.0</v>
      </c>
      <c r="G271" s="15">
        <v>5.0</v>
      </c>
      <c r="H271" s="15">
        <v>0.0</v>
      </c>
      <c r="I271" s="16" t="str">
        <f t="shared" si="1"/>
        <v>1-6,13-16</v>
      </c>
      <c r="J271" s="16" t="str">
        <f t="shared" si="2"/>
        <v>1-6,13-16</v>
      </c>
      <c r="K271" s="16" t="str">
        <f t="shared" si="3"/>
        <v>1-6,13-16</v>
      </c>
      <c r="L271" s="16" t="str">
        <f t="shared" si="4"/>
        <v>1-6,13-16</v>
      </c>
      <c r="M271" s="16" t="str">
        <f t="shared" si="5"/>
        <v>1-6,13-16</v>
      </c>
      <c r="N271" s="16" t="str">
        <f t="shared" si="6"/>
        <v>1-16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667</v>
      </c>
      <c r="B272" s="10" t="s">
        <v>668</v>
      </c>
      <c r="C272" s="11" t="s">
        <v>637</v>
      </c>
      <c r="D272" s="24" t="s">
        <v>658</v>
      </c>
      <c r="E272" s="13" t="str">
        <f t="array" ref="E272">INDEX(Turmas!C2:C106,MATCH(D272,Turmas!A2:A106,0))</f>
        <v>Tarde</v>
      </c>
      <c r="F272" s="14">
        <v>0.0</v>
      </c>
      <c r="G272" s="15">
        <v>4.0</v>
      </c>
      <c r="H272" s="15">
        <v>0.0</v>
      </c>
      <c r="I272" s="16" t="str">
        <f t="shared" si="1"/>
        <v>1-6,13-16</v>
      </c>
      <c r="J272" s="16" t="str">
        <f t="shared" si="2"/>
        <v>1-6,13-16</v>
      </c>
      <c r="K272" s="16" t="str">
        <f t="shared" si="3"/>
        <v>1-6,13-16</v>
      </c>
      <c r="L272" s="16" t="str">
        <f t="shared" si="4"/>
        <v>1-6,13-16</v>
      </c>
      <c r="M272" s="16" t="str">
        <f t="shared" si="5"/>
        <v>1-6,13-16</v>
      </c>
      <c r="N272" s="16" t="str">
        <f t="shared" si="6"/>
        <v>1-16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669</v>
      </c>
      <c r="B273" s="10" t="s">
        <v>670</v>
      </c>
      <c r="C273" s="11" t="s">
        <v>655</v>
      </c>
      <c r="D273" s="24" t="s">
        <v>658</v>
      </c>
      <c r="E273" s="13" t="str">
        <f t="array" ref="E273">INDEX(Turmas!C2:C106,MATCH(D273,Turmas!A2:A106,0))</f>
        <v>Tarde</v>
      </c>
      <c r="F273" s="14">
        <v>0.0</v>
      </c>
      <c r="G273" s="15">
        <v>3.0</v>
      </c>
      <c r="H273" s="15">
        <v>0.0</v>
      </c>
      <c r="I273" s="16" t="str">
        <f t="shared" si="1"/>
        <v>1-6,13-16</v>
      </c>
      <c r="J273" s="16" t="str">
        <f t="shared" si="2"/>
        <v>1-6,13-16</v>
      </c>
      <c r="K273" s="16" t="str">
        <f t="shared" si="3"/>
        <v>1-6,13-16</v>
      </c>
      <c r="L273" s="16" t="str">
        <f t="shared" si="4"/>
        <v>1-6,13-16</v>
      </c>
      <c r="M273" s="16" t="str">
        <f t="shared" si="5"/>
        <v>1-6,13-16</v>
      </c>
      <c r="N273" s="16" t="str">
        <f t="shared" si="6"/>
        <v>1-16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671</v>
      </c>
      <c r="B274" s="10" t="s">
        <v>672</v>
      </c>
      <c r="C274" s="11" t="s">
        <v>567</v>
      </c>
      <c r="D274" s="24" t="s">
        <v>673</v>
      </c>
      <c r="E274" s="13" t="str">
        <f t="array" ref="E274">INDEX(Turmas!C2:C106,MATCH(D274,Turmas!A2:A106,0))</f>
        <v>Noite</v>
      </c>
      <c r="F274" s="14">
        <v>0.0</v>
      </c>
      <c r="G274" s="15">
        <v>4.0</v>
      </c>
      <c r="H274" s="15">
        <v>0.0</v>
      </c>
      <c r="I274" s="16" t="str">
        <f t="shared" si="1"/>
        <v>1-12</v>
      </c>
      <c r="J274" s="16" t="str">
        <f t="shared" si="2"/>
        <v>1-12</v>
      </c>
      <c r="K274" s="16" t="str">
        <f t="shared" si="3"/>
        <v>1-12</v>
      </c>
      <c r="L274" s="16" t="str">
        <f t="shared" si="4"/>
        <v>1-12</v>
      </c>
      <c r="M274" s="16" t="str">
        <f t="shared" si="5"/>
        <v>1-12</v>
      </c>
      <c r="N274" s="16" t="str">
        <f t="shared" si="6"/>
        <v>0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674</v>
      </c>
      <c r="B275" s="10" t="s">
        <v>675</v>
      </c>
      <c r="C275" s="11" t="s">
        <v>600</v>
      </c>
      <c r="D275" s="24" t="s">
        <v>673</v>
      </c>
      <c r="E275" s="13" t="str">
        <f t="array" ref="E275">INDEX(Turmas!C2:C106,MATCH(D275,Turmas!A2:A106,0))</f>
        <v>Noite</v>
      </c>
      <c r="F275" s="14">
        <v>0.0</v>
      </c>
      <c r="G275" s="15">
        <v>5.0</v>
      </c>
      <c r="H275" s="15">
        <v>0.0</v>
      </c>
      <c r="I275" s="16" t="str">
        <f t="shared" si="1"/>
        <v>1-12</v>
      </c>
      <c r="J275" s="16" t="str">
        <f t="shared" si="2"/>
        <v>1-12</v>
      </c>
      <c r="K275" s="16" t="str">
        <f t="shared" si="3"/>
        <v>1-12</v>
      </c>
      <c r="L275" s="16" t="str">
        <f t="shared" si="4"/>
        <v>1-12</v>
      </c>
      <c r="M275" s="16" t="str">
        <f t="shared" si="5"/>
        <v>1-12</v>
      </c>
      <c r="N275" s="16" t="str">
        <f t="shared" si="6"/>
        <v>0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676</v>
      </c>
      <c r="B276" s="10" t="s">
        <v>677</v>
      </c>
      <c r="C276" s="11" t="s">
        <v>556</v>
      </c>
      <c r="D276" s="24" t="s">
        <v>673</v>
      </c>
      <c r="E276" s="13" t="str">
        <f t="array" ref="E276">INDEX(Turmas!C2:C106,MATCH(D276,Turmas!A2:A106,0))</f>
        <v>Noite</v>
      </c>
      <c r="F276" s="14">
        <v>0.0</v>
      </c>
      <c r="G276" s="15">
        <v>4.0</v>
      </c>
      <c r="H276" s="15">
        <v>0.0</v>
      </c>
      <c r="I276" s="16" t="str">
        <f t="shared" si="1"/>
        <v>1-12</v>
      </c>
      <c r="J276" s="16" t="str">
        <f t="shared" si="2"/>
        <v>1-12</v>
      </c>
      <c r="K276" s="16" t="str">
        <f t="shared" si="3"/>
        <v>1-12</v>
      </c>
      <c r="L276" s="16" t="str">
        <f t="shared" si="4"/>
        <v>1-12</v>
      </c>
      <c r="M276" s="16" t="str">
        <f t="shared" si="5"/>
        <v>1-12</v>
      </c>
      <c r="N276" s="16" t="str">
        <f t="shared" si="6"/>
        <v>0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678</v>
      </c>
      <c r="B277" s="10" t="s">
        <v>679</v>
      </c>
      <c r="C277" s="11" t="s">
        <v>556</v>
      </c>
      <c r="D277" s="24" t="s">
        <v>673</v>
      </c>
      <c r="E277" s="13" t="str">
        <f t="array" ref="E277">INDEX(Turmas!C2:C106,MATCH(D277,Turmas!A2:A106,0))</f>
        <v>Noite</v>
      </c>
      <c r="F277" s="14">
        <v>0.0</v>
      </c>
      <c r="G277" s="15">
        <v>4.0</v>
      </c>
      <c r="H277" s="15">
        <v>0.0</v>
      </c>
      <c r="I277" s="16" t="str">
        <f t="shared" si="1"/>
        <v>1-12</v>
      </c>
      <c r="J277" s="16" t="str">
        <f t="shared" si="2"/>
        <v>1-12</v>
      </c>
      <c r="K277" s="16" t="str">
        <f t="shared" si="3"/>
        <v>1-12</v>
      </c>
      <c r="L277" s="16" t="str">
        <f t="shared" si="4"/>
        <v>1-12</v>
      </c>
      <c r="M277" s="16" t="str">
        <f t="shared" si="5"/>
        <v>1-12</v>
      </c>
      <c r="N277" s="16" t="str">
        <f t="shared" si="6"/>
        <v>0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680</v>
      </c>
      <c r="B278" s="10" t="s">
        <v>215</v>
      </c>
      <c r="C278" s="11" t="s">
        <v>201</v>
      </c>
      <c r="D278" s="24" t="s">
        <v>673</v>
      </c>
      <c r="E278" s="13" t="str">
        <f t="array" ref="E278">INDEX(Turmas!C2:C106,MATCH(D278,Turmas!A2:A106,0))</f>
        <v>Noite</v>
      </c>
      <c r="F278" s="14">
        <v>0.0</v>
      </c>
      <c r="G278" s="15">
        <v>3.0</v>
      </c>
      <c r="H278" s="15">
        <v>0.0</v>
      </c>
      <c r="I278" s="16" t="str">
        <f t="shared" si="1"/>
        <v>1-12</v>
      </c>
      <c r="J278" s="16" t="str">
        <f t="shared" si="2"/>
        <v>1-12</v>
      </c>
      <c r="K278" s="16" t="str">
        <f t="shared" si="3"/>
        <v>1-12</v>
      </c>
      <c r="L278" s="16" t="str">
        <f t="shared" si="4"/>
        <v>1-12</v>
      </c>
      <c r="M278" s="16" t="str">
        <f t="shared" si="5"/>
        <v>1-12</v>
      </c>
      <c r="N278" s="16" t="str">
        <f t="shared" si="6"/>
        <v>0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681</v>
      </c>
      <c r="B279" s="10" t="s">
        <v>88</v>
      </c>
      <c r="C279" s="11"/>
      <c r="D279" s="24" t="s">
        <v>682</v>
      </c>
      <c r="E279" s="13" t="str">
        <f t="array" ref="E279">INDEX(Turmas!C2:C106,MATCH(D279,Turmas!A2:A106,0))</f>
        <v>Noite</v>
      </c>
      <c r="F279" s="14">
        <v>0.0</v>
      </c>
      <c r="G279" s="15">
        <v>0.0</v>
      </c>
      <c r="H279" s="15">
        <v>0.0</v>
      </c>
      <c r="I279" s="16" t="str">
        <f t="shared" si="1"/>
        <v>1-12</v>
      </c>
      <c r="J279" s="16" t="str">
        <f t="shared" si="2"/>
        <v>1-12</v>
      </c>
      <c r="K279" s="16" t="str">
        <f t="shared" si="3"/>
        <v>1-12</v>
      </c>
      <c r="L279" s="16" t="str">
        <f t="shared" si="4"/>
        <v>1-12</v>
      </c>
      <c r="M279" s="16" t="str">
        <f t="shared" si="5"/>
        <v>1-12</v>
      </c>
      <c r="N279" s="16" t="str">
        <f t="shared" si="6"/>
        <v>0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683</v>
      </c>
      <c r="B280" s="10" t="s">
        <v>684</v>
      </c>
      <c r="C280" s="11"/>
      <c r="D280" s="24" t="s">
        <v>682</v>
      </c>
      <c r="E280" s="13" t="str">
        <f t="array" ref="E280">INDEX(Turmas!C2:C106,MATCH(D280,Turmas!A2:A106,0))</f>
        <v>Noite</v>
      </c>
      <c r="F280" s="14">
        <v>0.0</v>
      </c>
      <c r="G280" s="15">
        <v>0.0</v>
      </c>
      <c r="H280" s="15">
        <v>0.0</v>
      </c>
      <c r="I280" s="16" t="str">
        <f t="shared" si="1"/>
        <v>1-12</v>
      </c>
      <c r="J280" s="16" t="str">
        <f t="shared" si="2"/>
        <v>1-12</v>
      </c>
      <c r="K280" s="16" t="str">
        <f t="shared" si="3"/>
        <v>1-12</v>
      </c>
      <c r="L280" s="16" t="str">
        <f t="shared" si="4"/>
        <v>1-12</v>
      </c>
      <c r="M280" s="16" t="str">
        <f t="shared" si="5"/>
        <v>1-12</v>
      </c>
      <c r="N280" s="16" t="str">
        <f t="shared" si="6"/>
        <v>0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685</v>
      </c>
      <c r="B281" s="10" t="s">
        <v>686</v>
      </c>
      <c r="C281" s="11" t="s">
        <v>605</v>
      </c>
      <c r="D281" s="24" t="s">
        <v>682</v>
      </c>
      <c r="E281" s="13" t="str">
        <f t="array" ref="E281">INDEX(Turmas!C2:C106,MATCH(D281,Turmas!A2:A106,0))</f>
        <v>Noite</v>
      </c>
      <c r="F281" s="14">
        <v>0.0</v>
      </c>
      <c r="G281" s="15">
        <v>4.0</v>
      </c>
      <c r="H281" s="15">
        <v>0.0</v>
      </c>
      <c r="I281" s="16" t="str">
        <f t="shared" si="1"/>
        <v>1-12</v>
      </c>
      <c r="J281" s="16" t="str">
        <f t="shared" si="2"/>
        <v>1-12</v>
      </c>
      <c r="K281" s="16" t="str">
        <f t="shared" si="3"/>
        <v>1-12</v>
      </c>
      <c r="L281" s="16" t="str">
        <f t="shared" si="4"/>
        <v>1-12</v>
      </c>
      <c r="M281" s="16" t="str">
        <f t="shared" si="5"/>
        <v>1-12</v>
      </c>
      <c r="N281" s="16" t="str">
        <f t="shared" si="6"/>
        <v>0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687</v>
      </c>
      <c r="B282" s="10" t="s">
        <v>688</v>
      </c>
      <c r="C282" s="11" t="s">
        <v>556</v>
      </c>
      <c r="D282" s="24" t="s">
        <v>682</v>
      </c>
      <c r="E282" s="13" t="str">
        <f t="array" ref="E282">INDEX(Turmas!C2:C106,MATCH(D282,Turmas!A2:A106,0))</f>
        <v>Noite</v>
      </c>
      <c r="F282" s="14">
        <v>0.0</v>
      </c>
      <c r="G282" s="15">
        <v>3.0</v>
      </c>
      <c r="H282" s="15">
        <v>0.0</v>
      </c>
      <c r="I282" s="16" t="str">
        <f t="shared" si="1"/>
        <v>1-12</v>
      </c>
      <c r="J282" s="16" t="str">
        <f t="shared" si="2"/>
        <v>1-12</v>
      </c>
      <c r="K282" s="16" t="str">
        <f t="shared" si="3"/>
        <v>1-12</v>
      </c>
      <c r="L282" s="16" t="str">
        <f t="shared" si="4"/>
        <v>1-12</v>
      </c>
      <c r="M282" s="16" t="str">
        <f t="shared" si="5"/>
        <v>1-12</v>
      </c>
      <c r="N282" s="16" t="str">
        <f t="shared" si="6"/>
        <v>0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689</v>
      </c>
      <c r="B283" s="10" t="s">
        <v>690</v>
      </c>
      <c r="C283" s="11"/>
      <c r="D283" s="24" t="s">
        <v>682</v>
      </c>
      <c r="E283" s="13" t="str">
        <f t="array" ref="E283">INDEX(Turmas!C2:C106,MATCH(D283,Turmas!A2:A106,0))</f>
        <v>Noite</v>
      </c>
      <c r="F283" s="14">
        <v>0.0</v>
      </c>
      <c r="G283" s="15">
        <v>0.0</v>
      </c>
      <c r="H283" s="15">
        <v>0.0</v>
      </c>
      <c r="I283" s="16" t="str">
        <f t="shared" si="1"/>
        <v>1-12</v>
      </c>
      <c r="J283" s="16" t="str">
        <f t="shared" si="2"/>
        <v>1-12</v>
      </c>
      <c r="K283" s="16" t="str">
        <f t="shared" si="3"/>
        <v>1-12</v>
      </c>
      <c r="L283" s="16" t="str">
        <f t="shared" si="4"/>
        <v>1-12</v>
      </c>
      <c r="M283" s="16" t="str">
        <f t="shared" si="5"/>
        <v>1-12</v>
      </c>
      <c r="N283" s="16" t="str">
        <f t="shared" si="6"/>
        <v>0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691</v>
      </c>
      <c r="B284" s="10" t="s">
        <v>692</v>
      </c>
      <c r="C284" s="11" t="s">
        <v>556</v>
      </c>
      <c r="D284" s="24" t="s">
        <v>682</v>
      </c>
      <c r="E284" s="13" t="str">
        <f t="array" ref="E284">INDEX(Turmas!C2:C106,MATCH(D284,Turmas!A2:A106,0))</f>
        <v>Noite</v>
      </c>
      <c r="F284" s="14">
        <v>0.0</v>
      </c>
      <c r="G284" s="15">
        <v>4.0</v>
      </c>
      <c r="H284" s="15">
        <v>0.0</v>
      </c>
      <c r="I284" s="16" t="str">
        <f t="shared" si="1"/>
        <v>1-12</v>
      </c>
      <c r="J284" s="16" t="str">
        <f t="shared" si="2"/>
        <v>1-12</v>
      </c>
      <c r="K284" s="16" t="str">
        <f t="shared" si="3"/>
        <v>1-12</v>
      </c>
      <c r="L284" s="16" t="str">
        <f t="shared" si="4"/>
        <v>1-12</v>
      </c>
      <c r="M284" s="16" t="str">
        <f t="shared" si="5"/>
        <v>1-12</v>
      </c>
      <c r="N284" s="16" t="str">
        <f t="shared" si="6"/>
        <v>0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693</v>
      </c>
      <c r="B285" s="10" t="s">
        <v>694</v>
      </c>
      <c r="C285" s="11" t="s">
        <v>44</v>
      </c>
      <c r="D285" s="24" t="s">
        <v>695</v>
      </c>
      <c r="E285" s="13" t="str">
        <f t="array" ref="E285">INDEX(Turmas!C2:C106,MATCH(D285,Turmas!A2:A106,0))</f>
        <v>Integral</v>
      </c>
      <c r="F285" s="14">
        <v>0.0</v>
      </c>
      <c r="G285" s="15">
        <v>3.0</v>
      </c>
      <c r="H285" s="15">
        <v>0.0</v>
      </c>
      <c r="I285" s="16" t="str">
        <f t="shared" si="1"/>
        <v>13-16</v>
      </c>
      <c r="J285" s="16" t="str">
        <f t="shared" si="2"/>
        <v>13-16</v>
      </c>
      <c r="K285" s="16" t="str">
        <f t="shared" si="3"/>
        <v>13-16</v>
      </c>
      <c r="L285" s="16" t="str">
        <f t="shared" si="4"/>
        <v>13-16</v>
      </c>
      <c r="M285" s="16" t="str">
        <f t="shared" si="5"/>
        <v>13-16</v>
      </c>
      <c r="N285" s="16" t="str">
        <f t="shared" si="6"/>
        <v>1-16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696</v>
      </c>
      <c r="B286" s="10" t="s">
        <v>697</v>
      </c>
      <c r="C286" s="11" t="s">
        <v>402</v>
      </c>
      <c r="D286" s="24" t="s">
        <v>695</v>
      </c>
      <c r="E286" s="13" t="str">
        <f t="array" ref="E286">INDEX(Turmas!C2:C106,MATCH(D286,Turmas!A2:A106,0))</f>
        <v>Integral</v>
      </c>
      <c r="F286" s="14">
        <v>0.0</v>
      </c>
      <c r="G286" s="15">
        <v>3.0</v>
      </c>
      <c r="H286" s="15">
        <v>0.0</v>
      </c>
      <c r="I286" s="16" t="str">
        <f t="shared" si="1"/>
        <v>13-16</v>
      </c>
      <c r="J286" s="16" t="str">
        <f t="shared" si="2"/>
        <v>13-16</v>
      </c>
      <c r="K286" s="16" t="str">
        <f t="shared" si="3"/>
        <v>13-16</v>
      </c>
      <c r="L286" s="16" t="str">
        <f t="shared" si="4"/>
        <v>13-16</v>
      </c>
      <c r="M286" s="16" t="str">
        <f t="shared" si="5"/>
        <v>13-16</v>
      </c>
      <c r="N286" s="16" t="str">
        <f t="shared" si="6"/>
        <v>1-16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698</v>
      </c>
      <c r="B287" s="10" t="s">
        <v>699</v>
      </c>
      <c r="C287" s="11" t="s">
        <v>552</v>
      </c>
      <c r="D287" s="24" t="s">
        <v>695</v>
      </c>
      <c r="E287" s="13" t="str">
        <f t="array" ref="E287">INDEX(Turmas!C2:C106,MATCH(D287,Turmas!A2:A106,0))</f>
        <v>Integral</v>
      </c>
      <c r="F287" s="14">
        <v>0.0</v>
      </c>
      <c r="G287" s="15">
        <v>3.0</v>
      </c>
      <c r="H287" s="15">
        <v>0.0</v>
      </c>
      <c r="I287" s="16" t="str">
        <f t="shared" si="1"/>
        <v>13-16</v>
      </c>
      <c r="J287" s="16" t="str">
        <f t="shared" si="2"/>
        <v>13-16</v>
      </c>
      <c r="K287" s="16" t="str">
        <f t="shared" si="3"/>
        <v>13-16</v>
      </c>
      <c r="L287" s="16" t="str">
        <f t="shared" si="4"/>
        <v>13-16</v>
      </c>
      <c r="M287" s="16" t="str">
        <f t="shared" si="5"/>
        <v>13-16</v>
      </c>
      <c r="N287" s="16" t="str">
        <f t="shared" si="6"/>
        <v>1-16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700</v>
      </c>
      <c r="B288" s="10" t="s">
        <v>38</v>
      </c>
      <c r="C288" s="11" t="s">
        <v>33</v>
      </c>
      <c r="D288" s="24" t="s">
        <v>695</v>
      </c>
      <c r="E288" s="13" t="str">
        <f t="array" ref="E288">INDEX(Turmas!C2:C106,MATCH(D288,Turmas!A2:A106,0))</f>
        <v>Integral</v>
      </c>
      <c r="F288" s="14">
        <v>0.0</v>
      </c>
      <c r="G288" s="15">
        <v>4.0</v>
      </c>
      <c r="H288" s="15">
        <v>0.0</v>
      </c>
      <c r="I288" s="16" t="str">
        <f t="shared" si="1"/>
        <v>13-16</v>
      </c>
      <c r="J288" s="16" t="str">
        <f t="shared" si="2"/>
        <v>13-16</v>
      </c>
      <c r="K288" s="16" t="str">
        <f t="shared" si="3"/>
        <v>13-16</v>
      </c>
      <c r="L288" s="16" t="str">
        <f t="shared" si="4"/>
        <v>13-16</v>
      </c>
      <c r="M288" s="16" t="str">
        <f t="shared" si="5"/>
        <v>13-16</v>
      </c>
      <c r="N288" s="16" t="str">
        <f t="shared" si="6"/>
        <v>1-16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701</v>
      </c>
      <c r="B289" s="10" t="s">
        <v>303</v>
      </c>
      <c r="C289" s="11" t="s">
        <v>304</v>
      </c>
      <c r="D289" s="24" t="s">
        <v>702</v>
      </c>
      <c r="E289" s="13" t="str">
        <f t="array" ref="E289">INDEX(Turmas!C2:C106,MATCH(D289,Turmas!A2:A106,0))</f>
        <v>Manhã</v>
      </c>
      <c r="F289" s="14">
        <v>0.0</v>
      </c>
      <c r="G289" s="15">
        <v>5.0</v>
      </c>
      <c r="H289" s="15">
        <v>0.0</v>
      </c>
      <c r="I289" s="16" t="str">
        <f t="shared" si="1"/>
        <v>7-16</v>
      </c>
      <c r="J289" s="16" t="str">
        <f t="shared" si="2"/>
        <v>7-16</v>
      </c>
      <c r="K289" s="16" t="str">
        <f t="shared" si="3"/>
        <v>7-16</v>
      </c>
      <c r="L289" s="16" t="str">
        <f t="shared" si="4"/>
        <v>7-16</v>
      </c>
      <c r="M289" s="16" t="str">
        <f t="shared" si="5"/>
        <v>7-16</v>
      </c>
      <c r="N289" s="16" t="str">
        <f t="shared" si="6"/>
        <v>1-16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703</v>
      </c>
      <c r="B290" s="10" t="s">
        <v>32</v>
      </c>
      <c r="C290" s="11" t="s">
        <v>33</v>
      </c>
      <c r="D290" s="22" t="s">
        <v>702</v>
      </c>
      <c r="E290" s="13" t="str">
        <f t="array" ref="E290">INDEX(Turmas!C2:C106,MATCH(D290,Turmas!A2:A106,0))</f>
        <v>Manhã</v>
      </c>
      <c r="F290" s="14">
        <v>0.0</v>
      </c>
      <c r="G290" s="15">
        <v>5.0</v>
      </c>
      <c r="H290" s="15">
        <v>0.0</v>
      </c>
      <c r="I290" s="16" t="str">
        <f t="shared" si="1"/>
        <v>7-16</v>
      </c>
      <c r="J290" s="16" t="str">
        <f t="shared" si="2"/>
        <v>7-16</v>
      </c>
      <c r="K290" s="16" t="str">
        <f t="shared" si="3"/>
        <v>7-16</v>
      </c>
      <c r="L290" s="16" t="str">
        <f t="shared" si="4"/>
        <v>7-16</v>
      </c>
      <c r="M290" s="16" t="str">
        <f t="shared" si="5"/>
        <v>7-16</v>
      </c>
      <c r="N290" s="16" t="str">
        <f t="shared" si="6"/>
        <v>1-16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704</v>
      </c>
      <c r="B291" s="10" t="s">
        <v>551</v>
      </c>
      <c r="C291" s="11" t="s">
        <v>552</v>
      </c>
      <c r="D291" s="22" t="s">
        <v>702</v>
      </c>
      <c r="E291" s="13" t="str">
        <f t="array" ref="E291">INDEX(Turmas!C2:C106,MATCH(D291,Turmas!A2:A106,0))</f>
        <v>Manhã</v>
      </c>
      <c r="F291" s="14">
        <v>0.0</v>
      </c>
      <c r="G291" s="15">
        <v>2.0</v>
      </c>
      <c r="H291" s="15">
        <v>0.0</v>
      </c>
      <c r="I291" s="16" t="str">
        <f t="shared" si="1"/>
        <v>7-16</v>
      </c>
      <c r="J291" s="16" t="str">
        <f t="shared" si="2"/>
        <v>7-16</v>
      </c>
      <c r="K291" s="16" t="str">
        <f t="shared" si="3"/>
        <v>7-16</v>
      </c>
      <c r="L291" s="16" t="str">
        <f t="shared" si="4"/>
        <v>7-16</v>
      </c>
      <c r="M291" s="16" t="str">
        <f t="shared" si="5"/>
        <v>7-16</v>
      </c>
      <c r="N291" s="16" t="str">
        <f t="shared" si="6"/>
        <v>1-16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705</v>
      </c>
      <c r="B292" s="10" t="s">
        <v>46</v>
      </c>
      <c r="C292" s="11" t="s">
        <v>47</v>
      </c>
      <c r="D292" s="22" t="s">
        <v>702</v>
      </c>
      <c r="E292" s="13" t="str">
        <f t="array" ref="E292">INDEX(Turmas!C2:C106,MATCH(D292,Turmas!A2:A106,0))</f>
        <v>Manhã</v>
      </c>
      <c r="F292" s="14">
        <v>0.0</v>
      </c>
      <c r="G292" s="15">
        <v>5.0</v>
      </c>
      <c r="H292" s="15">
        <v>0.0</v>
      </c>
      <c r="I292" s="16" t="str">
        <f t="shared" si="1"/>
        <v>7-16</v>
      </c>
      <c r="J292" s="16" t="str">
        <f t="shared" si="2"/>
        <v>7-16</v>
      </c>
      <c r="K292" s="16" t="str">
        <f t="shared" si="3"/>
        <v>7-16</v>
      </c>
      <c r="L292" s="16" t="str">
        <f t="shared" si="4"/>
        <v>7-16</v>
      </c>
      <c r="M292" s="16" t="str">
        <f t="shared" si="5"/>
        <v>7-16</v>
      </c>
      <c r="N292" s="16" t="str">
        <f t="shared" si="6"/>
        <v>1-16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706</v>
      </c>
      <c r="B293" s="10" t="s">
        <v>707</v>
      </c>
      <c r="C293" s="11" t="s">
        <v>708</v>
      </c>
      <c r="D293" s="22" t="s">
        <v>702</v>
      </c>
      <c r="E293" s="13" t="str">
        <f t="array" ref="E293">INDEX(Turmas!C2:C106,MATCH(D293,Turmas!A2:A106,0))</f>
        <v>Manhã</v>
      </c>
      <c r="F293" s="14">
        <v>0.0</v>
      </c>
      <c r="G293" s="15">
        <v>2.0</v>
      </c>
      <c r="H293" s="15">
        <v>0.0</v>
      </c>
      <c r="I293" s="16" t="str">
        <f t="shared" si="1"/>
        <v>7-16</v>
      </c>
      <c r="J293" s="16" t="str">
        <f t="shared" si="2"/>
        <v>7-16</v>
      </c>
      <c r="K293" s="16" t="str">
        <f t="shared" si="3"/>
        <v>7-16</v>
      </c>
      <c r="L293" s="16" t="str">
        <f t="shared" si="4"/>
        <v>7-16</v>
      </c>
      <c r="M293" s="16" t="str">
        <f t="shared" si="5"/>
        <v>7-16</v>
      </c>
      <c r="N293" s="16" t="str">
        <f t="shared" si="6"/>
        <v>1-16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706</v>
      </c>
      <c r="B294" s="10" t="s">
        <v>707</v>
      </c>
      <c r="C294" s="11" t="s">
        <v>708</v>
      </c>
      <c r="D294" s="22" t="s">
        <v>702</v>
      </c>
      <c r="E294" s="13" t="str">
        <f t="array" ref="E294">INDEX(Turmas!C2:C106,MATCH(D294,Turmas!A2:A106,0))</f>
        <v>Manhã</v>
      </c>
      <c r="F294" s="14">
        <v>0.0</v>
      </c>
      <c r="G294" s="15">
        <v>2.0</v>
      </c>
      <c r="H294" s="15">
        <v>0.0</v>
      </c>
      <c r="I294" s="16" t="str">
        <f t="shared" si="1"/>
        <v>7-16</v>
      </c>
      <c r="J294" s="16" t="str">
        <f t="shared" si="2"/>
        <v>7-16</v>
      </c>
      <c r="K294" s="16" t="str">
        <f t="shared" si="3"/>
        <v>7-16</v>
      </c>
      <c r="L294" s="16" t="str">
        <f t="shared" si="4"/>
        <v>7-16</v>
      </c>
      <c r="M294" s="16" t="str">
        <f t="shared" si="5"/>
        <v>7-16</v>
      </c>
      <c r="N294" s="16" t="str">
        <f t="shared" si="6"/>
        <v>1-16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709</v>
      </c>
      <c r="B295" s="10" t="s">
        <v>710</v>
      </c>
      <c r="C295" s="11" t="s">
        <v>711</v>
      </c>
      <c r="D295" s="22" t="s">
        <v>702</v>
      </c>
      <c r="E295" s="13" t="str">
        <f t="array" ref="E295">INDEX(Turmas!C2:C106,MATCH(D295,Turmas!A2:A106,0))</f>
        <v>Manhã</v>
      </c>
      <c r="F295" s="14">
        <v>0.0</v>
      </c>
      <c r="G295" s="15">
        <v>5.0</v>
      </c>
      <c r="H295" s="15">
        <v>0.0</v>
      </c>
      <c r="I295" s="16" t="str">
        <f t="shared" si="1"/>
        <v>7-16</v>
      </c>
      <c r="J295" s="16" t="str">
        <f t="shared" si="2"/>
        <v>7-16</v>
      </c>
      <c r="K295" s="16" t="str">
        <f t="shared" si="3"/>
        <v>7-16</v>
      </c>
      <c r="L295" s="16" t="str">
        <f t="shared" si="4"/>
        <v>7-16</v>
      </c>
      <c r="M295" s="16" t="str">
        <f t="shared" si="5"/>
        <v>7-16</v>
      </c>
      <c r="N295" s="16" t="str">
        <f t="shared" si="6"/>
        <v>1-16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712</v>
      </c>
      <c r="B296" s="10" t="s">
        <v>713</v>
      </c>
      <c r="C296" s="11"/>
      <c r="D296" s="22" t="s">
        <v>702</v>
      </c>
      <c r="E296" s="13" t="str">
        <f t="array" ref="E296">INDEX(Turmas!C2:C106,MATCH(D296,Turmas!A2:A106,0))</f>
        <v>Manhã</v>
      </c>
      <c r="F296" s="14">
        <v>0.0</v>
      </c>
      <c r="G296" s="15">
        <v>5.0</v>
      </c>
      <c r="H296" s="15">
        <v>0.0</v>
      </c>
      <c r="I296" s="16" t="str">
        <f t="shared" si="1"/>
        <v>7-16</v>
      </c>
      <c r="J296" s="16" t="str">
        <f t="shared" si="2"/>
        <v>7-16</v>
      </c>
      <c r="K296" s="16" t="str">
        <f t="shared" si="3"/>
        <v>7-16</v>
      </c>
      <c r="L296" s="16" t="str">
        <f t="shared" si="4"/>
        <v>7-16</v>
      </c>
      <c r="M296" s="16" t="str">
        <f t="shared" si="5"/>
        <v>7-16</v>
      </c>
      <c r="N296" s="16" t="str">
        <f t="shared" si="6"/>
        <v>1-16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714</v>
      </c>
      <c r="B297" s="10" t="s">
        <v>715</v>
      </c>
      <c r="C297" s="11" t="s">
        <v>163</v>
      </c>
      <c r="D297" s="22" t="s">
        <v>716</v>
      </c>
      <c r="E297" s="13" t="str">
        <f t="array" ref="E297">INDEX(Turmas!C2:C106,MATCH(D297,Turmas!A2:A106,0))</f>
        <v>Tarde</v>
      </c>
      <c r="F297" s="14">
        <v>0.0</v>
      </c>
      <c r="G297" s="15">
        <v>4.0</v>
      </c>
      <c r="H297" s="15">
        <v>0.0</v>
      </c>
      <c r="I297" s="16" t="str">
        <f t="shared" si="1"/>
        <v>1-6,13-16</v>
      </c>
      <c r="J297" s="16" t="str">
        <f t="shared" si="2"/>
        <v>1-6,13-16</v>
      </c>
      <c r="K297" s="16" t="str">
        <f t="shared" si="3"/>
        <v>1-6,13-16</v>
      </c>
      <c r="L297" s="16" t="str">
        <f t="shared" si="4"/>
        <v>1-6,13-16</v>
      </c>
      <c r="M297" s="16" t="str">
        <f t="shared" si="5"/>
        <v>1-6,13-16</v>
      </c>
      <c r="N297" s="16" t="str">
        <f t="shared" si="6"/>
        <v>1-16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717</v>
      </c>
      <c r="B298" s="10" t="s">
        <v>321</v>
      </c>
      <c r="C298" s="11" t="s">
        <v>322</v>
      </c>
      <c r="D298" s="22" t="s">
        <v>716</v>
      </c>
      <c r="E298" s="13" t="str">
        <f t="array" ref="E298">INDEX(Turmas!C2:C106,MATCH(D298,Turmas!A2:A106,0))</f>
        <v>Tarde</v>
      </c>
      <c r="F298" s="14">
        <v>0.0</v>
      </c>
      <c r="G298" s="15">
        <v>5.0</v>
      </c>
      <c r="H298" s="15">
        <v>0.0</v>
      </c>
      <c r="I298" s="16" t="str">
        <f t="shared" si="1"/>
        <v>1-6,13-16</v>
      </c>
      <c r="J298" s="16" t="str">
        <f t="shared" si="2"/>
        <v>1-6,13-16</v>
      </c>
      <c r="K298" s="16" t="str">
        <f t="shared" si="3"/>
        <v>1-6,13-16</v>
      </c>
      <c r="L298" s="16" t="str">
        <f t="shared" si="4"/>
        <v>1-6,13-16</v>
      </c>
      <c r="M298" s="16" t="str">
        <f t="shared" si="5"/>
        <v>1-6,13-16</v>
      </c>
      <c r="N298" s="16" t="str">
        <f t="shared" si="6"/>
        <v>1-16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718</v>
      </c>
      <c r="B299" s="10" t="s">
        <v>719</v>
      </c>
      <c r="C299" s="11" t="s">
        <v>720</v>
      </c>
      <c r="D299" s="22" t="s">
        <v>716</v>
      </c>
      <c r="E299" s="13" t="str">
        <f t="array" ref="E299">INDEX(Turmas!C2:C106,MATCH(D299,Turmas!A2:A106,0))</f>
        <v>Tarde</v>
      </c>
      <c r="F299" s="14">
        <v>0.0</v>
      </c>
      <c r="G299" s="15">
        <v>5.0</v>
      </c>
      <c r="H299" s="15">
        <v>0.0</v>
      </c>
      <c r="I299" s="16" t="str">
        <f t="shared" si="1"/>
        <v>1-6,13-16</v>
      </c>
      <c r="J299" s="16" t="str">
        <f t="shared" si="2"/>
        <v>1-6,13-16</v>
      </c>
      <c r="K299" s="16" t="str">
        <f t="shared" si="3"/>
        <v>1-6,13-16</v>
      </c>
      <c r="L299" s="16" t="str">
        <f t="shared" si="4"/>
        <v>1-6,13-16</v>
      </c>
      <c r="M299" s="16" t="str">
        <f t="shared" si="5"/>
        <v>1-6,13-16</v>
      </c>
      <c r="N299" s="16" t="str">
        <f t="shared" si="6"/>
        <v>1-16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721</v>
      </c>
      <c r="B300" s="10" t="s">
        <v>722</v>
      </c>
      <c r="C300" s="11" t="s">
        <v>723</v>
      </c>
      <c r="D300" s="22" t="s">
        <v>716</v>
      </c>
      <c r="E300" s="13" t="str">
        <f t="array" ref="E300">INDEX(Turmas!C2:C106,MATCH(D300,Turmas!A2:A106,0))</f>
        <v>Tarde</v>
      </c>
      <c r="F300" s="14">
        <v>0.0</v>
      </c>
      <c r="G300" s="15">
        <v>9.0</v>
      </c>
      <c r="H300" s="15">
        <v>0.0</v>
      </c>
      <c r="I300" s="16" t="str">
        <f t="shared" si="1"/>
        <v>1-6,13-16</v>
      </c>
      <c r="J300" s="16" t="str">
        <f t="shared" si="2"/>
        <v>1-6,13-16</v>
      </c>
      <c r="K300" s="16" t="str">
        <f t="shared" si="3"/>
        <v>1-6,13-16</v>
      </c>
      <c r="L300" s="16" t="str">
        <f t="shared" si="4"/>
        <v>1-6,13-16</v>
      </c>
      <c r="M300" s="16" t="str">
        <f t="shared" si="5"/>
        <v>1-6,13-16</v>
      </c>
      <c r="N300" s="16" t="str">
        <f t="shared" si="6"/>
        <v>1-16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724</v>
      </c>
      <c r="B301" s="10" t="s">
        <v>725</v>
      </c>
      <c r="C301" s="11" t="s">
        <v>723</v>
      </c>
      <c r="D301" s="22" t="s">
        <v>716</v>
      </c>
      <c r="E301" s="13" t="str">
        <f t="array" ref="E301">INDEX(Turmas!C2:C106,MATCH(D301,Turmas!A2:A106,0))</f>
        <v>Tarde</v>
      </c>
      <c r="F301" s="14">
        <v>0.0</v>
      </c>
      <c r="G301" s="15">
        <v>4.0</v>
      </c>
      <c r="H301" s="15">
        <v>0.0</v>
      </c>
      <c r="I301" s="16" t="str">
        <f t="shared" si="1"/>
        <v>1-6,13-16</v>
      </c>
      <c r="J301" s="16" t="str">
        <f t="shared" si="2"/>
        <v>1-6,13-16</v>
      </c>
      <c r="K301" s="16" t="str">
        <f t="shared" si="3"/>
        <v>1-6,13-16</v>
      </c>
      <c r="L301" s="16" t="str">
        <f t="shared" si="4"/>
        <v>1-6,13-16</v>
      </c>
      <c r="M301" s="16" t="str">
        <f t="shared" si="5"/>
        <v>1-6,13-16</v>
      </c>
      <c r="N301" s="16" t="str">
        <f t="shared" si="6"/>
        <v>1-16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726</v>
      </c>
      <c r="B302" s="10" t="s">
        <v>342</v>
      </c>
      <c r="C302" s="11" t="s">
        <v>154</v>
      </c>
      <c r="D302" s="22" t="s">
        <v>716</v>
      </c>
      <c r="E302" s="13" t="str">
        <f t="array" ref="E302">INDEX(Turmas!C2:C106,MATCH(D302,Turmas!A2:A106,0))</f>
        <v>Tarde</v>
      </c>
      <c r="F302" s="14">
        <v>0.0</v>
      </c>
      <c r="G302" s="15">
        <v>5.0</v>
      </c>
      <c r="H302" s="15">
        <v>0.0</v>
      </c>
      <c r="I302" s="16" t="str">
        <f t="shared" si="1"/>
        <v>1-6,13-16</v>
      </c>
      <c r="J302" s="16" t="str">
        <f t="shared" si="2"/>
        <v>1-6,13-16</v>
      </c>
      <c r="K302" s="16" t="str">
        <f t="shared" si="3"/>
        <v>1-6,13-16</v>
      </c>
      <c r="L302" s="16" t="str">
        <f t="shared" si="4"/>
        <v>1-6,13-16</v>
      </c>
      <c r="M302" s="16" t="str">
        <f t="shared" si="5"/>
        <v>1-6,13-16</v>
      </c>
      <c r="N302" s="16" t="str">
        <f t="shared" si="6"/>
        <v>1-16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727</v>
      </c>
      <c r="B303" s="10" t="s">
        <v>728</v>
      </c>
      <c r="C303" s="11" t="s">
        <v>729</v>
      </c>
      <c r="D303" s="22" t="s">
        <v>730</v>
      </c>
      <c r="E303" s="13" t="str">
        <f t="array" ref="E303">INDEX(Turmas!C2:C106,MATCH(D303,Turmas!A2:A106,0))</f>
        <v>Noite</v>
      </c>
      <c r="F303" s="14">
        <v>0.0</v>
      </c>
      <c r="G303" s="15">
        <v>2.0</v>
      </c>
      <c r="H303" s="15">
        <v>0.0</v>
      </c>
      <c r="I303" s="16" t="str">
        <f t="shared" si="1"/>
        <v>1-12</v>
      </c>
      <c r="J303" s="16" t="str">
        <f t="shared" si="2"/>
        <v>1-12</v>
      </c>
      <c r="K303" s="16" t="str">
        <f t="shared" si="3"/>
        <v>1-12</v>
      </c>
      <c r="L303" s="16" t="str">
        <f t="shared" si="4"/>
        <v>1-12</v>
      </c>
      <c r="M303" s="16" t="str">
        <f t="shared" si="5"/>
        <v>1-12</v>
      </c>
      <c r="N303" s="16" t="str">
        <f t="shared" si="6"/>
        <v>0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731</v>
      </c>
      <c r="B304" s="10" t="s">
        <v>732</v>
      </c>
      <c r="C304" s="11" t="s">
        <v>729</v>
      </c>
      <c r="D304" s="22" t="s">
        <v>730</v>
      </c>
      <c r="E304" s="13" t="str">
        <f t="array" ref="E304">INDEX(Turmas!C2:C106,MATCH(D304,Turmas!A2:A106,0))</f>
        <v>Noite</v>
      </c>
      <c r="F304" s="14">
        <v>0.0</v>
      </c>
      <c r="G304" s="15">
        <v>6.0</v>
      </c>
      <c r="H304" s="15">
        <v>0.0</v>
      </c>
      <c r="I304" s="16" t="str">
        <f t="shared" si="1"/>
        <v>1-12</v>
      </c>
      <c r="J304" s="16" t="str">
        <f t="shared" si="2"/>
        <v>1-12</v>
      </c>
      <c r="K304" s="16" t="str">
        <f t="shared" si="3"/>
        <v>1-12</v>
      </c>
      <c r="L304" s="16" t="str">
        <f t="shared" si="4"/>
        <v>1-12</v>
      </c>
      <c r="M304" s="16" t="str">
        <f t="shared" si="5"/>
        <v>1-12</v>
      </c>
      <c r="N304" s="16" t="str">
        <f t="shared" si="6"/>
        <v>0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733</v>
      </c>
      <c r="B305" s="10" t="s">
        <v>734</v>
      </c>
      <c r="C305" s="11" t="s">
        <v>39</v>
      </c>
      <c r="D305" s="22" t="s">
        <v>730</v>
      </c>
      <c r="E305" s="13" t="str">
        <f t="array" ref="E305">INDEX(Turmas!C2:C106,MATCH(D305,Turmas!A2:A106,0))</f>
        <v>Noite</v>
      </c>
      <c r="F305" s="14">
        <v>0.0</v>
      </c>
      <c r="G305" s="15">
        <v>2.0</v>
      </c>
      <c r="H305" s="15">
        <v>0.0</v>
      </c>
      <c r="I305" s="16" t="str">
        <f t="shared" si="1"/>
        <v>1-12</v>
      </c>
      <c r="J305" s="16" t="str">
        <f t="shared" si="2"/>
        <v>1-12</v>
      </c>
      <c r="K305" s="16" t="str">
        <f t="shared" si="3"/>
        <v>1-12</v>
      </c>
      <c r="L305" s="16" t="str">
        <f t="shared" si="4"/>
        <v>1-12</v>
      </c>
      <c r="M305" s="16" t="str">
        <f t="shared" si="5"/>
        <v>1-12</v>
      </c>
      <c r="N305" s="16" t="str">
        <f t="shared" si="6"/>
        <v>0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735</v>
      </c>
      <c r="B306" s="10" t="s">
        <v>736</v>
      </c>
      <c r="C306" s="11" t="s">
        <v>524</v>
      </c>
      <c r="D306" s="22" t="s">
        <v>737</v>
      </c>
      <c r="E306" s="13" t="str">
        <f t="array" ref="E306">INDEX(Turmas!C2:C106,MATCH(D306,Turmas!A2:A106,0))</f>
        <v>Noite</v>
      </c>
      <c r="F306" s="14">
        <v>0.0</v>
      </c>
      <c r="G306" s="15">
        <v>4.0</v>
      </c>
      <c r="H306" s="15">
        <v>0.0</v>
      </c>
      <c r="I306" s="16" t="str">
        <f t="shared" si="1"/>
        <v>1-12</v>
      </c>
      <c r="J306" s="16" t="str">
        <f t="shared" si="2"/>
        <v>1-12</v>
      </c>
      <c r="K306" s="16" t="str">
        <f t="shared" si="3"/>
        <v>1-12</v>
      </c>
      <c r="L306" s="16" t="str">
        <f t="shared" si="4"/>
        <v>1-12</v>
      </c>
      <c r="M306" s="16" t="str">
        <f t="shared" si="5"/>
        <v>1-12</v>
      </c>
      <c r="N306" s="16" t="str">
        <f t="shared" si="6"/>
        <v>0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738</v>
      </c>
      <c r="B307" s="10" t="s">
        <v>739</v>
      </c>
      <c r="C307" s="11" t="s">
        <v>533</v>
      </c>
      <c r="D307" s="22" t="s">
        <v>737</v>
      </c>
      <c r="E307" s="13" t="str">
        <f t="array" ref="E307">INDEX(Turmas!C2:C106,MATCH(D307,Turmas!A2:A106,0))</f>
        <v>Noite</v>
      </c>
      <c r="F307" s="14">
        <v>0.0</v>
      </c>
      <c r="G307" s="15">
        <v>4.0</v>
      </c>
      <c r="H307" s="15">
        <v>0.0</v>
      </c>
      <c r="I307" s="16" t="str">
        <f t="shared" si="1"/>
        <v>1-12</v>
      </c>
      <c r="J307" s="16" t="str">
        <f t="shared" si="2"/>
        <v>1-12</v>
      </c>
      <c r="K307" s="16" t="str">
        <f t="shared" si="3"/>
        <v>1-12</v>
      </c>
      <c r="L307" s="16" t="str">
        <f t="shared" si="4"/>
        <v>1-12</v>
      </c>
      <c r="M307" s="16" t="str">
        <f t="shared" si="5"/>
        <v>1-12</v>
      </c>
      <c r="N307" s="16" t="str">
        <f t="shared" si="6"/>
        <v>0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740</v>
      </c>
      <c r="B308" s="10" t="s">
        <v>741</v>
      </c>
      <c r="C308" s="11" t="s">
        <v>502</v>
      </c>
      <c r="D308" s="22" t="s">
        <v>737</v>
      </c>
      <c r="E308" s="13" t="str">
        <f t="array" ref="E308">INDEX(Turmas!C2:C106,MATCH(D308,Turmas!A2:A106,0))</f>
        <v>Noite</v>
      </c>
      <c r="F308" s="14">
        <v>0.0</v>
      </c>
      <c r="G308" s="15">
        <v>6.0</v>
      </c>
      <c r="H308" s="15">
        <v>0.0</v>
      </c>
      <c r="I308" s="16" t="str">
        <f t="shared" si="1"/>
        <v>1-12</v>
      </c>
      <c r="J308" s="16" t="str">
        <f t="shared" si="2"/>
        <v>1-12</v>
      </c>
      <c r="K308" s="16" t="str">
        <f t="shared" si="3"/>
        <v>1-12</v>
      </c>
      <c r="L308" s="16" t="str">
        <f t="shared" si="4"/>
        <v>1-12</v>
      </c>
      <c r="M308" s="16" t="str">
        <f t="shared" si="5"/>
        <v>1-12</v>
      </c>
      <c r="N308" s="16" t="str">
        <f t="shared" si="6"/>
        <v>0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28</v>
      </c>
      <c r="B309" s="10" t="s">
        <v>29</v>
      </c>
      <c r="C309" s="11" t="s">
        <v>624</v>
      </c>
      <c r="D309" s="22" t="s">
        <v>742</v>
      </c>
      <c r="E309" s="13" t="str">
        <f t="array" ref="E309">INDEX(Turmas!C2:C106,MATCH(D309,Turmas!A2:A106,0))</f>
        <v>Noite</v>
      </c>
      <c r="F309" s="14">
        <v>0.0</v>
      </c>
      <c r="G309" s="15">
        <v>4.0</v>
      </c>
      <c r="H309" s="15">
        <v>0.0</v>
      </c>
      <c r="I309" s="16" t="str">
        <f t="shared" si="1"/>
        <v>1-12</v>
      </c>
      <c r="J309" s="16" t="str">
        <f t="shared" si="2"/>
        <v>1-12</v>
      </c>
      <c r="K309" s="16" t="str">
        <f t="shared" si="3"/>
        <v>1-12</v>
      </c>
      <c r="L309" s="16" t="str">
        <f t="shared" si="4"/>
        <v>1-12</v>
      </c>
      <c r="M309" s="16" t="str">
        <f t="shared" si="5"/>
        <v>1-12</v>
      </c>
      <c r="N309" s="16" t="str">
        <f t="shared" si="6"/>
        <v>0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743</v>
      </c>
      <c r="B310" s="10" t="s">
        <v>744</v>
      </c>
      <c r="C310" s="11" t="s">
        <v>729</v>
      </c>
      <c r="D310" s="22" t="s">
        <v>742</v>
      </c>
      <c r="E310" s="13" t="str">
        <f t="array" ref="E310">INDEX(Turmas!C2:C106,MATCH(D310,Turmas!A2:A106,0))</f>
        <v>Noite</v>
      </c>
      <c r="F310" s="14">
        <v>0.0</v>
      </c>
      <c r="G310" s="15">
        <v>2.0</v>
      </c>
      <c r="H310" s="15">
        <v>0.0</v>
      </c>
      <c r="I310" s="16" t="str">
        <f t="shared" si="1"/>
        <v>1-12</v>
      </c>
      <c r="J310" s="16" t="str">
        <f t="shared" si="2"/>
        <v>1-12</v>
      </c>
      <c r="K310" s="16" t="str">
        <f t="shared" si="3"/>
        <v>1-12</v>
      </c>
      <c r="L310" s="16" t="str">
        <f t="shared" si="4"/>
        <v>1-12</v>
      </c>
      <c r="M310" s="16" t="str">
        <f t="shared" si="5"/>
        <v>1-12</v>
      </c>
      <c r="N310" s="16" t="str">
        <f t="shared" si="6"/>
        <v>0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9" t="s">
        <v>745</v>
      </c>
      <c r="B311" s="10" t="s">
        <v>746</v>
      </c>
      <c r="C311" s="11" t="s">
        <v>528</v>
      </c>
      <c r="D311" s="22" t="s">
        <v>742</v>
      </c>
      <c r="E311" s="13" t="str">
        <f t="array" ref="E311">INDEX(Turmas!C2:C106,MATCH(D311,Turmas!A2:A106,0))</f>
        <v>Noite</v>
      </c>
      <c r="F311" s="14">
        <v>0.0</v>
      </c>
      <c r="G311" s="15">
        <v>4.0</v>
      </c>
      <c r="H311" s="15">
        <v>0.0</v>
      </c>
      <c r="I311" s="16" t="str">
        <f t="shared" si="1"/>
        <v>1-12</v>
      </c>
      <c r="J311" s="16" t="str">
        <f t="shared" si="2"/>
        <v>1-12</v>
      </c>
      <c r="K311" s="16" t="str">
        <f t="shared" si="3"/>
        <v>1-12</v>
      </c>
      <c r="L311" s="16" t="str">
        <f t="shared" si="4"/>
        <v>1-12</v>
      </c>
      <c r="M311" s="16" t="str">
        <f t="shared" si="5"/>
        <v>1-12</v>
      </c>
      <c r="N311" s="16" t="str">
        <f t="shared" si="6"/>
        <v>0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747</v>
      </c>
      <c r="B312" s="10" t="s">
        <v>523</v>
      </c>
      <c r="C312" s="11" t="s">
        <v>505</v>
      </c>
      <c r="D312" s="22" t="s">
        <v>742</v>
      </c>
      <c r="E312" s="13" t="str">
        <f t="array" ref="E312">INDEX(Turmas!C2:C106,MATCH(D312,Turmas!A2:A106,0))</f>
        <v>Noite</v>
      </c>
      <c r="F312" s="14">
        <v>0.0</v>
      </c>
      <c r="G312" s="15">
        <v>4.0</v>
      </c>
      <c r="H312" s="15">
        <v>0.0</v>
      </c>
      <c r="I312" s="16" t="str">
        <f t="shared" si="1"/>
        <v>1-12</v>
      </c>
      <c r="J312" s="16" t="str">
        <f t="shared" si="2"/>
        <v>1-12</v>
      </c>
      <c r="K312" s="16" t="str">
        <f t="shared" si="3"/>
        <v>1-12</v>
      </c>
      <c r="L312" s="16" t="str">
        <f t="shared" si="4"/>
        <v>1-12</v>
      </c>
      <c r="M312" s="16" t="str">
        <f t="shared" si="5"/>
        <v>1-12</v>
      </c>
      <c r="N312" s="16" t="str">
        <f t="shared" si="6"/>
        <v>0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748</v>
      </c>
      <c r="B313" s="10" t="s">
        <v>749</v>
      </c>
      <c r="C313" s="11" t="s">
        <v>515</v>
      </c>
      <c r="D313" s="22" t="s">
        <v>742</v>
      </c>
      <c r="E313" s="13" t="str">
        <f t="array" ref="E313">INDEX(Turmas!C2:C106,MATCH(D313,Turmas!A2:A106,0))</f>
        <v>Noite</v>
      </c>
      <c r="F313" s="14">
        <v>0.0</v>
      </c>
      <c r="G313" s="15">
        <v>4.0</v>
      </c>
      <c r="H313" s="15">
        <v>0.0</v>
      </c>
      <c r="I313" s="16" t="str">
        <f t="shared" si="1"/>
        <v>1-12</v>
      </c>
      <c r="J313" s="16" t="str">
        <f t="shared" si="2"/>
        <v>1-12</v>
      </c>
      <c r="K313" s="16" t="str">
        <f t="shared" si="3"/>
        <v>1-12</v>
      </c>
      <c r="L313" s="16" t="str">
        <f t="shared" si="4"/>
        <v>1-12</v>
      </c>
      <c r="M313" s="16" t="str">
        <f t="shared" si="5"/>
        <v>1-12</v>
      </c>
      <c r="N313" s="16" t="str">
        <f t="shared" si="6"/>
        <v>0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750</v>
      </c>
      <c r="B314" s="10" t="s">
        <v>751</v>
      </c>
      <c r="C314" s="11" t="s">
        <v>729</v>
      </c>
      <c r="D314" s="22" t="s">
        <v>752</v>
      </c>
      <c r="E314" s="13" t="str">
        <f t="array" ref="E314">INDEX(Turmas!C2:C106,MATCH(D314,Turmas!A2:A106,0))</f>
        <v>Noite</v>
      </c>
      <c r="F314" s="14">
        <v>0.0</v>
      </c>
      <c r="G314" s="15">
        <v>8.0</v>
      </c>
      <c r="H314" s="15">
        <v>0.0</v>
      </c>
      <c r="I314" s="16" t="str">
        <f t="shared" si="1"/>
        <v>1-12</v>
      </c>
      <c r="J314" s="16" t="str">
        <f t="shared" si="2"/>
        <v>1-12</v>
      </c>
      <c r="K314" s="16" t="str">
        <f t="shared" si="3"/>
        <v>1-12</v>
      </c>
      <c r="L314" s="16" t="str">
        <f t="shared" si="4"/>
        <v>1-12</v>
      </c>
      <c r="M314" s="16" t="str">
        <f t="shared" si="5"/>
        <v>1-12</v>
      </c>
      <c r="N314" s="16" t="str">
        <f t="shared" si="6"/>
        <v>0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753</v>
      </c>
      <c r="B315" s="10" t="s">
        <v>754</v>
      </c>
      <c r="C315" s="11" t="s">
        <v>502</v>
      </c>
      <c r="D315" s="22" t="s">
        <v>752</v>
      </c>
      <c r="E315" s="13" t="str">
        <f t="array" ref="E315">INDEX(Turmas!C2:C106,MATCH(D315,Turmas!A2:A106,0))</f>
        <v>Noite</v>
      </c>
      <c r="F315" s="14">
        <v>0.0</v>
      </c>
      <c r="G315" s="15">
        <v>4.0</v>
      </c>
      <c r="H315" s="15">
        <v>0.0</v>
      </c>
      <c r="I315" s="16" t="str">
        <f t="shared" si="1"/>
        <v>1-12</v>
      </c>
      <c r="J315" s="16" t="str">
        <f t="shared" si="2"/>
        <v>1-12</v>
      </c>
      <c r="K315" s="16" t="str">
        <f t="shared" si="3"/>
        <v>1-12</v>
      </c>
      <c r="L315" s="16" t="str">
        <f t="shared" si="4"/>
        <v>1-12</v>
      </c>
      <c r="M315" s="16" t="str">
        <f t="shared" si="5"/>
        <v>1-12</v>
      </c>
      <c r="N315" s="16" t="str">
        <f t="shared" si="6"/>
        <v>0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755</v>
      </c>
      <c r="B316" s="10" t="s">
        <v>756</v>
      </c>
      <c r="C316" s="11" t="s">
        <v>524</v>
      </c>
      <c r="D316" s="22" t="s">
        <v>752</v>
      </c>
      <c r="E316" s="13" t="str">
        <f t="array" ref="E316">INDEX(Turmas!C2:C106,MATCH(D316,Turmas!A2:A106,0))</f>
        <v>Noite</v>
      </c>
      <c r="F316" s="14">
        <v>0.0</v>
      </c>
      <c r="G316" s="15">
        <v>4.0</v>
      </c>
      <c r="H316" s="15">
        <v>0.0</v>
      </c>
      <c r="I316" s="16" t="str">
        <f t="shared" si="1"/>
        <v>1-12</v>
      </c>
      <c r="J316" s="16" t="str">
        <f t="shared" si="2"/>
        <v>1-12</v>
      </c>
      <c r="K316" s="16" t="str">
        <f t="shared" si="3"/>
        <v>1-12</v>
      </c>
      <c r="L316" s="16" t="str">
        <f t="shared" si="4"/>
        <v>1-12</v>
      </c>
      <c r="M316" s="16" t="str">
        <f t="shared" si="5"/>
        <v>1-12</v>
      </c>
      <c r="N316" s="16" t="str">
        <f t="shared" si="6"/>
        <v>0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757</v>
      </c>
      <c r="B317" s="10" t="s">
        <v>758</v>
      </c>
      <c r="C317" s="11" t="s">
        <v>399</v>
      </c>
      <c r="D317" s="22" t="s">
        <v>759</v>
      </c>
      <c r="E317" s="13" t="str">
        <f t="array" ref="E317">INDEX(Turmas!C2:C106,MATCH(D317,Turmas!A2:A106,0))</f>
        <v>Noite</v>
      </c>
      <c r="F317" s="14">
        <v>0.0</v>
      </c>
      <c r="G317" s="15">
        <v>2.0</v>
      </c>
      <c r="H317" s="15">
        <v>0.0</v>
      </c>
      <c r="I317" s="16" t="str">
        <f t="shared" si="1"/>
        <v>1-12</v>
      </c>
      <c r="J317" s="16" t="str">
        <f t="shared" si="2"/>
        <v>1-12</v>
      </c>
      <c r="K317" s="16" t="str">
        <f t="shared" si="3"/>
        <v>1-12</v>
      </c>
      <c r="L317" s="16" t="str">
        <f t="shared" si="4"/>
        <v>1-12</v>
      </c>
      <c r="M317" s="16" t="str">
        <f t="shared" si="5"/>
        <v>1-12</v>
      </c>
      <c r="N317" s="16" t="str">
        <f t="shared" si="6"/>
        <v>0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760</v>
      </c>
      <c r="B318" s="10" t="s">
        <v>761</v>
      </c>
      <c r="C318" s="11" t="s">
        <v>300</v>
      </c>
      <c r="D318" s="22" t="s">
        <v>759</v>
      </c>
      <c r="E318" s="13" t="str">
        <f t="array" ref="E318">INDEX(Turmas!C2:C106,MATCH(D318,Turmas!A2:A106,0))</f>
        <v>Noite</v>
      </c>
      <c r="F318" s="14">
        <v>0.0</v>
      </c>
      <c r="G318" s="15">
        <v>4.0</v>
      </c>
      <c r="H318" s="15">
        <v>0.0</v>
      </c>
      <c r="I318" s="16" t="str">
        <f t="shared" si="1"/>
        <v>1-12</v>
      </c>
      <c r="J318" s="16" t="str">
        <f t="shared" si="2"/>
        <v>1-12</v>
      </c>
      <c r="K318" s="16" t="str">
        <f t="shared" si="3"/>
        <v>1-12</v>
      </c>
      <c r="L318" s="16" t="str">
        <f t="shared" si="4"/>
        <v>1-12</v>
      </c>
      <c r="M318" s="16" t="str">
        <f t="shared" si="5"/>
        <v>1-12</v>
      </c>
      <c r="N318" s="16" t="str">
        <f t="shared" si="6"/>
        <v>0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762</v>
      </c>
      <c r="B319" s="10" t="s">
        <v>179</v>
      </c>
      <c r="C319" s="11" t="s">
        <v>310</v>
      </c>
      <c r="D319" s="22" t="s">
        <v>759</v>
      </c>
      <c r="E319" s="13" t="str">
        <f t="array" ref="E319">INDEX(Turmas!C2:C106,MATCH(D319,Turmas!A2:A106,0))</f>
        <v>Noite</v>
      </c>
      <c r="F319" s="14">
        <v>0.0</v>
      </c>
      <c r="G319" s="15">
        <v>4.0</v>
      </c>
      <c r="H319" s="15">
        <v>0.0</v>
      </c>
      <c r="I319" s="16" t="str">
        <f t="shared" si="1"/>
        <v>1-12</v>
      </c>
      <c r="J319" s="16" t="str">
        <f t="shared" si="2"/>
        <v>1-12</v>
      </c>
      <c r="K319" s="16" t="str">
        <f t="shared" si="3"/>
        <v>1-12</v>
      </c>
      <c r="L319" s="16" t="str">
        <f t="shared" si="4"/>
        <v>1-12</v>
      </c>
      <c r="M319" s="16" t="str">
        <f t="shared" si="5"/>
        <v>1-12</v>
      </c>
      <c r="N319" s="16" t="str">
        <f t="shared" si="6"/>
        <v>0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763</v>
      </c>
      <c r="B320" s="10" t="s">
        <v>719</v>
      </c>
      <c r="C320" s="11" t="s">
        <v>300</v>
      </c>
      <c r="D320" s="22" t="s">
        <v>759</v>
      </c>
      <c r="E320" s="13" t="str">
        <f t="array" ref="E320">INDEX(Turmas!C2:C106,MATCH(D320,Turmas!A2:A106,0))</f>
        <v>Noite</v>
      </c>
      <c r="F320" s="14">
        <v>0.0</v>
      </c>
      <c r="G320" s="15">
        <v>4.0</v>
      </c>
      <c r="H320" s="15">
        <v>0.0</v>
      </c>
      <c r="I320" s="16" t="str">
        <f t="shared" si="1"/>
        <v>1-12</v>
      </c>
      <c r="J320" s="16" t="str">
        <f t="shared" si="2"/>
        <v>1-12</v>
      </c>
      <c r="K320" s="16" t="str">
        <f t="shared" si="3"/>
        <v>1-12</v>
      </c>
      <c r="L320" s="16" t="str">
        <f t="shared" si="4"/>
        <v>1-12</v>
      </c>
      <c r="M320" s="16" t="str">
        <f t="shared" si="5"/>
        <v>1-12</v>
      </c>
      <c r="N320" s="16" t="str">
        <f t="shared" si="6"/>
        <v>0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764</v>
      </c>
      <c r="B321" s="10" t="s">
        <v>765</v>
      </c>
      <c r="C321" s="11" t="s">
        <v>766</v>
      </c>
      <c r="D321" s="22" t="s">
        <v>759</v>
      </c>
      <c r="E321" s="13" t="str">
        <f t="array" ref="E321">INDEX(Turmas!C2:C106,MATCH(D321,Turmas!A2:A106,0))</f>
        <v>Noite</v>
      </c>
      <c r="F321" s="14">
        <v>0.0</v>
      </c>
      <c r="G321" s="15">
        <v>4.0</v>
      </c>
      <c r="H321" s="15">
        <v>0.0</v>
      </c>
      <c r="I321" s="16" t="str">
        <f t="shared" si="1"/>
        <v>1-12</v>
      </c>
      <c r="J321" s="16" t="str">
        <f t="shared" si="2"/>
        <v>1-12</v>
      </c>
      <c r="K321" s="16" t="str">
        <f t="shared" si="3"/>
        <v>1-12</v>
      </c>
      <c r="L321" s="16" t="str">
        <f t="shared" si="4"/>
        <v>1-12</v>
      </c>
      <c r="M321" s="16" t="str">
        <f t="shared" si="5"/>
        <v>1-12</v>
      </c>
      <c r="N321" s="16" t="str">
        <f t="shared" si="6"/>
        <v>0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296</v>
      </c>
      <c r="B322" s="10" t="s">
        <v>297</v>
      </c>
      <c r="C322" s="11" t="s">
        <v>25</v>
      </c>
      <c r="D322" s="22" t="s">
        <v>759</v>
      </c>
      <c r="E322" s="13" t="str">
        <f t="array" ref="E322">INDEX(Turmas!C2:C106,MATCH(D322,Turmas!A2:A106,0))</f>
        <v>Noite</v>
      </c>
      <c r="F322" s="14">
        <v>0.0</v>
      </c>
      <c r="G322" s="15">
        <v>4.0</v>
      </c>
      <c r="H322" s="15">
        <v>0.0</v>
      </c>
      <c r="I322" s="16" t="str">
        <f t="shared" si="1"/>
        <v>1-12</v>
      </c>
      <c r="J322" s="16" t="str">
        <f t="shared" si="2"/>
        <v>1-12</v>
      </c>
      <c r="K322" s="16" t="str">
        <f t="shared" si="3"/>
        <v>1-12</v>
      </c>
      <c r="L322" s="16" t="str">
        <f t="shared" si="4"/>
        <v>1-12</v>
      </c>
      <c r="M322" s="16" t="str">
        <f t="shared" si="5"/>
        <v>1-12</v>
      </c>
      <c r="N322" s="16" t="str">
        <f t="shared" si="6"/>
        <v>0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767</v>
      </c>
      <c r="B323" s="10" t="s">
        <v>768</v>
      </c>
      <c r="C323" s="11" t="s">
        <v>310</v>
      </c>
      <c r="D323" s="22" t="s">
        <v>769</v>
      </c>
      <c r="E323" s="13" t="str">
        <f t="array" ref="E323">INDEX(Turmas!C2:C106,MATCH(D323,Turmas!A2:A106,0))</f>
        <v>Integral</v>
      </c>
      <c r="F323" s="14">
        <v>20.0</v>
      </c>
      <c r="G323" s="15">
        <v>4.0</v>
      </c>
      <c r="H323" s="15">
        <v>0.0</v>
      </c>
      <c r="I323" s="16" t="str">
        <f t="shared" si="1"/>
        <v>13-16</v>
      </c>
      <c r="J323" s="16" t="str">
        <f t="shared" si="2"/>
        <v>13-16</v>
      </c>
      <c r="K323" s="16" t="str">
        <f t="shared" si="3"/>
        <v>13-16</v>
      </c>
      <c r="L323" s="16" t="str">
        <f t="shared" si="4"/>
        <v>13-16</v>
      </c>
      <c r="M323" s="16" t="str">
        <f t="shared" si="5"/>
        <v>13-16</v>
      </c>
      <c r="N323" s="16" t="str">
        <f t="shared" si="6"/>
        <v>1-16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770</v>
      </c>
      <c r="B324" s="10" t="s">
        <v>771</v>
      </c>
      <c r="C324" s="11" t="s">
        <v>39</v>
      </c>
      <c r="D324" s="22" t="s">
        <v>772</v>
      </c>
      <c r="E324" s="13" t="str">
        <f t="array" ref="E324">INDEX(Turmas!C2:C106,MATCH(D324,Turmas!A2:A106,0))</f>
        <v>Noite</v>
      </c>
      <c r="F324" s="14">
        <v>0.0</v>
      </c>
      <c r="G324" s="15">
        <v>4.0</v>
      </c>
      <c r="H324" s="15">
        <v>0.0</v>
      </c>
      <c r="I324" s="16" t="str">
        <f t="shared" si="1"/>
        <v>1-12</v>
      </c>
      <c r="J324" s="16" t="str">
        <f t="shared" si="2"/>
        <v>1-12</v>
      </c>
      <c r="K324" s="16" t="str">
        <f t="shared" si="3"/>
        <v>1-12</v>
      </c>
      <c r="L324" s="16" t="str">
        <f t="shared" si="4"/>
        <v>1-12</v>
      </c>
      <c r="M324" s="16" t="str">
        <f t="shared" si="5"/>
        <v>1-12</v>
      </c>
      <c r="N324" s="16" t="str">
        <f t="shared" si="6"/>
        <v>0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773</v>
      </c>
      <c r="B325" s="10" t="s">
        <v>715</v>
      </c>
      <c r="C325" s="11" t="s">
        <v>163</v>
      </c>
      <c r="D325" s="22" t="s">
        <v>772</v>
      </c>
      <c r="E325" s="13" t="str">
        <f t="array" ref="E325">INDEX(Turmas!C2:C106,MATCH(D325,Turmas!A2:A106,0))</f>
        <v>Noite</v>
      </c>
      <c r="F325" s="14">
        <v>0.0</v>
      </c>
      <c r="G325" s="15">
        <v>4.0</v>
      </c>
      <c r="H325" s="15">
        <v>0.0</v>
      </c>
      <c r="I325" s="16" t="str">
        <f t="shared" si="1"/>
        <v>1-12</v>
      </c>
      <c r="J325" s="16" t="str">
        <f t="shared" si="2"/>
        <v>1-12</v>
      </c>
      <c r="K325" s="16" t="str">
        <f t="shared" si="3"/>
        <v>1-12</v>
      </c>
      <c r="L325" s="16" t="str">
        <f t="shared" si="4"/>
        <v>1-12</v>
      </c>
      <c r="M325" s="16" t="str">
        <f t="shared" si="5"/>
        <v>1-12</v>
      </c>
      <c r="N325" s="16" t="str">
        <f t="shared" si="6"/>
        <v>0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774</v>
      </c>
      <c r="B326" s="10" t="s">
        <v>775</v>
      </c>
      <c r="C326" s="11" t="s">
        <v>490</v>
      </c>
      <c r="D326" s="22" t="s">
        <v>772</v>
      </c>
      <c r="E326" s="13" t="str">
        <f t="array" ref="E326">INDEX(Turmas!C2:C106,MATCH(D326,Turmas!A2:A106,0))</f>
        <v>Noite</v>
      </c>
      <c r="F326" s="14">
        <v>0.0</v>
      </c>
      <c r="G326" s="15">
        <v>4.0</v>
      </c>
      <c r="H326" s="15">
        <v>0.0</v>
      </c>
      <c r="I326" s="16" t="str">
        <f t="shared" si="1"/>
        <v>1-12</v>
      </c>
      <c r="J326" s="16" t="str">
        <f t="shared" si="2"/>
        <v>1-12</v>
      </c>
      <c r="K326" s="16" t="str">
        <f t="shared" si="3"/>
        <v>1-12</v>
      </c>
      <c r="L326" s="16" t="str">
        <f t="shared" si="4"/>
        <v>1-12</v>
      </c>
      <c r="M326" s="16" t="str">
        <f t="shared" si="5"/>
        <v>1-12</v>
      </c>
      <c r="N326" s="16" t="str">
        <f t="shared" si="6"/>
        <v>0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367</v>
      </c>
      <c r="B327" s="10" t="s">
        <v>368</v>
      </c>
      <c r="C327" s="11" t="s">
        <v>359</v>
      </c>
      <c r="D327" s="22" t="s">
        <v>772</v>
      </c>
      <c r="E327" s="13" t="str">
        <f t="array" ref="E327">INDEX(Turmas!C2:C106,MATCH(D327,Turmas!A2:A106,0))</f>
        <v>Noite</v>
      </c>
      <c r="F327" s="14">
        <v>0.0</v>
      </c>
      <c r="G327" s="15">
        <v>3.0</v>
      </c>
      <c r="H327" s="15">
        <v>0.0</v>
      </c>
      <c r="I327" s="16" t="str">
        <f t="shared" si="1"/>
        <v>1-12</v>
      </c>
      <c r="J327" s="16" t="str">
        <f t="shared" si="2"/>
        <v>1-12</v>
      </c>
      <c r="K327" s="16" t="str">
        <f t="shared" si="3"/>
        <v>1-12</v>
      </c>
      <c r="L327" s="16" t="str">
        <f t="shared" si="4"/>
        <v>1-12</v>
      </c>
      <c r="M327" s="16" t="str">
        <f t="shared" si="5"/>
        <v>1-12</v>
      </c>
      <c r="N327" s="16" t="str">
        <f t="shared" si="6"/>
        <v>0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776</v>
      </c>
      <c r="B328" s="10" t="s">
        <v>777</v>
      </c>
      <c r="C328" s="11" t="s">
        <v>778</v>
      </c>
      <c r="D328" s="22" t="s">
        <v>772</v>
      </c>
      <c r="E328" s="13" t="str">
        <f t="array" ref="E328">INDEX(Turmas!C2:C106,MATCH(D328,Turmas!A2:A106,0))</f>
        <v>Noite</v>
      </c>
      <c r="F328" s="14">
        <v>0.0</v>
      </c>
      <c r="G328" s="15">
        <v>4.0</v>
      </c>
      <c r="H328" s="15">
        <v>0.0</v>
      </c>
      <c r="I328" s="16" t="str">
        <f t="shared" si="1"/>
        <v>1-12</v>
      </c>
      <c r="J328" s="16" t="str">
        <f t="shared" si="2"/>
        <v>1-12</v>
      </c>
      <c r="K328" s="16" t="str">
        <f t="shared" si="3"/>
        <v>1-12</v>
      </c>
      <c r="L328" s="16" t="str">
        <f t="shared" si="4"/>
        <v>1-12</v>
      </c>
      <c r="M328" s="16" t="str">
        <f t="shared" si="5"/>
        <v>1-12</v>
      </c>
      <c r="N328" s="16" t="str">
        <f t="shared" si="6"/>
        <v>0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779</v>
      </c>
      <c r="B329" s="19" t="s">
        <v>780</v>
      </c>
      <c r="C329" s="11" t="s">
        <v>711</v>
      </c>
      <c r="D329" s="22" t="s">
        <v>772</v>
      </c>
      <c r="E329" s="13" t="str">
        <f t="array" ref="E329">INDEX(Turmas!C2:C106,MATCH(D329,Turmas!A2:A106,0))</f>
        <v>Noite</v>
      </c>
      <c r="F329" s="14">
        <v>0.0</v>
      </c>
      <c r="G329" s="15">
        <v>4.0</v>
      </c>
      <c r="H329" s="15">
        <v>0.0</v>
      </c>
      <c r="I329" s="16" t="str">
        <f t="shared" si="1"/>
        <v>1-12</v>
      </c>
      <c r="J329" s="16" t="str">
        <f t="shared" si="2"/>
        <v>1-12</v>
      </c>
      <c r="K329" s="16" t="str">
        <f t="shared" si="3"/>
        <v>1-12</v>
      </c>
      <c r="L329" s="16" t="str">
        <f t="shared" si="4"/>
        <v>1-12</v>
      </c>
      <c r="M329" s="16" t="str">
        <f t="shared" si="5"/>
        <v>1-12</v>
      </c>
      <c r="N329" s="16" t="str">
        <f t="shared" si="6"/>
        <v>0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382</v>
      </c>
      <c r="B330" s="19" t="s">
        <v>383</v>
      </c>
      <c r="C330" s="11" t="s">
        <v>384</v>
      </c>
      <c r="D330" s="22" t="s">
        <v>781</v>
      </c>
      <c r="E330" s="13" t="str">
        <f t="array" ref="E330">INDEX(Turmas!C2:C106,MATCH(D330,Turmas!A2:A106,0))</f>
        <v>Noite</v>
      </c>
      <c r="F330" s="14">
        <v>0.0</v>
      </c>
      <c r="G330" s="15">
        <v>4.0</v>
      </c>
      <c r="H330" s="15">
        <v>0.0</v>
      </c>
      <c r="I330" s="16" t="str">
        <f t="shared" si="1"/>
        <v>1-12</v>
      </c>
      <c r="J330" s="16" t="str">
        <f t="shared" si="2"/>
        <v>1-12</v>
      </c>
      <c r="K330" s="16" t="str">
        <f t="shared" si="3"/>
        <v>1-12</v>
      </c>
      <c r="L330" s="16" t="str">
        <f t="shared" si="4"/>
        <v>1-12</v>
      </c>
      <c r="M330" s="16" t="str">
        <f t="shared" si="5"/>
        <v>1-12</v>
      </c>
      <c r="N330" s="16" t="str">
        <f t="shared" si="6"/>
        <v>0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58</v>
      </c>
      <c r="B331" s="19" t="s">
        <v>32</v>
      </c>
      <c r="C331" s="11" t="s">
        <v>151</v>
      </c>
      <c r="D331" s="22" t="s">
        <v>781</v>
      </c>
      <c r="E331" s="13" t="str">
        <f t="array" ref="E331">INDEX(Turmas!C2:C106,MATCH(D331,Turmas!A2:A106,0))</f>
        <v>Noite</v>
      </c>
      <c r="F331" s="14">
        <v>0.0</v>
      </c>
      <c r="G331" s="15">
        <v>4.0</v>
      </c>
      <c r="H331" s="15">
        <v>0.0</v>
      </c>
      <c r="I331" s="16" t="str">
        <f t="shared" si="1"/>
        <v>1-12</v>
      </c>
      <c r="J331" s="16" t="str">
        <f t="shared" si="2"/>
        <v>1-12</v>
      </c>
      <c r="K331" s="16" t="str">
        <f t="shared" si="3"/>
        <v>1-12</v>
      </c>
      <c r="L331" s="16" t="str">
        <f t="shared" si="4"/>
        <v>1-12</v>
      </c>
      <c r="M331" s="16" t="str">
        <f t="shared" si="5"/>
        <v>1-12</v>
      </c>
      <c r="N331" s="16" t="str">
        <f t="shared" si="6"/>
        <v>0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782</v>
      </c>
      <c r="B332" s="19" t="s">
        <v>783</v>
      </c>
      <c r="C332" s="11" t="s">
        <v>552</v>
      </c>
      <c r="D332" s="22" t="s">
        <v>781</v>
      </c>
      <c r="E332" s="13" t="str">
        <f t="array" ref="E332">INDEX(Turmas!C2:C106,MATCH(D332,Turmas!A2:A106,0))</f>
        <v>Noite</v>
      </c>
      <c r="F332" s="14">
        <v>0.0</v>
      </c>
      <c r="G332" s="15">
        <v>4.0</v>
      </c>
      <c r="H332" s="15">
        <v>0.0</v>
      </c>
      <c r="I332" s="16" t="str">
        <f t="shared" si="1"/>
        <v>1-12</v>
      </c>
      <c r="J332" s="16" t="str">
        <f t="shared" si="2"/>
        <v>1-12</v>
      </c>
      <c r="K332" s="16" t="str">
        <f t="shared" si="3"/>
        <v>1-12</v>
      </c>
      <c r="L332" s="16" t="str">
        <f t="shared" si="4"/>
        <v>1-12</v>
      </c>
      <c r="M332" s="16" t="str">
        <f t="shared" si="5"/>
        <v>1-12</v>
      </c>
      <c r="N332" s="16" t="str">
        <f t="shared" si="6"/>
        <v>0</v>
      </c>
      <c r="O332" s="17"/>
      <c r="P332" s="17"/>
      <c r="Q332" s="17"/>
      <c r="R332" s="17"/>
      <c r="S332" s="17"/>
      <c r="T332" s="17"/>
      <c r="U332" s="17"/>
      <c r="V332" s="17"/>
      <c r="W332" s="17"/>
    </row>
    <row r="333" ht="15.75" customHeight="1">
      <c r="A333" s="9" t="s">
        <v>784</v>
      </c>
      <c r="B333" s="19" t="s">
        <v>785</v>
      </c>
      <c r="C333" s="11" t="s">
        <v>720</v>
      </c>
      <c r="D333" s="22" t="s">
        <v>781</v>
      </c>
      <c r="E333" s="13" t="str">
        <f t="array" ref="E333">INDEX(Turmas!C2:C106,MATCH(D333,Turmas!A2:A106,0))</f>
        <v>Noite</v>
      </c>
      <c r="F333" s="20">
        <v>0.0</v>
      </c>
      <c r="G333" s="15">
        <v>4.0</v>
      </c>
      <c r="H333" s="15">
        <v>0.0</v>
      </c>
      <c r="I333" s="16" t="str">
        <f t="shared" si="1"/>
        <v>1-12</v>
      </c>
      <c r="J333" s="16" t="str">
        <f t="shared" si="2"/>
        <v>1-12</v>
      </c>
      <c r="K333" s="16" t="str">
        <f t="shared" si="3"/>
        <v>1-12</v>
      </c>
      <c r="L333" s="16" t="str">
        <f t="shared" si="4"/>
        <v>1-12</v>
      </c>
      <c r="M333" s="16" t="str">
        <f t="shared" si="5"/>
        <v>1-12</v>
      </c>
      <c r="N333" s="16" t="str">
        <f t="shared" si="6"/>
        <v>0</v>
      </c>
      <c r="O333" s="21"/>
      <c r="P333" s="21"/>
      <c r="Q333" s="21"/>
      <c r="R333" s="21"/>
      <c r="S333" s="21"/>
      <c r="T333" s="21"/>
      <c r="U333" s="21"/>
      <c r="V333" s="21"/>
      <c r="W333" s="21"/>
    </row>
    <row r="334" ht="15.75" customHeight="1">
      <c r="A334" s="9" t="s">
        <v>786</v>
      </c>
      <c r="B334" s="19" t="s">
        <v>719</v>
      </c>
      <c r="C334" s="11" t="s">
        <v>720</v>
      </c>
      <c r="D334" s="22" t="s">
        <v>781</v>
      </c>
      <c r="E334" s="13" t="str">
        <f t="array" ref="E334">INDEX(Turmas!C2:C106,MATCH(D334,Turmas!A2:A106,0))</f>
        <v>Noite</v>
      </c>
      <c r="F334" s="14">
        <v>0.0</v>
      </c>
      <c r="G334" s="15">
        <v>7.0</v>
      </c>
      <c r="H334" s="15">
        <v>0.0</v>
      </c>
      <c r="I334" s="16" t="str">
        <f t="shared" si="1"/>
        <v>1-12</v>
      </c>
      <c r="J334" s="16" t="str">
        <f t="shared" si="2"/>
        <v>1-12</v>
      </c>
      <c r="K334" s="16" t="str">
        <f t="shared" si="3"/>
        <v>1-12</v>
      </c>
      <c r="L334" s="16" t="str">
        <f t="shared" si="4"/>
        <v>1-12</v>
      </c>
      <c r="M334" s="16" t="str">
        <f t="shared" si="5"/>
        <v>1-12</v>
      </c>
      <c r="N334" s="16" t="str">
        <f t="shared" si="6"/>
        <v>0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397</v>
      </c>
      <c r="B335" s="19" t="s">
        <v>398</v>
      </c>
      <c r="C335" s="11" t="s">
        <v>399</v>
      </c>
      <c r="D335" s="22" t="s">
        <v>787</v>
      </c>
      <c r="E335" s="13" t="str">
        <f t="array" ref="E335">INDEX(Turmas!C2:C106,MATCH(D335,Turmas!A2:A106,0))</f>
        <v>Noite</v>
      </c>
      <c r="F335" s="14">
        <v>0.0</v>
      </c>
      <c r="G335" s="15">
        <v>4.0</v>
      </c>
      <c r="H335" s="15">
        <v>0.0</v>
      </c>
      <c r="I335" s="16" t="str">
        <f t="shared" si="1"/>
        <v>1-12</v>
      </c>
      <c r="J335" s="16" t="str">
        <f t="shared" si="2"/>
        <v>1-12</v>
      </c>
      <c r="K335" s="16" t="str">
        <f t="shared" si="3"/>
        <v>1-12</v>
      </c>
      <c r="L335" s="16" t="str">
        <f t="shared" si="4"/>
        <v>1-12</v>
      </c>
      <c r="M335" s="16" t="str">
        <f t="shared" si="5"/>
        <v>1-12</v>
      </c>
      <c r="N335" s="16" t="str">
        <f t="shared" si="6"/>
        <v>0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788</v>
      </c>
      <c r="B336" s="19" t="s">
        <v>789</v>
      </c>
      <c r="C336" s="11" t="s">
        <v>711</v>
      </c>
      <c r="D336" s="12" t="s">
        <v>787</v>
      </c>
      <c r="E336" s="13" t="str">
        <f t="array" ref="E336">INDEX(Turmas!C2:C106,MATCH(D336,Turmas!A2:A106,0))</f>
        <v>Noite</v>
      </c>
      <c r="F336" s="14">
        <v>0.0</v>
      </c>
      <c r="G336" s="15">
        <v>4.0</v>
      </c>
      <c r="H336" s="15">
        <v>0.0</v>
      </c>
      <c r="I336" s="16" t="str">
        <f t="shared" si="1"/>
        <v>1-12</v>
      </c>
      <c r="J336" s="16" t="str">
        <f t="shared" si="2"/>
        <v>1-12</v>
      </c>
      <c r="K336" s="16" t="str">
        <f t="shared" si="3"/>
        <v>1-12</v>
      </c>
      <c r="L336" s="16" t="str">
        <f t="shared" si="4"/>
        <v>1-12</v>
      </c>
      <c r="M336" s="16" t="str">
        <f t="shared" si="5"/>
        <v>1-12</v>
      </c>
      <c r="N336" s="16" t="str">
        <f t="shared" si="6"/>
        <v>0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790</v>
      </c>
      <c r="B337" s="19" t="s">
        <v>707</v>
      </c>
      <c r="C337" s="11" t="s">
        <v>708</v>
      </c>
      <c r="D337" s="12" t="s">
        <v>787</v>
      </c>
      <c r="E337" s="13" t="str">
        <f t="array" ref="E337">INDEX(Turmas!C2:C106,MATCH(D337,Turmas!A2:A106,0))</f>
        <v>Noite</v>
      </c>
      <c r="F337" s="14">
        <v>0.0</v>
      </c>
      <c r="G337" s="15">
        <v>4.0</v>
      </c>
      <c r="H337" s="15">
        <v>0.0</v>
      </c>
      <c r="I337" s="16" t="str">
        <f t="shared" si="1"/>
        <v>1-12</v>
      </c>
      <c r="J337" s="16" t="str">
        <f t="shared" si="2"/>
        <v>1-12</v>
      </c>
      <c r="K337" s="16" t="str">
        <f t="shared" si="3"/>
        <v>1-12</v>
      </c>
      <c r="L337" s="16" t="str">
        <f t="shared" si="4"/>
        <v>1-12</v>
      </c>
      <c r="M337" s="16" t="str">
        <f t="shared" si="5"/>
        <v>1-12</v>
      </c>
      <c r="N337" s="16" t="str">
        <f t="shared" si="6"/>
        <v>0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791</v>
      </c>
      <c r="B338" s="19" t="s">
        <v>792</v>
      </c>
      <c r="C338" s="11" t="s">
        <v>708</v>
      </c>
      <c r="D338" s="12" t="s">
        <v>787</v>
      </c>
      <c r="E338" s="13" t="str">
        <f t="array" ref="E338">INDEX(Turmas!C2:C106,MATCH(D338,Turmas!A2:A106,0))</f>
        <v>Noite</v>
      </c>
      <c r="F338" s="14">
        <v>0.0</v>
      </c>
      <c r="G338" s="15">
        <v>4.0</v>
      </c>
      <c r="H338" s="15">
        <v>0.0</v>
      </c>
      <c r="I338" s="16" t="str">
        <f t="shared" si="1"/>
        <v>1-12</v>
      </c>
      <c r="J338" s="16" t="str">
        <f t="shared" si="2"/>
        <v>1-12</v>
      </c>
      <c r="K338" s="16" t="str">
        <f t="shared" si="3"/>
        <v>1-12</v>
      </c>
      <c r="L338" s="16" t="str">
        <f t="shared" si="4"/>
        <v>1-12</v>
      </c>
      <c r="M338" s="16" t="str">
        <f t="shared" si="5"/>
        <v>1-12</v>
      </c>
      <c r="N338" s="16" t="str">
        <f t="shared" si="6"/>
        <v>0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793</v>
      </c>
      <c r="B339" s="19" t="s">
        <v>713</v>
      </c>
      <c r="C339" s="11" t="s">
        <v>723</v>
      </c>
      <c r="D339" s="12" t="s">
        <v>787</v>
      </c>
      <c r="E339" s="13" t="str">
        <f t="array" ref="E339">INDEX(Turmas!C2:C106,MATCH(D339,Turmas!A2:A106,0))</f>
        <v>Noite</v>
      </c>
      <c r="F339" s="14">
        <v>0.0</v>
      </c>
      <c r="G339" s="15">
        <v>4.0</v>
      </c>
      <c r="H339" s="15">
        <v>0.0</v>
      </c>
      <c r="I339" s="16" t="str">
        <f t="shared" si="1"/>
        <v>1-12</v>
      </c>
      <c r="J339" s="16" t="str">
        <f t="shared" si="2"/>
        <v>1-12</v>
      </c>
      <c r="K339" s="16" t="str">
        <f t="shared" si="3"/>
        <v>1-12</v>
      </c>
      <c r="L339" s="16" t="str">
        <f t="shared" si="4"/>
        <v>1-12</v>
      </c>
      <c r="M339" s="16" t="str">
        <f t="shared" si="5"/>
        <v>1-12</v>
      </c>
      <c r="N339" s="16" t="str">
        <f t="shared" si="6"/>
        <v>0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794</v>
      </c>
      <c r="B340" s="19" t="s">
        <v>795</v>
      </c>
      <c r="C340" s="11" t="s">
        <v>796</v>
      </c>
      <c r="D340" s="12" t="s">
        <v>787</v>
      </c>
      <c r="E340" s="13" t="str">
        <f t="array" ref="E340">INDEX(Turmas!C2:C106,MATCH(D340,Turmas!A2:A106,0))</f>
        <v>Noite</v>
      </c>
      <c r="F340" s="14">
        <v>0.0</v>
      </c>
      <c r="G340" s="15">
        <v>3.0</v>
      </c>
      <c r="H340" s="15">
        <v>0.0</v>
      </c>
      <c r="I340" s="16" t="str">
        <f t="shared" si="1"/>
        <v>1-12</v>
      </c>
      <c r="J340" s="16" t="str">
        <f t="shared" si="2"/>
        <v>1-12</v>
      </c>
      <c r="K340" s="16" t="str">
        <f t="shared" si="3"/>
        <v>1-12</v>
      </c>
      <c r="L340" s="16" t="str">
        <f t="shared" si="4"/>
        <v>1-12</v>
      </c>
      <c r="M340" s="16" t="str">
        <f t="shared" si="5"/>
        <v>1-12</v>
      </c>
      <c r="N340" s="16" t="str">
        <f t="shared" si="6"/>
        <v>0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797</v>
      </c>
      <c r="B341" s="19" t="s">
        <v>722</v>
      </c>
      <c r="C341" s="11" t="s">
        <v>723</v>
      </c>
      <c r="D341" s="12" t="s">
        <v>798</v>
      </c>
      <c r="E341" s="13" t="str">
        <f t="array" ref="E341">INDEX(Turmas!C2:C106,MATCH(D341,Turmas!A2:A106,0))</f>
        <v>Noite</v>
      </c>
      <c r="F341" s="14">
        <v>0.0</v>
      </c>
      <c r="G341" s="15">
        <v>4.0</v>
      </c>
      <c r="H341" s="15">
        <v>0.0</v>
      </c>
      <c r="I341" s="16" t="str">
        <f t="shared" si="1"/>
        <v>1-12</v>
      </c>
      <c r="J341" s="16" t="str">
        <f t="shared" si="2"/>
        <v>1-12</v>
      </c>
      <c r="K341" s="16" t="str">
        <f t="shared" si="3"/>
        <v>1-12</v>
      </c>
      <c r="L341" s="16" t="str">
        <f t="shared" si="4"/>
        <v>1-12</v>
      </c>
      <c r="M341" s="16" t="str">
        <f t="shared" si="5"/>
        <v>1-12</v>
      </c>
      <c r="N341" s="16" t="str">
        <f t="shared" si="6"/>
        <v>0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799</v>
      </c>
      <c r="B342" s="19" t="s">
        <v>800</v>
      </c>
      <c r="C342" s="11" t="s">
        <v>180</v>
      </c>
      <c r="D342" s="12" t="s">
        <v>801</v>
      </c>
      <c r="E342" s="13" t="str">
        <f t="array" ref="E342">INDEX(Turmas!C2:C106,MATCH(D342,Turmas!A2:A106,0))</f>
        <v>Noite</v>
      </c>
      <c r="F342" s="14">
        <v>0.0</v>
      </c>
      <c r="G342" s="15">
        <v>6.0</v>
      </c>
      <c r="H342" s="15">
        <v>0.0</v>
      </c>
      <c r="I342" s="16" t="str">
        <f t="shared" si="1"/>
        <v>1-12</v>
      </c>
      <c r="J342" s="16" t="str">
        <f t="shared" si="2"/>
        <v>1-12</v>
      </c>
      <c r="K342" s="16" t="str">
        <f t="shared" si="3"/>
        <v>1-12</v>
      </c>
      <c r="L342" s="16" t="str">
        <f t="shared" si="4"/>
        <v>1-12</v>
      </c>
      <c r="M342" s="16" t="str">
        <f t="shared" si="5"/>
        <v>1-12</v>
      </c>
      <c r="N342" s="16" t="str">
        <f t="shared" si="6"/>
        <v>0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462</v>
      </c>
      <c r="B343" s="19" t="s">
        <v>463</v>
      </c>
      <c r="C343" s="11" t="s">
        <v>237</v>
      </c>
      <c r="D343" s="12" t="s">
        <v>801</v>
      </c>
      <c r="E343" s="13" t="str">
        <f t="array" ref="E343">INDEX(Turmas!C2:C106,MATCH(D343,Turmas!A2:A106,0))</f>
        <v>Noite</v>
      </c>
      <c r="F343" s="14">
        <v>0.0</v>
      </c>
      <c r="G343" s="15">
        <v>4.0</v>
      </c>
      <c r="H343" s="15">
        <v>0.0</v>
      </c>
      <c r="I343" s="16" t="str">
        <f t="shared" si="1"/>
        <v>1-12</v>
      </c>
      <c r="J343" s="16" t="str">
        <f t="shared" si="2"/>
        <v>1-12</v>
      </c>
      <c r="K343" s="16" t="str">
        <f t="shared" si="3"/>
        <v>1-12</v>
      </c>
      <c r="L343" s="16" t="str">
        <f t="shared" si="4"/>
        <v>1-12</v>
      </c>
      <c r="M343" s="16" t="str">
        <f t="shared" si="5"/>
        <v>1-12</v>
      </c>
      <c r="N343" s="16" t="str">
        <f t="shared" si="6"/>
        <v>0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802</v>
      </c>
      <c r="B344" s="19" t="s">
        <v>803</v>
      </c>
      <c r="C344" s="11" t="s">
        <v>778</v>
      </c>
      <c r="D344" s="12" t="s">
        <v>801</v>
      </c>
      <c r="E344" s="13" t="str">
        <f t="array" ref="E344">INDEX(Turmas!C2:C106,MATCH(D344,Turmas!A2:A106,0))</f>
        <v>Noite</v>
      </c>
      <c r="F344" s="14">
        <v>0.0</v>
      </c>
      <c r="G344" s="15">
        <v>3.0</v>
      </c>
      <c r="H344" s="15">
        <v>0.0</v>
      </c>
      <c r="I344" s="16" t="str">
        <f t="shared" si="1"/>
        <v>1-12</v>
      </c>
      <c r="J344" s="16" t="str">
        <f t="shared" si="2"/>
        <v>1-12</v>
      </c>
      <c r="K344" s="16" t="str">
        <f t="shared" si="3"/>
        <v>1-12</v>
      </c>
      <c r="L344" s="16" t="str">
        <f t="shared" si="4"/>
        <v>1-12</v>
      </c>
      <c r="M344" s="16" t="str">
        <f t="shared" si="5"/>
        <v>1-12</v>
      </c>
      <c r="N344" s="16" t="str">
        <f t="shared" si="6"/>
        <v>0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413</v>
      </c>
      <c r="B345" s="19" t="s">
        <v>414</v>
      </c>
      <c r="C345" s="11" t="s">
        <v>415</v>
      </c>
      <c r="D345" s="12" t="s">
        <v>801</v>
      </c>
      <c r="E345" s="13" t="str">
        <f t="array" ref="E345">INDEX(Turmas!C2:C106,MATCH(D345,Turmas!A2:A106,0))</f>
        <v>Noite</v>
      </c>
      <c r="F345" s="14">
        <v>0.0</v>
      </c>
      <c r="G345" s="15">
        <v>4.0</v>
      </c>
      <c r="H345" s="15">
        <v>0.0</v>
      </c>
      <c r="I345" s="16" t="str">
        <f t="shared" si="1"/>
        <v>1-12</v>
      </c>
      <c r="J345" s="16" t="str">
        <f t="shared" si="2"/>
        <v>1-12</v>
      </c>
      <c r="K345" s="16" t="str">
        <f t="shared" si="3"/>
        <v>1-12</v>
      </c>
      <c r="L345" s="16" t="str">
        <f t="shared" si="4"/>
        <v>1-12</v>
      </c>
      <c r="M345" s="16" t="str">
        <f t="shared" si="5"/>
        <v>1-12</v>
      </c>
      <c r="N345" s="16" t="str">
        <f t="shared" si="6"/>
        <v>0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804</v>
      </c>
      <c r="B346" s="19" t="s">
        <v>805</v>
      </c>
      <c r="C346" s="11" t="s">
        <v>806</v>
      </c>
      <c r="D346" s="12" t="s">
        <v>801</v>
      </c>
      <c r="E346" s="13" t="str">
        <f t="array" ref="E346">INDEX(Turmas!C2:C106,MATCH(D346,Turmas!A2:A106,0))</f>
        <v>Noite</v>
      </c>
      <c r="F346" s="14">
        <v>0.0</v>
      </c>
      <c r="G346" s="15">
        <v>3.0</v>
      </c>
      <c r="H346" s="15">
        <v>0.0</v>
      </c>
      <c r="I346" s="16" t="str">
        <f t="shared" si="1"/>
        <v>1-12</v>
      </c>
      <c r="J346" s="16" t="str">
        <f t="shared" si="2"/>
        <v>1-12</v>
      </c>
      <c r="K346" s="16" t="str">
        <f t="shared" si="3"/>
        <v>1-12</v>
      </c>
      <c r="L346" s="16" t="str">
        <f t="shared" si="4"/>
        <v>1-12</v>
      </c>
      <c r="M346" s="16" t="str">
        <f t="shared" si="5"/>
        <v>1-12</v>
      </c>
      <c r="N346" s="16" t="str">
        <f t="shared" si="6"/>
        <v>0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807</v>
      </c>
      <c r="B347" s="19" t="s">
        <v>808</v>
      </c>
      <c r="C347" s="11" t="s">
        <v>766</v>
      </c>
      <c r="D347" s="12" t="s">
        <v>801</v>
      </c>
      <c r="E347" s="13" t="str">
        <f t="array" ref="E347">INDEX(Turmas!C2:C106,MATCH(D347,Turmas!A2:A106,0))</f>
        <v>Noite</v>
      </c>
      <c r="F347" s="14">
        <v>0.0</v>
      </c>
      <c r="G347" s="15">
        <v>2.0</v>
      </c>
      <c r="H347" s="15">
        <v>0.0</v>
      </c>
      <c r="I347" s="16" t="str">
        <f t="shared" si="1"/>
        <v>1-12</v>
      </c>
      <c r="J347" s="16" t="str">
        <f t="shared" si="2"/>
        <v>1-12</v>
      </c>
      <c r="K347" s="16" t="str">
        <f t="shared" si="3"/>
        <v>1-12</v>
      </c>
      <c r="L347" s="16" t="str">
        <f t="shared" si="4"/>
        <v>1-12</v>
      </c>
      <c r="M347" s="16" t="str">
        <f t="shared" si="5"/>
        <v>1-12</v>
      </c>
      <c r="N347" s="16" t="str">
        <f t="shared" si="6"/>
        <v>0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809</v>
      </c>
      <c r="B348" s="19" t="s">
        <v>810</v>
      </c>
      <c r="C348" s="11" t="s">
        <v>490</v>
      </c>
      <c r="D348" s="12" t="s">
        <v>811</v>
      </c>
      <c r="E348" s="13" t="str">
        <f t="array" ref="E348">INDEX(Turmas!C2:C106,MATCH(D348,Turmas!A2:A106,0))</f>
        <v>Integral</v>
      </c>
      <c r="F348" s="14">
        <v>0.0</v>
      </c>
      <c r="G348" s="15">
        <v>3.0</v>
      </c>
      <c r="H348" s="15">
        <v>0.0</v>
      </c>
      <c r="I348" s="16" t="str">
        <f t="shared" si="1"/>
        <v>13-16</v>
      </c>
      <c r="J348" s="16" t="str">
        <f t="shared" si="2"/>
        <v>13-16</v>
      </c>
      <c r="K348" s="16" t="str">
        <f t="shared" si="3"/>
        <v>13-16</v>
      </c>
      <c r="L348" s="16" t="str">
        <f t="shared" si="4"/>
        <v>13-16</v>
      </c>
      <c r="M348" s="16" t="str">
        <f t="shared" si="5"/>
        <v>13-16</v>
      </c>
      <c r="N348" s="16" t="str">
        <f t="shared" si="6"/>
        <v>1-16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812</v>
      </c>
      <c r="B349" s="19" t="s">
        <v>813</v>
      </c>
      <c r="C349" s="11" t="s">
        <v>723</v>
      </c>
      <c r="D349" s="12" t="s">
        <v>811</v>
      </c>
      <c r="E349" s="13" t="str">
        <f t="array" ref="E349">INDEX(Turmas!C2:C106,MATCH(D349,Turmas!A2:A106,0))</f>
        <v>Integral</v>
      </c>
      <c r="F349" s="14">
        <v>0.0</v>
      </c>
      <c r="G349" s="15">
        <v>4.0</v>
      </c>
      <c r="H349" s="15">
        <v>0.0</v>
      </c>
      <c r="I349" s="16" t="str">
        <f t="shared" si="1"/>
        <v>13-16</v>
      </c>
      <c r="J349" s="16" t="str">
        <f t="shared" si="2"/>
        <v>13-16</v>
      </c>
      <c r="K349" s="16" t="str">
        <f t="shared" si="3"/>
        <v>13-16</v>
      </c>
      <c r="L349" s="16" t="str">
        <f t="shared" si="4"/>
        <v>13-16</v>
      </c>
      <c r="M349" s="16" t="str">
        <f t="shared" si="5"/>
        <v>13-16</v>
      </c>
      <c r="N349" s="16" t="str">
        <f t="shared" si="6"/>
        <v>1-16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814</v>
      </c>
      <c r="B350" s="19" t="s">
        <v>815</v>
      </c>
      <c r="C350" s="11" t="s">
        <v>711</v>
      </c>
      <c r="D350" s="12" t="s">
        <v>811</v>
      </c>
      <c r="E350" s="13" t="str">
        <f t="array" ref="E350">INDEX(Turmas!C2:C106,MATCH(D350,Turmas!A2:A106,0))</f>
        <v>Integral</v>
      </c>
      <c r="F350" s="14">
        <v>0.0</v>
      </c>
      <c r="G350" s="15">
        <v>4.0</v>
      </c>
      <c r="H350" s="15">
        <v>0.0</v>
      </c>
      <c r="I350" s="16" t="str">
        <f t="shared" si="1"/>
        <v>13-16</v>
      </c>
      <c r="J350" s="16" t="str">
        <f t="shared" si="2"/>
        <v>13-16</v>
      </c>
      <c r="K350" s="16" t="str">
        <f t="shared" si="3"/>
        <v>13-16</v>
      </c>
      <c r="L350" s="16" t="str">
        <f t="shared" si="4"/>
        <v>13-16</v>
      </c>
      <c r="M350" s="16" t="str">
        <f t="shared" si="5"/>
        <v>13-16</v>
      </c>
      <c r="N350" s="16" t="str">
        <f t="shared" si="6"/>
        <v>1-16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816</v>
      </c>
      <c r="B351" s="19" t="s">
        <v>660</v>
      </c>
      <c r="C351" s="11" t="s">
        <v>605</v>
      </c>
      <c r="D351" s="12" t="s">
        <v>817</v>
      </c>
      <c r="E351" s="13" t="str">
        <f t="array" ref="E351">INDEX(Turmas!C2:C106,MATCH(D351,Turmas!A2:A106,0))</f>
        <v>Noite</v>
      </c>
      <c r="F351" s="14">
        <v>0.0</v>
      </c>
      <c r="G351" s="15">
        <v>3.0</v>
      </c>
      <c r="H351" s="15">
        <v>0.0</v>
      </c>
      <c r="I351" s="16" t="str">
        <f t="shared" si="1"/>
        <v>1-12</v>
      </c>
      <c r="J351" s="16" t="str">
        <f t="shared" si="2"/>
        <v>1-12</v>
      </c>
      <c r="K351" s="16" t="str">
        <f t="shared" si="3"/>
        <v>1-12</v>
      </c>
      <c r="L351" s="16" t="str">
        <f t="shared" si="4"/>
        <v>1-12</v>
      </c>
      <c r="M351" s="16" t="str">
        <f t="shared" si="5"/>
        <v>1-12</v>
      </c>
      <c r="N351" s="16" t="str">
        <f t="shared" si="6"/>
        <v>0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818</v>
      </c>
      <c r="B352" s="19" t="s">
        <v>819</v>
      </c>
      <c r="C352" s="11" t="s">
        <v>564</v>
      </c>
      <c r="D352" s="12" t="s">
        <v>817</v>
      </c>
      <c r="E352" s="13" t="str">
        <f t="array" ref="E352">INDEX(Turmas!C2:C106,MATCH(D352,Turmas!A2:A106,0))</f>
        <v>Noite</v>
      </c>
      <c r="F352" s="14">
        <v>0.0</v>
      </c>
      <c r="G352" s="15">
        <v>3.0</v>
      </c>
      <c r="H352" s="15">
        <v>0.0</v>
      </c>
      <c r="I352" s="16" t="str">
        <f t="shared" si="1"/>
        <v>1-12</v>
      </c>
      <c r="J352" s="16" t="str">
        <f t="shared" si="2"/>
        <v>1-12</v>
      </c>
      <c r="K352" s="16" t="str">
        <f t="shared" si="3"/>
        <v>1-12</v>
      </c>
      <c r="L352" s="16" t="str">
        <f t="shared" si="4"/>
        <v>1-12</v>
      </c>
      <c r="M352" s="16" t="str">
        <f t="shared" si="5"/>
        <v>1-12</v>
      </c>
      <c r="N352" s="16" t="str">
        <f t="shared" si="6"/>
        <v>0</v>
      </c>
      <c r="O352" s="17"/>
      <c r="P352" s="17"/>
      <c r="Q352" s="17"/>
      <c r="R352" s="17"/>
      <c r="S352" s="17"/>
      <c r="T352" s="17"/>
      <c r="U352" s="17"/>
      <c r="V352" s="17"/>
      <c r="W352" s="17"/>
    </row>
    <row r="353" ht="15.75" customHeight="1">
      <c r="A353" s="9" t="s">
        <v>820</v>
      </c>
      <c r="B353" s="19" t="s">
        <v>650</v>
      </c>
      <c r="C353" s="11" t="s">
        <v>643</v>
      </c>
      <c r="D353" s="12" t="s">
        <v>817</v>
      </c>
      <c r="E353" s="13" t="str">
        <f t="array" ref="E353">INDEX(Turmas!C2:C106,MATCH(D353,Turmas!A2:A106,0))</f>
        <v>Noite</v>
      </c>
      <c r="F353" s="20">
        <v>0.0</v>
      </c>
      <c r="G353" s="15">
        <v>4.0</v>
      </c>
      <c r="H353" s="15">
        <v>0.0</v>
      </c>
      <c r="I353" s="16" t="str">
        <f t="shared" si="1"/>
        <v>1-12</v>
      </c>
      <c r="J353" s="16" t="str">
        <f t="shared" si="2"/>
        <v>1-12</v>
      </c>
      <c r="K353" s="16" t="str">
        <f t="shared" si="3"/>
        <v>1-12</v>
      </c>
      <c r="L353" s="16" t="str">
        <f t="shared" si="4"/>
        <v>1-12</v>
      </c>
      <c r="M353" s="16" t="str">
        <f t="shared" si="5"/>
        <v>1-12</v>
      </c>
      <c r="N353" s="16" t="str">
        <f t="shared" si="6"/>
        <v>0</v>
      </c>
      <c r="O353" s="21"/>
      <c r="P353" s="21"/>
      <c r="Q353" s="21"/>
      <c r="R353" s="21"/>
      <c r="S353" s="21"/>
      <c r="T353" s="21"/>
      <c r="U353" s="21"/>
      <c r="V353" s="21"/>
      <c r="W353" s="21"/>
    </row>
    <row r="354" ht="15.75" customHeight="1">
      <c r="A354" s="9" t="s">
        <v>821</v>
      </c>
      <c r="B354" s="19" t="s">
        <v>822</v>
      </c>
      <c r="C354" s="11" t="s">
        <v>286</v>
      </c>
      <c r="D354" s="12" t="s">
        <v>817</v>
      </c>
      <c r="E354" s="13" t="str">
        <f t="array" ref="E354">INDEX(Turmas!C2:C106,MATCH(D354,Turmas!A2:A106,0))</f>
        <v>Noite</v>
      </c>
      <c r="F354" s="14">
        <v>0.0</v>
      </c>
      <c r="G354" s="15">
        <v>3.0</v>
      </c>
      <c r="H354" s="15">
        <v>0.0</v>
      </c>
      <c r="I354" s="16" t="str">
        <f t="shared" si="1"/>
        <v>1-12</v>
      </c>
      <c r="J354" s="16" t="str">
        <f t="shared" si="2"/>
        <v>1-12</v>
      </c>
      <c r="K354" s="16" t="str">
        <f t="shared" si="3"/>
        <v>1-12</v>
      </c>
      <c r="L354" s="16" t="str">
        <f t="shared" si="4"/>
        <v>1-12</v>
      </c>
      <c r="M354" s="16" t="str">
        <f t="shared" si="5"/>
        <v>1-12</v>
      </c>
      <c r="N354" s="16" t="str">
        <f t="shared" si="6"/>
        <v>0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436</v>
      </c>
      <c r="B355" s="19" t="s">
        <v>437</v>
      </c>
      <c r="C355" s="11" t="s">
        <v>286</v>
      </c>
      <c r="D355" s="12" t="s">
        <v>817</v>
      </c>
      <c r="E355" s="13" t="str">
        <f t="array" ref="E355">INDEX(Turmas!C2:C106,MATCH(D355,Turmas!A2:A106,0))</f>
        <v>Noite</v>
      </c>
      <c r="F355" s="14">
        <v>0.0</v>
      </c>
      <c r="G355" s="15">
        <v>4.0</v>
      </c>
      <c r="H355" s="15">
        <v>0.0</v>
      </c>
      <c r="I355" s="16" t="str">
        <f t="shared" si="1"/>
        <v>1-12</v>
      </c>
      <c r="J355" s="16" t="str">
        <f t="shared" si="2"/>
        <v>1-12</v>
      </c>
      <c r="K355" s="16" t="str">
        <f t="shared" si="3"/>
        <v>1-12</v>
      </c>
      <c r="L355" s="16" t="str">
        <f t="shared" si="4"/>
        <v>1-12</v>
      </c>
      <c r="M355" s="16" t="str">
        <f t="shared" si="5"/>
        <v>1-12</v>
      </c>
      <c r="N355" s="16" t="str">
        <f t="shared" si="6"/>
        <v>0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823</v>
      </c>
      <c r="B356" s="19" t="s">
        <v>471</v>
      </c>
      <c r="C356" s="11" t="s">
        <v>430</v>
      </c>
      <c r="D356" s="12" t="s">
        <v>817</v>
      </c>
      <c r="E356" s="13" t="str">
        <f t="array" ref="E356">INDEX(Turmas!C2:C106,MATCH(D356,Turmas!A2:A106,0))</f>
        <v>Noite</v>
      </c>
      <c r="F356" s="14">
        <v>0.0</v>
      </c>
      <c r="G356" s="15">
        <v>3.0</v>
      </c>
      <c r="H356" s="15">
        <v>0.0</v>
      </c>
      <c r="I356" s="16" t="str">
        <f t="shared" si="1"/>
        <v>1-12</v>
      </c>
      <c r="J356" s="16" t="str">
        <f t="shared" si="2"/>
        <v>1-12</v>
      </c>
      <c r="K356" s="16" t="str">
        <f t="shared" si="3"/>
        <v>1-12</v>
      </c>
      <c r="L356" s="16" t="str">
        <f t="shared" si="4"/>
        <v>1-12</v>
      </c>
      <c r="M356" s="16" t="str">
        <f t="shared" si="5"/>
        <v>1-12</v>
      </c>
      <c r="N356" s="16" t="str">
        <f t="shared" si="6"/>
        <v>0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824</v>
      </c>
      <c r="B357" s="19" t="s">
        <v>825</v>
      </c>
      <c r="C357" s="11" t="s">
        <v>130</v>
      </c>
      <c r="D357" s="12" t="s">
        <v>826</v>
      </c>
      <c r="E357" s="13" t="str">
        <f t="array" ref="E357">INDEX(Turmas!C2:C106,MATCH(D357,Turmas!A2:A106,0))</f>
        <v>Noite</v>
      </c>
      <c r="F357" s="14">
        <v>0.0</v>
      </c>
      <c r="G357" s="15">
        <v>3.0</v>
      </c>
      <c r="H357" s="15">
        <v>0.0</v>
      </c>
      <c r="I357" s="16" t="str">
        <f t="shared" si="1"/>
        <v>1-12</v>
      </c>
      <c r="J357" s="16" t="str">
        <f t="shared" si="2"/>
        <v>1-12</v>
      </c>
      <c r="K357" s="16" t="str">
        <f t="shared" si="3"/>
        <v>1-12</v>
      </c>
      <c r="L357" s="16" t="str">
        <f t="shared" si="4"/>
        <v>1-12</v>
      </c>
      <c r="M357" s="16" t="str">
        <f t="shared" si="5"/>
        <v>1-12</v>
      </c>
      <c r="N357" s="16" t="str">
        <f t="shared" si="6"/>
        <v>0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827</v>
      </c>
      <c r="B358" s="19" t="s">
        <v>828</v>
      </c>
      <c r="C358" s="11" t="s">
        <v>359</v>
      </c>
      <c r="D358" s="12" t="s">
        <v>826</v>
      </c>
      <c r="E358" s="13" t="str">
        <f t="array" ref="E358">INDEX(Turmas!C2:C106,MATCH(D358,Turmas!A2:A106,0))</f>
        <v>Noite</v>
      </c>
      <c r="F358" s="14">
        <v>0.0</v>
      </c>
      <c r="G358" s="15">
        <v>2.0</v>
      </c>
      <c r="H358" s="15">
        <v>0.0</v>
      </c>
      <c r="I358" s="16" t="str">
        <f t="shared" si="1"/>
        <v>1-12</v>
      </c>
      <c r="J358" s="16" t="str">
        <f t="shared" si="2"/>
        <v>1-12</v>
      </c>
      <c r="K358" s="16" t="str">
        <f t="shared" si="3"/>
        <v>1-12</v>
      </c>
      <c r="L358" s="16" t="str">
        <f t="shared" si="4"/>
        <v>1-12</v>
      </c>
      <c r="M358" s="16" t="str">
        <f t="shared" si="5"/>
        <v>1-12</v>
      </c>
      <c r="N358" s="16" t="str">
        <f t="shared" si="6"/>
        <v>0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829</v>
      </c>
      <c r="B359" s="10" t="s">
        <v>830</v>
      </c>
      <c r="C359" s="11" t="s">
        <v>363</v>
      </c>
      <c r="D359" s="12" t="s">
        <v>826</v>
      </c>
      <c r="E359" s="13" t="str">
        <f t="array" ref="E359">INDEX(Turmas!C2:C106,MATCH(D359,Turmas!A2:A106,0))</f>
        <v>Noite</v>
      </c>
      <c r="F359" s="14">
        <v>0.0</v>
      </c>
      <c r="G359" s="15">
        <v>3.0</v>
      </c>
      <c r="H359" s="15">
        <v>0.0</v>
      </c>
      <c r="I359" s="16" t="str">
        <f t="shared" si="1"/>
        <v>1-12</v>
      </c>
      <c r="J359" s="16" t="str">
        <f t="shared" si="2"/>
        <v>1-12</v>
      </c>
      <c r="K359" s="16" t="str">
        <f t="shared" si="3"/>
        <v>1-12</v>
      </c>
      <c r="L359" s="16" t="str">
        <f t="shared" si="4"/>
        <v>1-12</v>
      </c>
      <c r="M359" s="16" t="str">
        <f t="shared" si="5"/>
        <v>1-12</v>
      </c>
      <c r="N359" s="16" t="str">
        <f t="shared" si="6"/>
        <v>0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468</v>
      </c>
      <c r="B360" s="10" t="s">
        <v>469</v>
      </c>
      <c r="C360" s="11" t="s">
        <v>157</v>
      </c>
      <c r="D360" s="12" t="s">
        <v>826</v>
      </c>
      <c r="E360" s="13" t="str">
        <f t="array" ref="E360">INDEX(Turmas!C2:C106,MATCH(D360,Turmas!A2:A106,0))</f>
        <v>Noite</v>
      </c>
      <c r="F360" s="14">
        <v>0.0</v>
      </c>
      <c r="G360" s="15">
        <v>3.0</v>
      </c>
      <c r="H360" s="15">
        <v>0.0</v>
      </c>
      <c r="I360" s="16" t="str">
        <f t="shared" si="1"/>
        <v>1-12</v>
      </c>
      <c r="J360" s="16" t="str">
        <f t="shared" si="2"/>
        <v>1-12</v>
      </c>
      <c r="K360" s="16" t="str">
        <f t="shared" si="3"/>
        <v>1-12</v>
      </c>
      <c r="L360" s="16" t="str">
        <f t="shared" si="4"/>
        <v>1-12</v>
      </c>
      <c r="M360" s="16" t="str">
        <f t="shared" si="5"/>
        <v>1-12</v>
      </c>
      <c r="N360" s="16" t="str">
        <f t="shared" si="6"/>
        <v>0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831</v>
      </c>
      <c r="B361" s="10" t="s">
        <v>832</v>
      </c>
      <c r="C361" s="11" t="s">
        <v>655</v>
      </c>
      <c r="D361" s="12" t="s">
        <v>826</v>
      </c>
      <c r="E361" s="13" t="str">
        <f t="array" ref="E361">INDEX(Turmas!C2:C106,MATCH(D361,Turmas!A2:A106,0))</f>
        <v>Noite</v>
      </c>
      <c r="F361" s="14">
        <v>0.0</v>
      </c>
      <c r="G361" s="15">
        <v>4.0</v>
      </c>
      <c r="H361" s="15">
        <v>0.0</v>
      </c>
      <c r="I361" s="16" t="str">
        <f t="shared" si="1"/>
        <v>1-12</v>
      </c>
      <c r="J361" s="16" t="str">
        <f t="shared" si="2"/>
        <v>1-12</v>
      </c>
      <c r="K361" s="16" t="str">
        <f t="shared" si="3"/>
        <v>1-12</v>
      </c>
      <c r="L361" s="16" t="str">
        <f t="shared" si="4"/>
        <v>1-12</v>
      </c>
      <c r="M361" s="16" t="str">
        <f t="shared" si="5"/>
        <v>1-12</v>
      </c>
      <c r="N361" s="16" t="str">
        <f t="shared" si="6"/>
        <v>0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833</v>
      </c>
      <c r="B362" s="19" t="s">
        <v>834</v>
      </c>
      <c r="C362" s="11" t="s">
        <v>655</v>
      </c>
      <c r="D362" s="22" t="s">
        <v>826</v>
      </c>
      <c r="E362" s="13" t="str">
        <f t="array" ref="E362">INDEX(Turmas!C2:C106,MATCH(D362,Turmas!A2:A106,0))</f>
        <v>Noite</v>
      </c>
      <c r="F362" s="14">
        <v>0.0</v>
      </c>
      <c r="G362" s="15">
        <v>4.0</v>
      </c>
      <c r="H362" s="15">
        <v>0.0</v>
      </c>
      <c r="I362" s="16" t="str">
        <f t="shared" si="1"/>
        <v>1-12</v>
      </c>
      <c r="J362" s="16" t="str">
        <f t="shared" si="2"/>
        <v>1-12</v>
      </c>
      <c r="K362" s="16" t="str">
        <f t="shared" si="3"/>
        <v>1-12</v>
      </c>
      <c r="L362" s="16" t="str">
        <f t="shared" si="4"/>
        <v>1-12</v>
      </c>
      <c r="M362" s="16" t="str">
        <f t="shared" si="5"/>
        <v>1-12</v>
      </c>
      <c r="N362" s="16" t="str">
        <f t="shared" si="6"/>
        <v>0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835</v>
      </c>
      <c r="B363" s="19" t="s">
        <v>836</v>
      </c>
      <c r="C363" s="11" t="s">
        <v>564</v>
      </c>
      <c r="D363" s="22" t="s">
        <v>826</v>
      </c>
      <c r="E363" s="13" t="str">
        <f t="array" ref="E363">INDEX(Turmas!C2:C106,MATCH(D363,Turmas!A2:A106,0))</f>
        <v>Noite</v>
      </c>
      <c r="F363" s="14">
        <v>0.0</v>
      </c>
      <c r="G363" s="15">
        <v>4.0</v>
      </c>
      <c r="H363" s="15">
        <v>0.0</v>
      </c>
      <c r="I363" s="16" t="str">
        <f t="shared" si="1"/>
        <v>1-12</v>
      </c>
      <c r="J363" s="16" t="str">
        <f t="shared" si="2"/>
        <v>1-12</v>
      </c>
      <c r="K363" s="16" t="str">
        <f t="shared" si="3"/>
        <v>1-12</v>
      </c>
      <c r="L363" s="16" t="str">
        <f t="shared" si="4"/>
        <v>1-12</v>
      </c>
      <c r="M363" s="16" t="str">
        <f t="shared" si="5"/>
        <v>1-12</v>
      </c>
      <c r="N363" s="16" t="str">
        <f t="shared" si="6"/>
        <v>0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837</v>
      </c>
      <c r="B364" s="10" t="s">
        <v>838</v>
      </c>
      <c r="C364" s="11" t="s">
        <v>839</v>
      </c>
      <c r="D364" s="22" t="s">
        <v>840</v>
      </c>
      <c r="E364" s="13" t="str">
        <f t="array" ref="E364">INDEX(Turmas!C2:C106,MATCH(D364,Turmas!A2:A106,0))</f>
        <v>Noite</v>
      </c>
      <c r="F364" s="14">
        <v>0.0</v>
      </c>
      <c r="G364" s="15">
        <v>2.0</v>
      </c>
      <c r="H364" s="15">
        <v>0.0</v>
      </c>
      <c r="I364" s="16" t="str">
        <f t="shared" si="1"/>
        <v>1-12</v>
      </c>
      <c r="J364" s="16" t="str">
        <f t="shared" si="2"/>
        <v>1-12</v>
      </c>
      <c r="K364" s="16" t="str">
        <f t="shared" si="3"/>
        <v>1-12</v>
      </c>
      <c r="L364" s="16" t="str">
        <f t="shared" si="4"/>
        <v>1-12</v>
      </c>
      <c r="M364" s="16" t="str">
        <f t="shared" si="5"/>
        <v>1-12</v>
      </c>
      <c r="N364" s="16" t="str">
        <f t="shared" si="6"/>
        <v>0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841</v>
      </c>
      <c r="B365" s="10" t="s">
        <v>842</v>
      </c>
      <c r="C365" s="11" t="s">
        <v>843</v>
      </c>
      <c r="D365" s="22" t="s">
        <v>840</v>
      </c>
      <c r="E365" s="13" t="str">
        <f t="array" ref="E365">INDEX(Turmas!C2:C106,MATCH(D365,Turmas!A2:A106,0))</f>
        <v>Noite</v>
      </c>
      <c r="F365" s="14">
        <v>0.0</v>
      </c>
      <c r="G365" s="15">
        <v>2.0</v>
      </c>
      <c r="H365" s="15">
        <v>0.0</v>
      </c>
      <c r="I365" s="16" t="str">
        <f t="shared" si="1"/>
        <v>1-12</v>
      </c>
      <c r="J365" s="16" t="str">
        <f t="shared" si="2"/>
        <v>1-12</v>
      </c>
      <c r="K365" s="16" t="str">
        <f t="shared" si="3"/>
        <v>1-12</v>
      </c>
      <c r="L365" s="16" t="str">
        <f t="shared" si="4"/>
        <v>1-12</v>
      </c>
      <c r="M365" s="16" t="str">
        <f t="shared" si="5"/>
        <v>1-12</v>
      </c>
      <c r="N365" s="16" t="str">
        <f t="shared" si="6"/>
        <v>0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844</v>
      </c>
      <c r="B366" s="10" t="s">
        <v>845</v>
      </c>
      <c r="C366" s="11" t="s">
        <v>412</v>
      </c>
      <c r="D366" s="22" t="s">
        <v>840</v>
      </c>
      <c r="E366" s="13" t="str">
        <f t="array" ref="E366">INDEX(Turmas!C2:C106,MATCH(D366,Turmas!A2:A106,0))</f>
        <v>Noite</v>
      </c>
      <c r="F366" s="14">
        <v>0.0</v>
      </c>
      <c r="G366" s="15">
        <v>2.0</v>
      </c>
      <c r="H366" s="15">
        <v>0.0</v>
      </c>
      <c r="I366" s="16" t="str">
        <f t="shared" si="1"/>
        <v>1-12</v>
      </c>
      <c r="J366" s="16" t="str">
        <f t="shared" si="2"/>
        <v>1-12</v>
      </c>
      <c r="K366" s="16" t="str">
        <f t="shared" si="3"/>
        <v>1-12</v>
      </c>
      <c r="L366" s="16" t="str">
        <f t="shared" si="4"/>
        <v>1-12</v>
      </c>
      <c r="M366" s="16" t="str">
        <f t="shared" si="5"/>
        <v>1-12</v>
      </c>
      <c r="N366" s="16" t="str">
        <f t="shared" si="6"/>
        <v>0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846</v>
      </c>
      <c r="B367" s="10" t="s">
        <v>847</v>
      </c>
      <c r="C367" s="11" t="s">
        <v>839</v>
      </c>
      <c r="D367" s="22" t="s">
        <v>840</v>
      </c>
      <c r="E367" s="13" t="str">
        <f t="array" ref="E367">INDEX(Turmas!C2:C106,MATCH(D367,Turmas!A2:A106,0))</f>
        <v>Noite</v>
      </c>
      <c r="F367" s="14">
        <v>0.0</v>
      </c>
      <c r="G367" s="15">
        <v>2.0</v>
      </c>
      <c r="H367" s="15">
        <v>0.0</v>
      </c>
      <c r="I367" s="16" t="str">
        <f t="shared" si="1"/>
        <v>1-12</v>
      </c>
      <c r="J367" s="16" t="str">
        <f t="shared" si="2"/>
        <v>1-12</v>
      </c>
      <c r="K367" s="16" t="str">
        <f t="shared" si="3"/>
        <v>1-12</v>
      </c>
      <c r="L367" s="16" t="str">
        <f t="shared" si="4"/>
        <v>1-12</v>
      </c>
      <c r="M367" s="16" t="str">
        <f t="shared" si="5"/>
        <v>1-12</v>
      </c>
      <c r="N367" s="16" t="str">
        <f t="shared" si="6"/>
        <v>0</v>
      </c>
      <c r="O367" s="17"/>
      <c r="P367" s="17"/>
      <c r="Q367" s="17"/>
      <c r="R367" s="17"/>
      <c r="S367" s="17"/>
      <c r="T367" s="17"/>
      <c r="U367" s="17"/>
      <c r="V367" s="17"/>
      <c r="W367" s="17"/>
    </row>
    <row r="368" ht="15.75" customHeight="1">
      <c r="A368" s="9" t="s">
        <v>848</v>
      </c>
      <c r="B368" s="19" t="s">
        <v>849</v>
      </c>
      <c r="C368" s="11" t="s">
        <v>839</v>
      </c>
      <c r="D368" s="12" t="s">
        <v>840</v>
      </c>
      <c r="E368" s="13" t="str">
        <f t="array" ref="E368">INDEX(Turmas!C2:C106,MATCH(D368,Turmas!A2:A106,0))</f>
        <v>Noite</v>
      </c>
      <c r="F368" s="20">
        <v>0.0</v>
      </c>
      <c r="G368" s="15">
        <v>4.0</v>
      </c>
      <c r="H368" s="15">
        <v>0.0</v>
      </c>
      <c r="I368" s="16" t="str">
        <f t="shared" si="1"/>
        <v>1-12</v>
      </c>
      <c r="J368" s="16" t="str">
        <f t="shared" si="2"/>
        <v>1-12</v>
      </c>
      <c r="K368" s="16" t="str">
        <f t="shared" si="3"/>
        <v>1-12</v>
      </c>
      <c r="L368" s="16" t="str">
        <f t="shared" si="4"/>
        <v>1-12</v>
      </c>
      <c r="M368" s="16" t="str">
        <f t="shared" si="5"/>
        <v>1-12</v>
      </c>
      <c r="N368" s="16" t="str">
        <f t="shared" si="6"/>
        <v>0</v>
      </c>
      <c r="O368" s="21"/>
      <c r="P368" s="21"/>
      <c r="Q368" s="21"/>
      <c r="R368" s="21"/>
      <c r="S368" s="21"/>
      <c r="T368" s="21"/>
      <c r="U368" s="21"/>
      <c r="V368" s="21"/>
      <c r="W368" s="21"/>
    </row>
    <row r="369" ht="15.75" customHeight="1">
      <c r="A369" s="9" t="s">
        <v>850</v>
      </c>
      <c r="B369" s="10" t="s">
        <v>851</v>
      </c>
      <c r="C369" s="11" t="s">
        <v>605</v>
      </c>
      <c r="D369" s="22" t="s">
        <v>840</v>
      </c>
      <c r="E369" s="13" t="str">
        <f t="array" ref="E369">INDEX(Turmas!C2:C106,MATCH(D369,Turmas!A2:A106,0))</f>
        <v>Noite</v>
      </c>
      <c r="F369" s="14">
        <v>0.0</v>
      </c>
      <c r="G369" s="15">
        <v>4.0</v>
      </c>
      <c r="H369" s="15">
        <v>0.0</v>
      </c>
      <c r="I369" s="16" t="str">
        <f t="shared" si="1"/>
        <v>1-12</v>
      </c>
      <c r="J369" s="16" t="str">
        <f t="shared" si="2"/>
        <v>1-12</v>
      </c>
      <c r="K369" s="16" t="str">
        <f t="shared" si="3"/>
        <v>1-12</v>
      </c>
      <c r="L369" s="16" t="str">
        <f t="shared" si="4"/>
        <v>1-12</v>
      </c>
      <c r="M369" s="16" t="str">
        <f t="shared" si="5"/>
        <v>1-12</v>
      </c>
      <c r="N369" s="16" t="str">
        <f t="shared" si="6"/>
        <v>0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852</v>
      </c>
      <c r="B370" s="10" t="s">
        <v>88</v>
      </c>
      <c r="C370" s="11" t="s">
        <v>89</v>
      </c>
      <c r="D370" s="22" t="s">
        <v>840</v>
      </c>
      <c r="E370" s="13" t="str">
        <f t="array" ref="E370">INDEX(Turmas!C2:C106,MATCH(D370,Turmas!A2:A106,0))</f>
        <v>Noite</v>
      </c>
      <c r="F370" s="14">
        <v>0.0</v>
      </c>
      <c r="G370" s="15">
        <v>4.0</v>
      </c>
      <c r="H370" s="15">
        <v>0.0</v>
      </c>
      <c r="I370" s="16" t="str">
        <f t="shared" si="1"/>
        <v>1-12</v>
      </c>
      <c r="J370" s="16" t="str">
        <f t="shared" si="2"/>
        <v>1-12</v>
      </c>
      <c r="K370" s="16" t="str">
        <f t="shared" si="3"/>
        <v>1-12</v>
      </c>
      <c r="L370" s="16" t="str">
        <f t="shared" si="4"/>
        <v>1-12</v>
      </c>
      <c r="M370" s="16" t="str">
        <f t="shared" si="5"/>
        <v>1-12</v>
      </c>
      <c r="N370" s="16" t="str">
        <f t="shared" si="6"/>
        <v>0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853</v>
      </c>
      <c r="B371" s="10" t="s">
        <v>854</v>
      </c>
      <c r="C371" s="11" t="s">
        <v>855</v>
      </c>
      <c r="D371" s="22" t="s">
        <v>856</v>
      </c>
      <c r="E371" s="13" t="str">
        <f t="array" ref="E371">INDEX(Turmas!C2:C106,MATCH(D371,Turmas!A2:A106,0))</f>
        <v>Noite</v>
      </c>
      <c r="F371" s="14">
        <v>0.0</v>
      </c>
      <c r="G371" s="15">
        <v>4.0</v>
      </c>
      <c r="H371" s="15">
        <v>0.0</v>
      </c>
      <c r="I371" s="16" t="str">
        <f t="shared" si="1"/>
        <v>1-12</v>
      </c>
      <c r="J371" s="16" t="str">
        <f t="shared" si="2"/>
        <v>1-12</v>
      </c>
      <c r="K371" s="16" t="str">
        <f t="shared" si="3"/>
        <v>1-12</v>
      </c>
      <c r="L371" s="16" t="str">
        <f t="shared" si="4"/>
        <v>1-12</v>
      </c>
      <c r="M371" s="16" t="str">
        <f t="shared" si="5"/>
        <v>1-12</v>
      </c>
      <c r="N371" s="16" t="str">
        <f t="shared" si="6"/>
        <v>0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857</v>
      </c>
      <c r="B372" s="10" t="s">
        <v>858</v>
      </c>
      <c r="C372" s="11" t="s">
        <v>839</v>
      </c>
      <c r="D372" s="22" t="s">
        <v>856</v>
      </c>
      <c r="E372" s="13" t="str">
        <f t="array" ref="E372">INDEX(Turmas!C2:C106,MATCH(D372,Turmas!A2:A106,0))</f>
        <v>Noite</v>
      </c>
      <c r="F372" s="14">
        <v>0.0</v>
      </c>
      <c r="G372" s="15">
        <v>4.0</v>
      </c>
      <c r="H372" s="15">
        <v>0.0</v>
      </c>
      <c r="I372" s="16" t="str">
        <f t="shared" si="1"/>
        <v>1-12</v>
      </c>
      <c r="J372" s="16" t="str">
        <f t="shared" si="2"/>
        <v>1-12</v>
      </c>
      <c r="K372" s="16" t="str">
        <f t="shared" si="3"/>
        <v>1-12</v>
      </c>
      <c r="L372" s="16" t="str">
        <f t="shared" si="4"/>
        <v>1-12</v>
      </c>
      <c r="M372" s="16" t="str">
        <f t="shared" si="5"/>
        <v>1-12</v>
      </c>
      <c r="N372" s="16" t="str">
        <f t="shared" si="6"/>
        <v>0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859</v>
      </c>
      <c r="B373" s="10" t="s">
        <v>860</v>
      </c>
      <c r="C373" s="11" t="s">
        <v>412</v>
      </c>
      <c r="D373" s="22" t="s">
        <v>856</v>
      </c>
      <c r="E373" s="13" t="str">
        <f t="array" ref="E373">INDEX(Turmas!C2:C106,MATCH(D373,Turmas!A2:A106,0))</f>
        <v>Noite</v>
      </c>
      <c r="F373" s="14">
        <v>0.0</v>
      </c>
      <c r="G373" s="15">
        <v>2.0</v>
      </c>
      <c r="H373" s="15">
        <v>0.0</v>
      </c>
      <c r="I373" s="16" t="str">
        <f t="shared" si="1"/>
        <v>1-12</v>
      </c>
      <c r="J373" s="16" t="str">
        <f t="shared" si="2"/>
        <v>1-12</v>
      </c>
      <c r="K373" s="16" t="str">
        <f t="shared" si="3"/>
        <v>1-12</v>
      </c>
      <c r="L373" s="16" t="str">
        <f t="shared" si="4"/>
        <v>1-12</v>
      </c>
      <c r="M373" s="16" t="str">
        <f t="shared" si="5"/>
        <v>1-12</v>
      </c>
      <c r="N373" s="16" t="str">
        <f t="shared" si="6"/>
        <v>0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861</v>
      </c>
      <c r="B374" s="10" t="s">
        <v>862</v>
      </c>
      <c r="C374" s="11" t="s">
        <v>843</v>
      </c>
      <c r="D374" s="22" t="s">
        <v>856</v>
      </c>
      <c r="E374" s="13" t="str">
        <f t="array" ref="E374">INDEX(Turmas!C2:C106,MATCH(D374,Turmas!A2:A106,0))</f>
        <v>Noite</v>
      </c>
      <c r="F374" s="14">
        <v>0.0</v>
      </c>
      <c r="G374" s="15">
        <v>2.0</v>
      </c>
      <c r="H374" s="15">
        <v>0.0</v>
      </c>
      <c r="I374" s="16" t="str">
        <f t="shared" si="1"/>
        <v>1-12</v>
      </c>
      <c r="J374" s="16" t="str">
        <f t="shared" si="2"/>
        <v>1-12</v>
      </c>
      <c r="K374" s="16" t="str">
        <f t="shared" si="3"/>
        <v>1-12</v>
      </c>
      <c r="L374" s="16" t="str">
        <f t="shared" si="4"/>
        <v>1-12</v>
      </c>
      <c r="M374" s="16" t="str">
        <f t="shared" si="5"/>
        <v>1-12</v>
      </c>
      <c r="N374" s="16" t="str">
        <f t="shared" si="6"/>
        <v>0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863</v>
      </c>
      <c r="B375" s="10" t="s">
        <v>864</v>
      </c>
      <c r="C375" s="11" t="s">
        <v>618</v>
      </c>
      <c r="D375" s="22" t="s">
        <v>856</v>
      </c>
      <c r="E375" s="13" t="str">
        <f t="array" ref="E375">INDEX(Turmas!C2:C106,MATCH(D375,Turmas!A2:A106,0))</f>
        <v>Noite</v>
      </c>
      <c r="F375" s="14">
        <v>0.0</v>
      </c>
      <c r="G375" s="15">
        <v>2.0</v>
      </c>
      <c r="H375" s="15">
        <v>0.0</v>
      </c>
      <c r="I375" s="16" t="str">
        <f t="shared" si="1"/>
        <v>1-12</v>
      </c>
      <c r="J375" s="16" t="str">
        <f t="shared" si="2"/>
        <v>1-12</v>
      </c>
      <c r="K375" s="16" t="str">
        <f t="shared" si="3"/>
        <v>1-12</v>
      </c>
      <c r="L375" s="16" t="str">
        <f t="shared" si="4"/>
        <v>1-12</v>
      </c>
      <c r="M375" s="16" t="str">
        <f t="shared" si="5"/>
        <v>1-12</v>
      </c>
      <c r="N375" s="16" t="str">
        <f t="shared" si="6"/>
        <v>0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865</v>
      </c>
      <c r="B376" s="10" t="s">
        <v>866</v>
      </c>
      <c r="C376" s="11" t="s">
        <v>16</v>
      </c>
      <c r="D376" s="22" t="s">
        <v>856</v>
      </c>
      <c r="E376" s="13" t="str">
        <f t="array" ref="E376">INDEX(Turmas!C2:C106,MATCH(D376,Turmas!A2:A106,0))</f>
        <v>Noite</v>
      </c>
      <c r="F376" s="14">
        <v>0.0</v>
      </c>
      <c r="G376" s="15">
        <v>2.0</v>
      </c>
      <c r="H376" s="15">
        <v>0.0</v>
      </c>
      <c r="I376" s="16" t="str">
        <f t="shared" si="1"/>
        <v>1-12</v>
      </c>
      <c r="J376" s="16" t="str">
        <f t="shared" si="2"/>
        <v>1-12</v>
      </c>
      <c r="K376" s="16" t="str">
        <f t="shared" si="3"/>
        <v>1-12</v>
      </c>
      <c r="L376" s="16" t="str">
        <f t="shared" si="4"/>
        <v>1-12</v>
      </c>
      <c r="M376" s="16" t="str">
        <f t="shared" si="5"/>
        <v>1-12</v>
      </c>
      <c r="N376" s="16" t="str">
        <f t="shared" si="6"/>
        <v>0</v>
      </c>
      <c r="O376" s="17"/>
      <c r="P376" s="17"/>
      <c r="Q376" s="17"/>
      <c r="R376" s="17"/>
      <c r="S376" s="17"/>
      <c r="T376" s="17"/>
      <c r="U376" s="17"/>
      <c r="V376" s="17"/>
      <c r="W376" s="17"/>
    </row>
    <row r="377" ht="15.75" customHeight="1">
      <c r="A377" s="9" t="s">
        <v>867</v>
      </c>
      <c r="B377" s="19" t="s">
        <v>868</v>
      </c>
      <c r="C377" s="11" t="s">
        <v>869</v>
      </c>
      <c r="D377" s="12" t="s">
        <v>856</v>
      </c>
      <c r="E377" s="13" t="str">
        <f t="array" ref="E377">INDEX(Turmas!C2:C106,MATCH(D377,Turmas!A2:A106,0))</f>
        <v>Noite</v>
      </c>
      <c r="F377" s="20">
        <v>0.0</v>
      </c>
      <c r="G377" s="15">
        <v>4.0</v>
      </c>
      <c r="H377" s="15">
        <v>0.0</v>
      </c>
      <c r="I377" s="16" t="str">
        <f t="shared" si="1"/>
        <v>1-12</v>
      </c>
      <c r="J377" s="16" t="str">
        <f t="shared" si="2"/>
        <v>1-12</v>
      </c>
      <c r="K377" s="16" t="str">
        <f t="shared" si="3"/>
        <v>1-12</v>
      </c>
      <c r="L377" s="16" t="str">
        <f t="shared" si="4"/>
        <v>1-12</v>
      </c>
      <c r="M377" s="16" t="str">
        <f t="shared" si="5"/>
        <v>1-12</v>
      </c>
      <c r="N377" s="16" t="str">
        <f t="shared" si="6"/>
        <v>0</v>
      </c>
      <c r="O377" s="21"/>
      <c r="P377" s="21"/>
      <c r="Q377" s="21"/>
      <c r="R377" s="21"/>
      <c r="S377" s="21"/>
      <c r="T377" s="21"/>
      <c r="U377" s="21"/>
      <c r="V377" s="21"/>
      <c r="W377" s="21"/>
    </row>
    <row r="378" ht="15.75" customHeight="1">
      <c r="A378" s="9" t="s">
        <v>424</v>
      </c>
      <c r="B378" s="10" t="s">
        <v>156</v>
      </c>
      <c r="C378" s="11" t="s">
        <v>157</v>
      </c>
      <c r="D378" s="22" t="s">
        <v>870</v>
      </c>
      <c r="E378" s="13" t="str">
        <f t="array" ref="E378">INDEX(Turmas!C2:C106,MATCH(D378,Turmas!A2:A106,0))</f>
        <v>Manhã</v>
      </c>
      <c r="F378" s="14">
        <v>0.0</v>
      </c>
      <c r="G378" s="15">
        <v>2.0</v>
      </c>
      <c r="H378" s="15">
        <v>0.0</v>
      </c>
      <c r="I378" s="16" t="str">
        <f t="shared" si="1"/>
        <v>7-16</v>
      </c>
      <c r="J378" s="16" t="str">
        <f t="shared" si="2"/>
        <v>7-16</v>
      </c>
      <c r="K378" s="16" t="str">
        <f t="shared" si="3"/>
        <v>7-16</v>
      </c>
      <c r="L378" s="16" t="str">
        <f t="shared" si="4"/>
        <v>7-16</v>
      </c>
      <c r="M378" s="16" t="str">
        <f t="shared" si="5"/>
        <v>7-16</v>
      </c>
      <c r="N378" s="16" t="str">
        <f t="shared" si="6"/>
        <v>1-16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871</v>
      </c>
      <c r="B379" s="10" t="s">
        <v>872</v>
      </c>
      <c r="C379" s="11" t="s">
        <v>168</v>
      </c>
      <c r="D379" s="22" t="s">
        <v>870</v>
      </c>
      <c r="E379" s="13" t="str">
        <f t="array" ref="E379">INDEX(Turmas!C2:C106,MATCH(D379,Turmas!A2:A106,0))</f>
        <v>Manhã</v>
      </c>
      <c r="F379" s="14">
        <v>0.0</v>
      </c>
      <c r="G379" s="15">
        <v>3.0</v>
      </c>
      <c r="H379" s="15">
        <v>0.0</v>
      </c>
      <c r="I379" s="16" t="str">
        <f t="shared" si="1"/>
        <v>7-16</v>
      </c>
      <c r="J379" s="16" t="str">
        <f t="shared" si="2"/>
        <v>7-16</v>
      </c>
      <c r="K379" s="16" t="str">
        <f t="shared" si="3"/>
        <v>7-16</v>
      </c>
      <c r="L379" s="16" t="str">
        <f t="shared" si="4"/>
        <v>7-16</v>
      </c>
      <c r="M379" s="16" t="str">
        <f t="shared" si="5"/>
        <v>7-16</v>
      </c>
      <c r="N379" s="16" t="str">
        <f t="shared" si="6"/>
        <v>1-16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873</v>
      </c>
      <c r="B380" s="10" t="s">
        <v>170</v>
      </c>
      <c r="C380" s="11" t="s">
        <v>171</v>
      </c>
      <c r="D380" s="22" t="s">
        <v>870</v>
      </c>
      <c r="E380" s="13" t="str">
        <f t="array" ref="E380">INDEX(Turmas!C2:C106,MATCH(D380,Turmas!A2:A106,0))</f>
        <v>Manhã</v>
      </c>
      <c r="F380" s="14">
        <v>0.0</v>
      </c>
      <c r="G380" s="15">
        <v>4.0</v>
      </c>
      <c r="H380" s="15">
        <v>0.0</v>
      </c>
      <c r="I380" s="16" t="str">
        <f t="shared" si="1"/>
        <v>7-16</v>
      </c>
      <c r="J380" s="16" t="str">
        <f t="shared" si="2"/>
        <v>7-16</v>
      </c>
      <c r="K380" s="16" t="str">
        <f t="shared" si="3"/>
        <v>7-16</v>
      </c>
      <c r="L380" s="16" t="str">
        <f t="shared" si="4"/>
        <v>7-16</v>
      </c>
      <c r="M380" s="16" t="str">
        <f t="shared" si="5"/>
        <v>7-16</v>
      </c>
      <c r="N380" s="16" t="str">
        <f t="shared" si="6"/>
        <v>1-16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874</v>
      </c>
      <c r="B381" s="10" t="s">
        <v>875</v>
      </c>
      <c r="C381" s="11" t="s">
        <v>876</v>
      </c>
      <c r="D381" s="22" t="s">
        <v>870</v>
      </c>
      <c r="E381" s="13" t="str">
        <f t="array" ref="E381">INDEX(Turmas!C2:C106,MATCH(D381,Turmas!A2:A106,0))</f>
        <v>Manhã</v>
      </c>
      <c r="F381" s="14">
        <v>0.0</v>
      </c>
      <c r="G381" s="15">
        <v>3.0</v>
      </c>
      <c r="H381" s="15">
        <v>0.0</v>
      </c>
      <c r="I381" s="16" t="str">
        <f t="shared" si="1"/>
        <v>7-16</v>
      </c>
      <c r="J381" s="16" t="str">
        <f t="shared" si="2"/>
        <v>7-16</v>
      </c>
      <c r="K381" s="16" t="str">
        <f t="shared" si="3"/>
        <v>7-16</v>
      </c>
      <c r="L381" s="16" t="str">
        <f t="shared" si="4"/>
        <v>7-16</v>
      </c>
      <c r="M381" s="16" t="str">
        <f t="shared" si="5"/>
        <v>7-16</v>
      </c>
      <c r="N381" s="16" t="str">
        <f t="shared" si="6"/>
        <v>1-16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568</v>
      </c>
      <c r="B382" s="10" t="s">
        <v>61</v>
      </c>
      <c r="C382" s="11" t="s">
        <v>569</v>
      </c>
      <c r="D382" s="22" t="s">
        <v>870</v>
      </c>
      <c r="E382" s="13" t="str">
        <f t="array" ref="E382">INDEX(Turmas!C2:C106,MATCH(D382,Turmas!A2:A106,0))</f>
        <v>Manhã</v>
      </c>
      <c r="F382" s="14">
        <v>100.0</v>
      </c>
      <c r="G382" s="15">
        <v>3.0</v>
      </c>
      <c r="H382" s="15">
        <v>0.0</v>
      </c>
      <c r="I382" s="16" t="str">
        <f t="shared" si="1"/>
        <v>7-16</v>
      </c>
      <c r="J382" s="16" t="str">
        <f t="shared" si="2"/>
        <v>7-16</v>
      </c>
      <c r="K382" s="16" t="str">
        <f t="shared" si="3"/>
        <v>7-16</v>
      </c>
      <c r="L382" s="16" t="str">
        <f t="shared" si="4"/>
        <v>7-16</v>
      </c>
      <c r="M382" s="16" t="str">
        <f t="shared" si="5"/>
        <v>7-16</v>
      </c>
      <c r="N382" s="16" t="str">
        <f t="shared" si="6"/>
        <v>1-16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311</v>
      </c>
      <c r="B383" s="10" t="s">
        <v>179</v>
      </c>
      <c r="C383" s="25"/>
      <c r="D383" s="22" t="s">
        <v>870</v>
      </c>
      <c r="E383" s="13" t="str">
        <f t="array" ref="E383">INDEX(Turmas!C2:C106,MATCH(D383,Turmas!A2:A106,0))</f>
        <v>Manhã</v>
      </c>
      <c r="F383" s="14">
        <v>0.0</v>
      </c>
      <c r="G383" s="15">
        <v>4.0</v>
      </c>
      <c r="H383" s="15">
        <v>0.0</v>
      </c>
      <c r="I383" s="16" t="str">
        <f t="shared" si="1"/>
        <v>7-16</v>
      </c>
      <c r="J383" s="16" t="str">
        <f t="shared" si="2"/>
        <v>7-16</v>
      </c>
      <c r="K383" s="16" t="str">
        <f t="shared" si="3"/>
        <v>7-16</v>
      </c>
      <c r="L383" s="16" t="str">
        <f t="shared" si="4"/>
        <v>7-16</v>
      </c>
      <c r="M383" s="16" t="str">
        <f t="shared" si="5"/>
        <v>7-16</v>
      </c>
      <c r="N383" s="16" t="str">
        <f t="shared" si="6"/>
        <v>1-16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877</v>
      </c>
      <c r="B384" s="10" t="s">
        <v>263</v>
      </c>
      <c r="C384" s="11" t="s">
        <v>264</v>
      </c>
      <c r="D384" s="22" t="s">
        <v>870</v>
      </c>
      <c r="E384" s="13" t="str">
        <f t="array" ref="E384">INDEX(Turmas!C2:C106,MATCH(D384,Turmas!A2:A106,0))</f>
        <v>Manhã</v>
      </c>
      <c r="F384" s="14">
        <v>0.0</v>
      </c>
      <c r="G384" s="15">
        <v>4.0</v>
      </c>
      <c r="H384" s="15">
        <v>0.0</v>
      </c>
      <c r="I384" s="16" t="str">
        <f t="shared" si="1"/>
        <v>7-16</v>
      </c>
      <c r="J384" s="16" t="str">
        <f t="shared" si="2"/>
        <v>7-16</v>
      </c>
      <c r="K384" s="16" t="str">
        <f t="shared" si="3"/>
        <v>7-16</v>
      </c>
      <c r="L384" s="16" t="str">
        <f t="shared" si="4"/>
        <v>7-16</v>
      </c>
      <c r="M384" s="16" t="str">
        <f t="shared" si="5"/>
        <v>7-16</v>
      </c>
      <c r="N384" s="16" t="str">
        <f t="shared" si="6"/>
        <v>1-16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536</v>
      </c>
      <c r="B385" s="10" t="s">
        <v>185</v>
      </c>
      <c r="C385" s="11" t="s">
        <v>878</v>
      </c>
      <c r="D385" s="22" t="s">
        <v>879</v>
      </c>
      <c r="E385" s="13" t="str">
        <f t="array" ref="E385">INDEX(Turmas!C2:C106,MATCH(D385,Turmas!A2:A106,0))</f>
        <v>Tarde</v>
      </c>
      <c r="F385" s="14">
        <v>0.0</v>
      </c>
      <c r="G385" s="15">
        <v>5.0</v>
      </c>
      <c r="H385" s="15">
        <v>0.0</v>
      </c>
      <c r="I385" s="16" t="str">
        <f t="shared" si="1"/>
        <v>1-6,13-16</v>
      </c>
      <c r="J385" s="16" t="str">
        <f t="shared" si="2"/>
        <v>1-6,13-16</v>
      </c>
      <c r="K385" s="16" t="str">
        <f t="shared" si="3"/>
        <v>1-6,13-16</v>
      </c>
      <c r="L385" s="16" t="str">
        <f t="shared" si="4"/>
        <v>1-6,13-16</v>
      </c>
      <c r="M385" s="16" t="str">
        <f t="shared" si="5"/>
        <v>1-6,13-16</v>
      </c>
      <c r="N385" s="16" t="str">
        <f t="shared" si="6"/>
        <v>1-16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880</v>
      </c>
      <c r="B386" s="10" t="s">
        <v>881</v>
      </c>
      <c r="C386" s="11" t="s">
        <v>882</v>
      </c>
      <c r="D386" s="22" t="s">
        <v>879</v>
      </c>
      <c r="E386" s="13" t="str">
        <f t="array" ref="E386">INDEX(Turmas!C2:C106,MATCH(D386,Turmas!A2:A106,0))</f>
        <v>Tarde</v>
      </c>
      <c r="F386" s="14">
        <v>0.0</v>
      </c>
      <c r="G386" s="15">
        <v>4.0</v>
      </c>
      <c r="H386" s="15">
        <v>0.0</v>
      </c>
      <c r="I386" s="16" t="str">
        <f t="shared" si="1"/>
        <v>1-6,13-16</v>
      </c>
      <c r="J386" s="16" t="str">
        <f t="shared" si="2"/>
        <v>1-6,13-16</v>
      </c>
      <c r="K386" s="16" t="str">
        <f t="shared" si="3"/>
        <v>1-6,13-16</v>
      </c>
      <c r="L386" s="16" t="str">
        <f t="shared" si="4"/>
        <v>1-6,13-16</v>
      </c>
      <c r="M386" s="16" t="str">
        <f t="shared" si="5"/>
        <v>1-6,13-16</v>
      </c>
      <c r="N386" s="16" t="str">
        <f t="shared" si="6"/>
        <v>1-16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883</v>
      </c>
      <c r="B387" s="10" t="s">
        <v>211</v>
      </c>
      <c r="C387" s="11" t="s">
        <v>134</v>
      </c>
      <c r="D387" s="22" t="s">
        <v>879</v>
      </c>
      <c r="E387" s="13" t="str">
        <f t="array" ref="E387">INDEX(Turmas!C2:C106,MATCH(D387,Turmas!A2:A106,0))</f>
        <v>Tarde</v>
      </c>
      <c r="F387" s="14">
        <v>0.0</v>
      </c>
      <c r="G387" s="15">
        <v>5.0</v>
      </c>
      <c r="H387" s="15">
        <v>0.0</v>
      </c>
      <c r="I387" s="16" t="str">
        <f t="shared" si="1"/>
        <v>1-6,13-16</v>
      </c>
      <c r="J387" s="16" t="str">
        <f t="shared" si="2"/>
        <v>1-6,13-16</v>
      </c>
      <c r="K387" s="16" t="str">
        <f t="shared" si="3"/>
        <v>1-6,13-16</v>
      </c>
      <c r="L387" s="16" t="str">
        <f t="shared" si="4"/>
        <v>1-6,13-16</v>
      </c>
      <c r="M387" s="16" t="str">
        <f t="shared" si="5"/>
        <v>1-6,13-16</v>
      </c>
      <c r="N387" s="16" t="str">
        <f t="shared" si="6"/>
        <v>1-16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884</v>
      </c>
      <c r="B388" s="10" t="s">
        <v>388</v>
      </c>
      <c r="C388" s="11" t="s">
        <v>885</v>
      </c>
      <c r="D388" s="22" t="s">
        <v>879</v>
      </c>
      <c r="E388" s="13" t="str">
        <f t="array" ref="E388">INDEX(Turmas!C2:C106,MATCH(D388,Turmas!A2:A106,0))</f>
        <v>Tarde</v>
      </c>
      <c r="F388" s="14">
        <v>0.0</v>
      </c>
      <c r="G388" s="15">
        <v>5.0</v>
      </c>
      <c r="H388" s="15">
        <v>0.0</v>
      </c>
      <c r="I388" s="16" t="str">
        <f t="shared" si="1"/>
        <v>1-6,13-16</v>
      </c>
      <c r="J388" s="16" t="str">
        <f t="shared" si="2"/>
        <v>1-6,13-16</v>
      </c>
      <c r="K388" s="16" t="str">
        <f t="shared" si="3"/>
        <v>1-6,13-16</v>
      </c>
      <c r="L388" s="16" t="str">
        <f t="shared" si="4"/>
        <v>1-6,13-16</v>
      </c>
      <c r="M388" s="16" t="str">
        <f t="shared" si="5"/>
        <v>1-6,13-16</v>
      </c>
      <c r="N388" s="16" t="str">
        <f t="shared" si="6"/>
        <v>1-16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886</v>
      </c>
      <c r="B389" s="10" t="s">
        <v>475</v>
      </c>
      <c r="C389" s="11" t="s">
        <v>876</v>
      </c>
      <c r="D389" s="22" t="s">
        <v>879</v>
      </c>
      <c r="E389" s="13" t="str">
        <f t="array" ref="E389">INDEX(Turmas!C2:C106,MATCH(D389,Turmas!A2:A106,0))</f>
        <v>Tarde</v>
      </c>
      <c r="F389" s="14">
        <v>0.0</v>
      </c>
      <c r="G389" s="15">
        <v>4.0</v>
      </c>
      <c r="H389" s="15">
        <v>0.0</v>
      </c>
      <c r="I389" s="16" t="str">
        <f t="shared" si="1"/>
        <v>1-6,13-16</v>
      </c>
      <c r="J389" s="16" t="str">
        <f t="shared" si="2"/>
        <v>1-6,13-16</v>
      </c>
      <c r="K389" s="16" t="str">
        <f t="shared" si="3"/>
        <v>1-6,13-16</v>
      </c>
      <c r="L389" s="16" t="str">
        <f t="shared" si="4"/>
        <v>1-6,13-16</v>
      </c>
      <c r="M389" s="16" t="str">
        <f t="shared" si="5"/>
        <v>1-6,13-16</v>
      </c>
      <c r="N389" s="16" t="str">
        <f t="shared" si="6"/>
        <v>1-16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887</v>
      </c>
      <c r="B390" s="10" t="s">
        <v>888</v>
      </c>
      <c r="C390" s="11" t="s">
        <v>889</v>
      </c>
      <c r="D390" s="22" t="s">
        <v>879</v>
      </c>
      <c r="E390" s="13" t="str">
        <f t="array" ref="E390">INDEX(Turmas!C2:C106,MATCH(D390,Turmas!A2:A106,0))</f>
        <v>Tarde</v>
      </c>
      <c r="F390" s="14">
        <v>0.0</v>
      </c>
      <c r="G390" s="15">
        <v>4.0</v>
      </c>
      <c r="H390" s="15">
        <v>0.0</v>
      </c>
      <c r="I390" s="16" t="str">
        <f t="shared" si="1"/>
        <v>1-6,13-16</v>
      </c>
      <c r="J390" s="16" t="str">
        <f t="shared" si="2"/>
        <v>1-6,13-16</v>
      </c>
      <c r="K390" s="16" t="str">
        <f t="shared" si="3"/>
        <v>1-6,13-16</v>
      </c>
      <c r="L390" s="16" t="str">
        <f t="shared" si="4"/>
        <v>1-6,13-16</v>
      </c>
      <c r="M390" s="16" t="str">
        <f t="shared" si="5"/>
        <v>1-6,13-16</v>
      </c>
      <c r="N390" s="16" t="str">
        <f t="shared" si="6"/>
        <v>1-16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890</v>
      </c>
      <c r="B391" s="10" t="s">
        <v>891</v>
      </c>
      <c r="C391" s="11" t="s">
        <v>889</v>
      </c>
      <c r="D391" s="22" t="s">
        <v>892</v>
      </c>
      <c r="E391" s="13" t="str">
        <f t="array" ref="E391">INDEX(Turmas!C2:C106,MATCH(D391,Turmas!A2:A106,0))</f>
        <v>Manhã</v>
      </c>
      <c r="F391" s="14">
        <v>0.0</v>
      </c>
      <c r="G391" s="15">
        <v>4.0</v>
      </c>
      <c r="H391" s="15">
        <v>0.0</v>
      </c>
      <c r="I391" s="16" t="str">
        <f t="shared" si="1"/>
        <v>7-16</v>
      </c>
      <c r="J391" s="16" t="str">
        <f t="shared" si="2"/>
        <v>7-16</v>
      </c>
      <c r="K391" s="16" t="str">
        <f t="shared" si="3"/>
        <v>7-16</v>
      </c>
      <c r="L391" s="16" t="str">
        <f t="shared" si="4"/>
        <v>7-16</v>
      </c>
      <c r="M391" s="16" t="str">
        <f t="shared" si="5"/>
        <v>7-16</v>
      </c>
      <c r="N391" s="16" t="str">
        <f t="shared" si="6"/>
        <v>1-16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893</v>
      </c>
      <c r="B392" s="10" t="s">
        <v>217</v>
      </c>
      <c r="C392" s="11" t="s">
        <v>218</v>
      </c>
      <c r="D392" s="22" t="s">
        <v>892</v>
      </c>
      <c r="E392" s="13" t="str">
        <f t="array" ref="E392">INDEX(Turmas!C2:C106,MATCH(D392,Turmas!A2:A106,0))</f>
        <v>Manhã</v>
      </c>
      <c r="F392" s="14">
        <v>0.0</v>
      </c>
      <c r="G392" s="15">
        <v>3.0</v>
      </c>
      <c r="H392" s="15">
        <v>0.0</v>
      </c>
      <c r="I392" s="16" t="str">
        <f t="shared" si="1"/>
        <v>7-16</v>
      </c>
      <c r="J392" s="16" t="str">
        <f t="shared" si="2"/>
        <v>7-16</v>
      </c>
      <c r="K392" s="16" t="str">
        <f t="shared" si="3"/>
        <v>7-16</v>
      </c>
      <c r="L392" s="16" t="str">
        <f t="shared" si="4"/>
        <v>7-16</v>
      </c>
      <c r="M392" s="16" t="str">
        <f t="shared" si="5"/>
        <v>7-16</v>
      </c>
      <c r="N392" s="16" t="str">
        <f t="shared" si="6"/>
        <v>1-16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894</v>
      </c>
      <c r="B393" s="10" t="s">
        <v>895</v>
      </c>
      <c r="C393" s="11" t="s">
        <v>22</v>
      </c>
      <c r="D393" s="22" t="s">
        <v>892</v>
      </c>
      <c r="E393" s="13" t="str">
        <f t="array" ref="E393">INDEX(Turmas!C2:C106,MATCH(D393,Turmas!A2:A106,0))</f>
        <v>Manhã</v>
      </c>
      <c r="F393" s="14">
        <v>0.0</v>
      </c>
      <c r="G393" s="15">
        <v>4.0</v>
      </c>
      <c r="H393" s="15">
        <v>0.0</v>
      </c>
      <c r="I393" s="16" t="str">
        <f t="shared" si="1"/>
        <v>7-16</v>
      </c>
      <c r="J393" s="16" t="str">
        <f t="shared" si="2"/>
        <v>7-16</v>
      </c>
      <c r="K393" s="16" t="str">
        <f t="shared" si="3"/>
        <v>7-16</v>
      </c>
      <c r="L393" s="16" t="str">
        <f t="shared" si="4"/>
        <v>7-16</v>
      </c>
      <c r="M393" s="16" t="str">
        <f t="shared" si="5"/>
        <v>7-16</v>
      </c>
      <c r="N393" s="16" t="str">
        <f t="shared" si="6"/>
        <v>1-16</v>
      </c>
      <c r="O393" s="17"/>
      <c r="P393" s="17"/>
      <c r="Q393" s="17"/>
      <c r="R393" s="17"/>
      <c r="S393" s="17"/>
      <c r="T393" s="17"/>
      <c r="U393" s="17"/>
      <c r="V393" s="17"/>
      <c r="W393" s="17"/>
    </row>
    <row r="394" ht="15.75" customHeight="1">
      <c r="A394" s="9" t="s">
        <v>896</v>
      </c>
      <c r="B394" s="10" t="s">
        <v>897</v>
      </c>
      <c r="C394" s="11" t="s">
        <v>898</v>
      </c>
      <c r="D394" s="22" t="s">
        <v>892</v>
      </c>
      <c r="E394" s="13" t="str">
        <f t="array" ref="E394">INDEX(Turmas!C2:C106,MATCH(D394,Turmas!A2:A106,0))</f>
        <v>Manhã</v>
      </c>
      <c r="F394" s="14">
        <v>0.0</v>
      </c>
      <c r="G394" s="15">
        <v>3.0</v>
      </c>
      <c r="H394" s="15">
        <v>0.0</v>
      </c>
      <c r="I394" s="16" t="str">
        <f t="shared" si="1"/>
        <v>7-16</v>
      </c>
      <c r="J394" s="16" t="str">
        <f t="shared" si="2"/>
        <v>7-16</v>
      </c>
      <c r="K394" s="16" t="str">
        <f t="shared" si="3"/>
        <v>7-16</v>
      </c>
      <c r="L394" s="16" t="str">
        <f t="shared" si="4"/>
        <v>7-16</v>
      </c>
      <c r="M394" s="16" t="str">
        <f t="shared" si="5"/>
        <v>7-16</v>
      </c>
      <c r="N394" s="16" t="str">
        <f t="shared" si="6"/>
        <v>1-16</v>
      </c>
      <c r="O394" s="17"/>
      <c r="P394" s="17"/>
      <c r="Q394" s="17"/>
      <c r="R394" s="17"/>
      <c r="S394" s="17"/>
      <c r="T394" s="17"/>
      <c r="U394" s="17"/>
      <c r="V394" s="17"/>
      <c r="W394" s="17"/>
    </row>
    <row r="395" ht="15.75" customHeight="1">
      <c r="A395" s="9" t="s">
        <v>899</v>
      </c>
      <c r="B395" s="10" t="s">
        <v>900</v>
      </c>
      <c r="C395" s="11" t="s">
        <v>882</v>
      </c>
      <c r="D395" s="22" t="s">
        <v>892</v>
      </c>
      <c r="E395" s="13" t="str">
        <f t="array" ref="E395">INDEX(Turmas!C2:C106,MATCH(D395,Turmas!A2:A106,0))</f>
        <v>Manhã</v>
      </c>
      <c r="F395" s="14">
        <v>0.0</v>
      </c>
      <c r="G395" s="15">
        <v>3.0</v>
      </c>
      <c r="H395" s="15">
        <v>0.0</v>
      </c>
      <c r="I395" s="16" t="str">
        <f t="shared" si="1"/>
        <v>7-16</v>
      </c>
      <c r="J395" s="16" t="str">
        <f t="shared" si="2"/>
        <v>7-16</v>
      </c>
      <c r="K395" s="16" t="str">
        <f t="shared" si="3"/>
        <v>7-16</v>
      </c>
      <c r="L395" s="16" t="str">
        <f t="shared" si="4"/>
        <v>7-16</v>
      </c>
      <c r="M395" s="16" t="str">
        <f t="shared" si="5"/>
        <v>7-16</v>
      </c>
      <c r="N395" s="16" t="str">
        <f t="shared" si="6"/>
        <v>1-16</v>
      </c>
      <c r="O395" s="17"/>
      <c r="P395" s="17"/>
      <c r="Q395" s="17"/>
      <c r="R395" s="17"/>
      <c r="S395" s="17"/>
      <c r="T395" s="17"/>
      <c r="U395" s="17"/>
      <c r="V395" s="17"/>
      <c r="W395" s="17"/>
    </row>
    <row r="396" ht="15.75" customHeight="1">
      <c r="A396" s="9" t="s">
        <v>901</v>
      </c>
      <c r="B396" s="10" t="s">
        <v>902</v>
      </c>
      <c r="C396" s="11" t="s">
        <v>903</v>
      </c>
      <c r="D396" s="22" t="s">
        <v>892</v>
      </c>
      <c r="E396" s="13" t="str">
        <f t="array" ref="E396">INDEX(Turmas!C2:C106,MATCH(D396,Turmas!A2:A106,0))</f>
        <v>Manhã</v>
      </c>
      <c r="F396" s="14">
        <v>0.0</v>
      </c>
      <c r="G396" s="15">
        <v>4.0</v>
      </c>
      <c r="H396" s="15">
        <v>0.0</v>
      </c>
      <c r="I396" s="16" t="str">
        <f t="shared" si="1"/>
        <v>7-16</v>
      </c>
      <c r="J396" s="16" t="str">
        <f t="shared" si="2"/>
        <v>7-16</v>
      </c>
      <c r="K396" s="16" t="str">
        <f t="shared" si="3"/>
        <v>7-16</v>
      </c>
      <c r="L396" s="16" t="str">
        <f t="shared" si="4"/>
        <v>7-16</v>
      </c>
      <c r="M396" s="16" t="str">
        <f t="shared" si="5"/>
        <v>7-16</v>
      </c>
      <c r="N396" s="16" t="str">
        <f t="shared" si="6"/>
        <v>1-16</v>
      </c>
      <c r="O396" s="17"/>
      <c r="P396" s="17"/>
      <c r="Q396" s="17"/>
      <c r="R396" s="17"/>
      <c r="S396" s="17"/>
      <c r="T396" s="17"/>
      <c r="U396" s="17"/>
      <c r="V396" s="17"/>
      <c r="W396" s="17"/>
    </row>
    <row r="397" ht="15.75" customHeight="1">
      <c r="A397" s="9" t="s">
        <v>904</v>
      </c>
      <c r="B397" s="10" t="s">
        <v>905</v>
      </c>
      <c r="C397" s="11" t="s">
        <v>243</v>
      </c>
      <c r="D397" s="22" t="s">
        <v>892</v>
      </c>
      <c r="E397" s="13" t="str">
        <f t="array" ref="E397">INDEX(Turmas!C2:C106,MATCH(D397,Turmas!A2:A106,0))</f>
        <v>Manhã</v>
      </c>
      <c r="F397" s="14">
        <v>0.0</v>
      </c>
      <c r="G397" s="15">
        <v>4.0</v>
      </c>
      <c r="H397" s="15">
        <v>0.0</v>
      </c>
      <c r="I397" s="16" t="str">
        <f t="shared" si="1"/>
        <v>7-16</v>
      </c>
      <c r="J397" s="16" t="str">
        <f t="shared" si="2"/>
        <v>7-16</v>
      </c>
      <c r="K397" s="16" t="str">
        <f t="shared" si="3"/>
        <v>7-16</v>
      </c>
      <c r="L397" s="16" t="str">
        <f t="shared" si="4"/>
        <v>7-16</v>
      </c>
      <c r="M397" s="16" t="str">
        <f t="shared" si="5"/>
        <v>7-16</v>
      </c>
      <c r="N397" s="16" t="str">
        <f t="shared" si="6"/>
        <v>1-16</v>
      </c>
      <c r="O397" s="17"/>
      <c r="P397" s="17"/>
      <c r="Q397" s="17"/>
      <c r="R397" s="17"/>
      <c r="S397" s="17"/>
      <c r="T397" s="17"/>
      <c r="U397" s="17"/>
      <c r="V397" s="17"/>
      <c r="W397" s="17"/>
    </row>
    <row r="398" ht="15.75" customHeight="1">
      <c r="A398" s="9" t="s">
        <v>906</v>
      </c>
      <c r="B398" s="10" t="s">
        <v>907</v>
      </c>
      <c r="C398" s="11" t="s">
        <v>243</v>
      </c>
      <c r="D398" s="22" t="s">
        <v>908</v>
      </c>
      <c r="E398" s="13" t="str">
        <f t="array" ref="E398">INDEX(Turmas!C2:C106,MATCH(D398,Turmas!A2:A106,0))</f>
        <v>Tarde</v>
      </c>
      <c r="F398" s="14">
        <v>0.0</v>
      </c>
      <c r="G398" s="15">
        <v>4.0</v>
      </c>
      <c r="H398" s="15">
        <v>0.0</v>
      </c>
      <c r="I398" s="16" t="str">
        <f t="shared" si="1"/>
        <v>1-6,13-16</v>
      </c>
      <c r="J398" s="16" t="str">
        <f t="shared" si="2"/>
        <v>1-6,13-16</v>
      </c>
      <c r="K398" s="16" t="str">
        <f t="shared" si="3"/>
        <v>1-6,13-16</v>
      </c>
      <c r="L398" s="16" t="str">
        <f t="shared" si="4"/>
        <v>1-6,13-16</v>
      </c>
      <c r="M398" s="16" t="str">
        <f t="shared" si="5"/>
        <v>1-6,13-16</v>
      </c>
      <c r="N398" s="16" t="str">
        <f t="shared" si="6"/>
        <v>1-16</v>
      </c>
      <c r="O398" s="17"/>
      <c r="P398" s="17"/>
      <c r="Q398" s="17"/>
      <c r="R398" s="17"/>
      <c r="S398" s="17"/>
      <c r="T398" s="17"/>
      <c r="U398" s="17"/>
      <c r="V398" s="17"/>
      <c r="W398" s="17"/>
    </row>
    <row r="399" ht="15.75" customHeight="1">
      <c r="A399" s="9" t="s">
        <v>909</v>
      </c>
      <c r="B399" s="10" t="s">
        <v>910</v>
      </c>
      <c r="C399" s="11" t="s">
        <v>108</v>
      </c>
      <c r="D399" s="22" t="s">
        <v>908</v>
      </c>
      <c r="E399" s="13" t="str">
        <f t="array" ref="E399">INDEX(Turmas!C2:C106,MATCH(D399,Turmas!A2:A106,0))</f>
        <v>Tarde</v>
      </c>
      <c r="F399" s="14">
        <v>0.0</v>
      </c>
      <c r="G399" s="15">
        <v>4.0</v>
      </c>
      <c r="H399" s="15">
        <v>0.0</v>
      </c>
      <c r="I399" s="16" t="str">
        <f t="shared" si="1"/>
        <v>1-6,13-16</v>
      </c>
      <c r="J399" s="16" t="str">
        <f t="shared" si="2"/>
        <v>1-6,13-16</v>
      </c>
      <c r="K399" s="16" t="str">
        <f t="shared" si="3"/>
        <v>1-6,13-16</v>
      </c>
      <c r="L399" s="16" t="str">
        <f t="shared" si="4"/>
        <v>1-6,13-16</v>
      </c>
      <c r="M399" s="16" t="str">
        <f t="shared" si="5"/>
        <v>1-6,13-16</v>
      </c>
      <c r="N399" s="16" t="str">
        <f t="shared" si="6"/>
        <v>1-16</v>
      </c>
      <c r="O399" s="17"/>
      <c r="P399" s="17"/>
      <c r="Q399" s="17"/>
      <c r="R399" s="17"/>
      <c r="S399" s="17"/>
      <c r="T399" s="17"/>
      <c r="U399" s="17"/>
      <c r="V399" s="17"/>
      <c r="W399" s="17"/>
    </row>
    <row r="400" ht="15.75" customHeight="1">
      <c r="A400" s="9" t="s">
        <v>911</v>
      </c>
      <c r="B400" s="10" t="s">
        <v>912</v>
      </c>
      <c r="C400" s="11" t="s">
        <v>898</v>
      </c>
      <c r="D400" s="22" t="s">
        <v>908</v>
      </c>
      <c r="E400" s="13" t="str">
        <f t="array" ref="E400">INDEX(Turmas!C2:C106,MATCH(D2,Turmas!A2:A106,0))</f>
        <v>Noite</v>
      </c>
      <c r="F400" s="14">
        <v>0.0</v>
      </c>
      <c r="G400" s="15">
        <v>3.0</v>
      </c>
      <c r="H400" s="15">
        <v>0.0</v>
      </c>
      <c r="I400" s="16" t="str">
        <f t="shared" si="1"/>
        <v>1-12</v>
      </c>
      <c r="J400" s="16" t="str">
        <f t="shared" si="2"/>
        <v>1-12</v>
      </c>
      <c r="K400" s="16" t="str">
        <f t="shared" si="3"/>
        <v>1-12</v>
      </c>
      <c r="L400" s="16" t="str">
        <f t="shared" si="4"/>
        <v>1-12</v>
      </c>
      <c r="M400" s="16" t="str">
        <f t="shared" si="5"/>
        <v>1-12</v>
      </c>
      <c r="N400" s="16" t="str">
        <f t="shared" si="6"/>
        <v>0</v>
      </c>
      <c r="O400" s="17"/>
      <c r="P400" s="17"/>
      <c r="Q400" s="17"/>
      <c r="R400" s="17"/>
      <c r="S400" s="17"/>
      <c r="T400" s="17"/>
      <c r="U400" s="17"/>
      <c r="V400" s="17"/>
      <c r="W400" s="17"/>
    </row>
    <row r="401" ht="15.75" customHeight="1">
      <c r="A401" s="9" t="s">
        <v>913</v>
      </c>
      <c r="B401" s="10" t="s">
        <v>914</v>
      </c>
      <c r="C401" s="11" t="s">
        <v>796</v>
      </c>
      <c r="D401" s="22" t="s">
        <v>908</v>
      </c>
      <c r="E401" s="13" t="str">
        <f t="array" ref="E401">INDEX(Turmas!C2:C106,MATCH(D3,Turmas!A2:A106,0))</f>
        <v>Noite</v>
      </c>
      <c r="F401" s="14">
        <v>0.0</v>
      </c>
      <c r="G401" s="15">
        <v>4.0</v>
      </c>
      <c r="H401" s="15">
        <v>0.0</v>
      </c>
      <c r="I401" s="16" t="str">
        <f t="shared" si="1"/>
        <v>1-12</v>
      </c>
      <c r="J401" s="16" t="str">
        <f t="shared" si="2"/>
        <v>1-12</v>
      </c>
      <c r="K401" s="16" t="str">
        <f t="shared" si="3"/>
        <v>1-12</v>
      </c>
      <c r="L401" s="16" t="str">
        <f t="shared" si="4"/>
        <v>1-12</v>
      </c>
      <c r="M401" s="16" t="str">
        <f t="shared" si="5"/>
        <v>1-12</v>
      </c>
      <c r="N401" s="16" t="str">
        <f t="shared" si="6"/>
        <v>0</v>
      </c>
      <c r="O401" s="17"/>
      <c r="P401" s="17"/>
      <c r="Q401" s="17"/>
      <c r="R401" s="17"/>
      <c r="S401" s="17"/>
      <c r="T401" s="17"/>
      <c r="U401" s="17"/>
      <c r="V401" s="17"/>
      <c r="W401" s="17"/>
    </row>
    <row r="402" ht="15.75" customHeight="1">
      <c r="A402" s="9" t="s">
        <v>915</v>
      </c>
      <c r="B402" s="10" t="s">
        <v>916</v>
      </c>
      <c r="C402" s="11" t="s">
        <v>917</v>
      </c>
      <c r="D402" s="22" t="s">
        <v>908</v>
      </c>
      <c r="E402" s="13" t="str">
        <f t="array" ref="E402">INDEX(Turmas!C2:C106,MATCH(D4,Turmas!A2:A106,0))</f>
        <v>Noite</v>
      </c>
      <c r="F402" s="14">
        <v>0.0</v>
      </c>
      <c r="G402" s="15">
        <v>4.0</v>
      </c>
      <c r="H402" s="15">
        <v>0.0</v>
      </c>
      <c r="I402" s="16" t="str">
        <f t="shared" si="1"/>
        <v>1-12</v>
      </c>
      <c r="J402" s="16" t="str">
        <f t="shared" si="2"/>
        <v>1-12</v>
      </c>
      <c r="K402" s="16" t="str">
        <f t="shared" si="3"/>
        <v>1-12</v>
      </c>
      <c r="L402" s="16" t="str">
        <f t="shared" si="4"/>
        <v>1-12</v>
      </c>
      <c r="M402" s="16" t="str">
        <f t="shared" si="5"/>
        <v>1-12</v>
      </c>
      <c r="N402" s="16" t="str">
        <f t="shared" si="6"/>
        <v>0</v>
      </c>
      <c r="O402" s="17"/>
      <c r="P402" s="17"/>
      <c r="Q402" s="17"/>
      <c r="R402" s="17"/>
      <c r="S402" s="17"/>
      <c r="T402" s="17"/>
      <c r="U402" s="17"/>
      <c r="V402" s="17"/>
      <c r="W402" s="17"/>
    </row>
  </sheetData>
  <conditionalFormatting sqref="I1:N402">
    <cfRule type="expression" dxfId="0" priority="1">
      <formula>"F!1:999"</formula>
    </cfRule>
  </conditionalFormatting>
  <dataValidations>
    <dataValidation type="list" allowBlank="1" sqref="D2:D402">
      <formula1>Turmas!$A$2:$A$80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6" t="s">
        <v>0</v>
      </c>
      <c r="B1" s="27" t="s">
        <v>918</v>
      </c>
      <c r="C1" s="28" t="s">
        <v>1</v>
      </c>
      <c r="D1" s="29" t="s">
        <v>8</v>
      </c>
      <c r="E1" s="29" t="s">
        <v>9</v>
      </c>
      <c r="F1" s="29" t="s">
        <v>10</v>
      </c>
      <c r="G1" s="29" t="s">
        <v>11</v>
      </c>
      <c r="H1" s="29" t="s">
        <v>12</v>
      </c>
      <c r="I1" s="29" t="s">
        <v>13</v>
      </c>
    </row>
    <row r="2" ht="14.25" customHeight="1">
      <c r="A2" s="14" t="s">
        <v>919</v>
      </c>
      <c r="B2" s="13" t="s">
        <v>399</v>
      </c>
      <c r="C2" s="30" t="str">
        <f>IFERROR(__xludf.DUMMYFUNCTION("JOIN("","",FILTER(Disciplinas!A:A, regexmatch(Disciplinas!C:C, B2)))"),"GRAD.GOTPD.01,RV.ING412,GRAD.GOTPD.01")</f>
        <v>GRAD.GOTPD.01,RV.ING412,GRAD.GOTPD.01</v>
      </c>
      <c r="D2" s="31" t="s">
        <v>920</v>
      </c>
      <c r="E2" s="31" t="s">
        <v>920</v>
      </c>
      <c r="F2" s="31" t="s">
        <v>920</v>
      </c>
      <c r="G2" s="31" t="s">
        <v>920</v>
      </c>
      <c r="H2" s="31" t="s">
        <v>920</v>
      </c>
      <c r="I2" s="31" t="s">
        <v>920</v>
      </c>
    </row>
    <row r="3" ht="14.25" customHeight="1">
      <c r="A3" s="14" t="s">
        <v>921</v>
      </c>
      <c r="B3" s="13" t="s">
        <v>25</v>
      </c>
      <c r="C3" s="30" t="str">
        <f>IFERROR(__xludf.DUMMYFUNCTION("JOIN("","",FILTER(Disciplinas!A:A, regexmatch(Disciplinas!C:C, B3)))"),"RV.ADM08,RV.ADM405,RV.ADM407,RV.TAL717")</f>
        <v>RV.ADM08,RV.ADM405,RV.ADM407,RV.TAL717</v>
      </c>
      <c r="D3" s="31" t="s">
        <v>920</v>
      </c>
      <c r="E3" s="31" t="s">
        <v>920</v>
      </c>
      <c r="F3" s="31" t="s">
        <v>920</v>
      </c>
      <c r="G3" s="31" t="s">
        <v>920</v>
      </c>
      <c r="H3" s="31" t="s">
        <v>920</v>
      </c>
      <c r="I3" s="31" t="s">
        <v>920</v>
      </c>
    </row>
    <row r="4" ht="14.25" customHeight="1">
      <c r="A4" s="14" t="s">
        <v>922</v>
      </c>
      <c r="B4" s="13" t="s">
        <v>22</v>
      </c>
      <c r="C4" s="30" t="str">
        <f>IFERROR(__xludf.DUMMYFUNCTION("JOIN("","",FILTER(Disciplinas!A:A, regexmatch(Disciplinas!C:C, B4)))"),"RV.ADM07,RV.HUM206,GRAD.ECORUR.01")</f>
        <v>RV.ADM07,RV.HUM206,GRAD.ECORUR.01</v>
      </c>
      <c r="D4" s="31" t="s">
        <v>920</v>
      </c>
      <c r="E4" s="31" t="s">
        <v>920</v>
      </c>
      <c r="F4" s="31" t="s">
        <v>920</v>
      </c>
      <c r="G4" s="31" t="s">
        <v>920</v>
      </c>
      <c r="H4" s="31" t="s">
        <v>920</v>
      </c>
      <c r="I4" s="31" t="s">
        <v>920</v>
      </c>
    </row>
    <row r="5" ht="14.25" customHeight="1">
      <c r="A5" s="14" t="s">
        <v>923</v>
      </c>
      <c r="B5" s="17" t="s">
        <v>44</v>
      </c>
      <c r="C5" s="30" t="str">
        <f>IFERROR(__xludf.DUMMYFUNCTION("JOIN("","",FILTER(Disciplinas!A:A, regexmatch(Disciplinas!C:C, B5)))"),"RV.PRO33,GRAD.PTUR.01,RV.PRO41")</f>
        <v>RV.PRO33,GRAD.PTUR.01,RV.PRO41</v>
      </c>
      <c r="D5" s="31" t="s">
        <v>920</v>
      </c>
      <c r="E5" s="31" t="s">
        <v>920</v>
      </c>
      <c r="F5" s="31" t="s">
        <v>920</v>
      </c>
      <c r="G5" s="31" t="s">
        <v>920</v>
      </c>
      <c r="H5" s="31" t="s">
        <v>920</v>
      </c>
      <c r="I5" s="31" t="s">
        <v>920</v>
      </c>
    </row>
    <row r="6" ht="14.25" customHeight="1">
      <c r="A6" s="14" t="s">
        <v>924</v>
      </c>
      <c r="B6" s="32" t="s">
        <v>272</v>
      </c>
      <c r="C6" s="30" t="str">
        <f>IFERROR(__xludf.DUMMYFUNCTION("JOIN("","",FILTER(Disciplinas!A:A, regexmatch(Disciplinas!C:C, B6)))"),"RV.TAL10")</f>
        <v>RV.TAL10</v>
      </c>
      <c r="D6" s="31" t="s">
        <v>920</v>
      </c>
      <c r="E6" s="31" t="s">
        <v>920</v>
      </c>
      <c r="F6" s="31" t="s">
        <v>920</v>
      </c>
      <c r="G6" s="31" t="s">
        <v>920</v>
      </c>
      <c r="H6" s="31" t="s">
        <v>920</v>
      </c>
      <c r="I6" s="31" t="s">
        <v>920</v>
      </c>
    </row>
    <row r="7" ht="14.25" customHeight="1">
      <c r="A7" s="14" t="s">
        <v>925</v>
      </c>
      <c r="B7" s="17" t="s">
        <v>926</v>
      </c>
      <c r="C7" s="30" t="str">
        <f>IFERROR(__xludf.DUMMYFUNCTION("JOIN("","",FILTER(Disciplinas!A:A, regexmatch(Disciplinas!C:C, B7)))"),"#N/A")</f>
        <v>#N/A</v>
      </c>
      <c r="D7" s="31" t="s">
        <v>920</v>
      </c>
      <c r="E7" s="31" t="s">
        <v>920</v>
      </c>
      <c r="F7" s="31" t="s">
        <v>920</v>
      </c>
      <c r="G7" s="31" t="s">
        <v>920</v>
      </c>
      <c r="H7" s="31" t="s">
        <v>920</v>
      </c>
      <c r="I7" s="31" t="s">
        <v>920</v>
      </c>
    </row>
    <row r="8" ht="14.25" customHeight="1">
      <c r="A8" s="14" t="s">
        <v>927</v>
      </c>
      <c r="B8" s="17" t="s">
        <v>843</v>
      </c>
      <c r="C8" s="30" t="str">
        <f>IFERROR(__xludf.DUMMYFUNCTION("JOIN("","",FILTER(Disciplinas!A:A, regexmatch(Disciplinas!C:C, B8)))"),"CTSTRARV.33,CTSTRARV.46")</f>
        <v>CTSTRARV.33,CTSTRARV.46</v>
      </c>
      <c r="D8" s="31" t="s">
        <v>920</v>
      </c>
      <c r="E8" s="31" t="s">
        <v>920</v>
      </c>
      <c r="F8" s="31" t="s">
        <v>920</v>
      </c>
      <c r="G8" s="31" t="s">
        <v>920</v>
      </c>
      <c r="H8" s="31" t="s">
        <v>920</v>
      </c>
      <c r="I8" s="31" t="s">
        <v>920</v>
      </c>
    </row>
    <row r="9" ht="14.25" customHeight="1">
      <c r="A9" s="14" t="s">
        <v>928</v>
      </c>
      <c r="B9" s="17" t="s">
        <v>618</v>
      </c>
      <c r="C9" s="30" t="str">
        <f>IFERROR(__xludf.DUMMYFUNCTION("JOIN("","",FILTER(Disciplinas!A:A, regexmatch(Disciplinas!C:C, B9)))"),"RV.ADM12,RV.CON004,RV.CON100,CTSTRARV.47")</f>
        <v>RV.ADM12,RV.CON004,RV.CON100,CTSTRARV.47</v>
      </c>
      <c r="D9" s="31" t="s">
        <v>920</v>
      </c>
      <c r="E9" s="31" t="s">
        <v>920</v>
      </c>
      <c r="F9" s="31" t="s">
        <v>920</v>
      </c>
      <c r="G9" s="31" t="s">
        <v>920</v>
      </c>
      <c r="H9" s="31" t="s">
        <v>920</v>
      </c>
      <c r="I9" s="31" t="s">
        <v>920</v>
      </c>
    </row>
    <row r="10" ht="14.25" customHeight="1">
      <c r="A10" s="14" t="s">
        <v>929</v>
      </c>
      <c r="B10" s="17" t="s">
        <v>50</v>
      </c>
      <c r="C10" s="30" t="str">
        <f>IFERROR(__xludf.DUMMYFUNCTION("JOIN("","",FILTER(Disciplinas!A:A, regexmatch(Disciplinas!C:C, B10)))"),"GRAD.ADM.ASI.07,GRAD.ADM.AMP.16")</f>
        <v>GRAD.ADM.ASI.07,GRAD.ADM.AMP.16</v>
      </c>
      <c r="D10" s="31" t="s">
        <v>920</v>
      </c>
      <c r="E10" s="31" t="s">
        <v>920</v>
      </c>
      <c r="F10" s="31" t="s">
        <v>920</v>
      </c>
      <c r="G10" s="31" t="s">
        <v>920</v>
      </c>
      <c r="H10" s="31" t="s">
        <v>920</v>
      </c>
      <c r="I10" s="31" t="s">
        <v>920</v>
      </c>
    </row>
    <row r="11" ht="14.25" customHeight="1">
      <c r="A11" s="14" t="s">
        <v>930</v>
      </c>
      <c r="B11" s="17" t="s">
        <v>82</v>
      </c>
      <c r="C11" s="30" t="str">
        <f>IFERROR(__xludf.DUMMYFUNCTION("JOIN("","",FILTER(Disciplinas!A:A, regexmatch(Disciplinas!C:C, B11)))"),"GRAD.ADM.GQ.24,RV.AGN225")</f>
        <v>GRAD.ADM.GQ.24,RV.AGN225</v>
      </c>
      <c r="D11" s="31" t="s">
        <v>920</v>
      </c>
      <c r="E11" s="31" t="s">
        <v>920</v>
      </c>
      <c r="F11" s="31" t="s">
        <v>920</v>
      </c>
      <c r="G11" s="31" t="s">
        <v>920</v>
      </c>
      <c r="H11" s="31" t="s">
        <v>920</v>
      </c>
      <c r="I11" s="31" t="s">
        <v>920</v>
      </c>
    </row>
    <row r="12" ht="14.25" customHeight="1">
      <c r="A12" s="14" t="s">
        <v>931</v>
      </c>
      <c r="B12" s="17" t="s">
        <v>57</v>
      </c>
      <c r="C12" s="30" t="str">
        <f>IFERROR(__xludf.DUMMYFUNCTION("JOIN("","",FILTER(Disciplinas!A:A, regexmatch(Disciplinas!C:C, B12)))"),"GRAD.ADM.TGA-II.06,GRAD.ADM.GFO.15")</f>
        <v>GRAD.ADM.TGA-II.06,GRAD.ADM.GFO.15</v>
      </c>
      <c r="D12" s="31" t="s">
        <v>920</v>
      </c>
      <c r="E12" s="31" t="s">
        <v>920</v>
      </c>
      <c r="F12" s="31" t="s">
        <v>920</v>
      </c>
      <c r="G12" s="31" t="s">
        <v>920</v>
      </c>
      <c r="H12" s="31" t="s">
        <v>920</v>
      </c>
      <c r="I12" s="31" t="s">
        <v>920</v>
      </c>
    </row>
    <row r="13" ht="14.25" customHeight="1">
      <c r="A13" s="14" t="s">
        <v>932</v>
      </c>
      <c r="B13" s="32" t="s">
        <v>89</v>
      </c>
      <c r="C13" s="30" t="str">
        <f>IFERROR(__xludf.DUMMYFUNCTION("JOIN("","",FILTER(Disciplinas!A:A, regexmatch(Disciplinas!C:C, B13)))"),"GRAD.EMPREENDED.01,TADMRV33")</f>
        <v>GRAD.EMPREENDED.01,TADMRV33</v>
      </c>
      <c r="D13" s="31" t="s">
        <v>920</v>
      </c>
      <c r="E13" s="31" t="s">
        <v>920</v>
      </c>
      <c r="F13" s="31" t="s">
        <v>920</v>
      </c>
      <c r="G13" s="31" t="s">
        <v>920</v>
      </c>
      <c r="H13" s="31" t="s">
        <v>920</v>
      </c>
      <c r="I13" s="31" t="s">
        <v>920</v>
      </c>
    </row>
    <row r="14" ht="14.25" customHeight="1">
      <c r="A14" s="14" t="s">
        <v>933</v>
      </c>
      <c r="B14" s="32" t="s">
        <v>68</v>
      </c>
      <c r="C14" s="30" t="str">
        <f>IFERROR(__xludf.DUMMYFUNCTION("JOIN("","",FILTER(Disciplinas!A:A, regexmatch(Disciplinas!C:C, B14)))"),"GRAD.ADM.EAA.17,GRAD.EVA.01")</f>
        <v>GRAD.ADM.EAA.17,GRAD.EVA.01</v>
      </c>
      <c r="D14" s="31" t="s">
        <v>920</v>
      </c>
      <c r="E14" s="31" t="s">
        <v>920</v>
      </c>
      <c r="F14" s="31" t="s">
        <v>920</v>
      </c>
      <c r="G14" s="31" t="s">
        <v>920</v>
      </c>
      <c r="H14" s="31" t="s">
        <v>920</v>
      </c>
      <c r="I14" s="31" t="s">
        <v>920</v>
      </c>
    </row>
    <row r="15" ht="14.25" customHeight="1">
      <c r="A15" s="14" t="s">
        <v>934</v>
      </c>
      <c r="B15" s="32" t="s">
        <v>300</v>
      </c>
      <c r="C15" s="30" t="str">
        <f>IFERROR(__xludf.DUMMYFUNCTION("JOIN("","",FILTER(Disciplinas!A:A, regexmatch(Disciplinas!C:C, B15)))"),"RV.QAP428,RV.QUI725,RV.QUI731")</f>
        <v>RV.QAP428,RV.QUI725,RV.QUI731</v>
      </c>
      <c r="D15" s="31" t="s">
        <v>920</v>
      </c>
      <c r="E15" s="31" t="s">
        <v>920</v>
      </c>
      <c r="F15" s="31" t="s">
        <v>920</v>
      </c>
      <c r="G15" s="31" t="s">
        <v>920</v>
      </c>
      <c r="H15" s="31" t="s">
        <v>920</v>
      </c>
      <c r="I15" s="31" t="s">
        <v>920</v>
      </c>
    </row>
    <row r="16" ht="14.25" customHeight="1">
      <c r="A16" s="14" t="s">
        <v>935</v>
      </c>
      <c r="B16" s="32" t="s">
        <v>552</v>
      </c>
      <c r="C16" s="30" t="str">
        <f>IFERROR(__xludf.DUMMYFUNCTION("JOIN("","",FILTER(Disciplinas!A:A, regexmatch(Disciplinas!C:C, B16)))"),"GRAD.FE-II.01,RV.PRO60,GRAD.ENQ.FE-II.10,GRAD.FGE-II.01")</f>
        <v>GRAD.FE-II.01,RV.PRO60,GRAD.ENQ.FE-II.10,GRAD.FGE-II.01</v>
      </c>
      <c r="D16" s="31" t="s">
        <v>920</v>
      </c>
      <c r="E16" s="31" t="s">
        <v>920</v>
      </c>
      <c r="F16" s="31" t="s">
        <v>920</v>
      </c>
      <c r="G16" s="31" t="s">
        <v>920</v>
      </c>
      <c r="H16" s="31" t="s">
        <v>920</v>
      </c>
      <c r="I16" s="31" t="s">
        <v>920</v>
      </c>
    </row>
    <row r="17" ht="14.25" customHeight="1">
      <c r="A17" s="14" t="s">
        <v>936</v>
      </c>
      <c r="B17" s="32" t="s">
        <v>16</v>
      </c>
      <c r="C17" s="30" t="str">
        <f>IFERROR(__xludf.DUMMYFUNCTION("JOIN("","",FILTER(Disciplinas!A:A, regexmatch(Disciplinas!C:C, B17)))"),"RV.ADM05,RV.ADM06,CTSTRARV.48")</f>
        <v>RV.ADM05,RV.ADM06,CTSTRARV.48</v>
      </c>
      <c r="D17" s="31" t="s">
        <v>920</v>
      </c>
      <c r="E17" s="31" t="s">
        <v>920</v>
      </c>
      <c r="F17" s="31" t="s">
        <v>920</v>
      </c>
      <c r="G17" s="31" t="s">
        <v>920</v>
      </c>
      <c r="H17" s="31" t="s">
        <v>920</v>
      </c>
      <c r="I17" s="31" t="s">
        <v>920</v>
      </c>
    </row>
    <row r="18" ht="14.25" customHeight="1">
      <c r="A18" s="14" t="s">
        <v>937</v>
      </c>
      <c r="B18" s="32" t="s">
        <v>33</v>
      </c>
      <c r="C18" s="30" t="str">
        <f>IFERROR(__xludf.DUMMYFUNCTION("JOIN("","",FILTER(Disciplinas!A:A, regexmatch(Disciplinas!C:C, B18)))"),"RV.EXA810,RV.EXA810,GRAD.EB.02,RV.TADM12,GRAD.ENQ.EB.13")</f>
        <v>RV.EXA810,RV.EXA810,GRAD.EB.02,RV.TADM12,GRAD.ENQ.EB.13</v>
      </c>
      <c r="D18" s="31" t="s">
        <v>920</v>
      </c>
      <c r="E18" s="31" t="s">
        <v>920</v>
      </c>
      <c r="F18" s="31" t="s">
        <v>920</v>
      </c>
      <c r="G18" s="31" t="s">
        <v>920</v>
      </c>
      <c r="H18" s="31" t="s">
        <v>920</v>
      </c>
      <c r="I18" s="31" t="s">
        <v>920</v>
      </c>
    </row>
    <row r="19" ht="14.25" customHeight="1">
      <c r="A19" s="14" t="s">
        <v>938</v>
      </c>
      <c r="B19" s="32" t="s">
        <v>310</v>
      </c>
      <c r="C19" s="30" t="str">
        <f>IFERROR(__xludf.DUMMYFUNCTION("JOIN("","",FILTER(Disciplinas!A:A, regexmatch(Disciplinas!C:C, B19)))"),"GRAD.QA.02,GRAD.QO.02,GRAD.QO.02,RV.QUI726,RV.QUI124")</f>
        <v>GRAD.QA.02,GRAD.QO.02,GRAD.QO.02,RV.QUI726,RV.QUI124</v>
      </c>
      <c r="D19" s="31" t="s">
        <v>920</v>
      </c>
      <c r="E19" s="31" t="s">
        <v>920</v>
      </c>
      <c r="F19" s="31" t="s">
        <v>920</v>
      </c>
      <c r="G19" s="31" t="s">
        <v>920</v>
      </c>
      <c r="H19" s="31" t="s">
        <v>920</v>
      </c>
      <c r="I19" s="31" t="s">
        <v>920</v>
      </c>
    </row>
    <row r="20" ht="14.25" customHeight="1">
      <c r="A20" s="14" t="s">
        <v>939</v>
      </c>
      <c r="B20" s="32" t="s">
        <v>363</v>
      </c>
      <c r="C20" s="30" t="str">
        <f>IFERROR(__xludf.DUMMYFUNCTION("JOIN("","",FILTER(Disciplinas!A:A, regexmatch(Disciplinas!C:C, B20)))"),"SEALIM-RV.1,GRAD.LIBRAS.01")</f>
        <v>SEALIM-RV.1,GRAD.LIBRAS.01</v>
      </c>
      <c r="D20" s="31" t="s">
        <v>920</v>
      </c>
      <c r="E20" s="31" t="s">
        <v>920</v>
      </c>
      <c r="F20" s="31" t="s">
        <v>920</v>
      </c>
      <c r="G20" s="31" t="s">
        <v>920</v>
      </c>
      <c r="H20" s="31" t="s">
        <v>920</v>
      </c>
      <c r="I20" s="31" t="s">
        <v>920</v>
      </c>
    </row>
    <row r="21" ht="14.25" customHeight="1">
      <c r="A21" s="14" t="s">
        <v>940</v>
      </c>
      <c r="B21" s="32" t="s">
        <v>73</v>
      </c>
      <c r="C21" s="30" t="str">
        <f>IFERROR(__xludf.DUMMYFUNCTION("JOIN("","",FILTER(Disciplinas!A:A, regexmatch(Disciplinas!C:C, B21)))"),"GRAD.ADM.MARK-I.14,GRAD.AR.03")</f>
        <v>GRAD.ADM.MARK-I.14,GRAD.AR.03</v>
      </c>
      <c r="D21" s="31" t="s">
        <v>920</v>
      </c>
      <c r="E21" s="31" t="s">
        <v>920</v>
      </c>
      <c r="F21" s="31" t="s">
        <v>920</v>
      </c>
      <c r="G21" s="31" t="s">
        <v>920</v>
      </c>
      <c r="H21" s="31" t="s">
        <v>920</v>
      </c>
      <c r="I21" s="31" t="s">
        <v>920</v>
      </c>
    </row>
    <row r="22" ht="14.25" customHeight="1">
      <c r="A22" s="14" t="s">
        <v>941</v>
      </c>
      <c r="B22" s="32" t="s">
        <v>59</v>
      </c>
      <c r="C22" s="30" t="str">
        <f>IFERROR(__xludf.DUMMYFUNCTION("JOIN("","",FILTER(Disciplinas!A:A, regexmatch(Disciplinas!C:C, B22)))"),"GRAD.EB.02,GRAD.EB.01,GRAD.EB.02")</f>
        <v>GRAD.EB.02,GRAD.EB.01,GRAD.EB.02</v>
      </c>
      <c r="D22" s="31" t="s">
        <v>920</v>
      </c>
      <c r="E22" s="31" t="s">
        <v>920</v>
      </c>
      <c r="F22" s="31" t="s">
        <v>920</v>
      </c>
      <c r="G22" s="31" t="s">
        <v>920</v>
      </c>
      <c r="H22" s="31" t="s">
        <v>920</v>
      </c>
      <c r="I22" s="31" t="s">
        <v>920</v>
      </c>
    </row>
    <row r="23" ht="14.25" customHeight="1">
      <c r="A23" s="14" t="s">
        <v>942</v>
      </c>
      <c r="B23" s="32" t="s">
        <v>30</v>
      </c>
      <c r="C23" s="30" t="str">
        <f>IFERROR(__xludf.DUMMYFUNCTION("JOIN("","",FILTER(Disciplinas!A:A, regexmatch(Disciplinas!C:C, B23)))"),"RV.CON817,GRAD.ADM.RSA.25")</f>
        <v>RV.CON817,GRAD.ADM.RSA.25</v>
      </c>
      <c r="D23" s="31" t="s">
        <v>920</v>
      </c>
      <c r="E23" s="31" t="s">
        <v>920</v>
      </c>
      <c r="F23" s="31" t="s">
        <v>920</v>
      </c>
      <c r="G23" s="31" t="s">
        <v>920</v>
      </c>
      <c r="H23" s="31" t="s">
        <v>920</v>
      </c>
      <c r="I23" s="31" t="s">
        <v>920</v>
      </c>
    </row>
    <row r="24" ht="14.25" customHeight="1">
      <c r="A24" s="14" t="s">
        <v>943</v>
      </c>
      <c r="B24" s="32" t="s">
        <v>54</v>
      </c>
      <c r="C24" s="30" t="str">
        <f>IFERROR(__xludf.DUMMYFUNCTION("JOIN("","",FILTER(Disciplinas!A:A, regexmatch(Disciplinas!C:C, B24)))"),"GRAD.ADM.GP-I.08")</f>
        <v>GRAD.ADM.GP-I.08</v>
      </c>
      <c r="D24" s="31" t="s">
        <v>920</v>
      </c>
      <c r="E24" s="31" t="s">
        <v>920</v>
      </c>
      <c r="F24" s="31" t="s">
        <v>920</v>
      </c>
      <c r="G24" s="31" t="s">
        <v>920</v>
      </c>
      <c r="H24" s="31" t="s">
        <v>920</v>
      </c>
      <c r="I24" s="31" t="s">
        <v>920</v>
      </c>
    </row>
    <row r="25" ht="14.25" customHeight="1">
      <c r="A25" s="14" t="s">
        <v>944</v>
      </c>
      <c r="B25" s="32" t="s">
        <v>796</v>
      </c>
      <c r="C25" s="30" t="str">
        <f>IFERROR(__xludf.DUMMYFUNCTION("JOIN("","",FILTER(Disciplinas!A:A, regexmatch(Disciplinas!C:C, B25)))"),"GRAD.SCE.02,GRAD.SER.01")</f>
        <v>GRAD.SCE.02,GRAD.SER.01</v>
      </c>
      <c r="D25" s="31" t="s">
        <v>920</v>
      </c>
      <c r="E25" s="31" t="s">
        <v>920</v>
      </c>
      <c r="F25" s="31" t="s">
        <v>920</v>
      </c>
      <c r="G25" s="31" t="s">
        <v>920</v>
      </c>
      <c r="H25" s="31" t="s">
        <v>920</v>
      </c>
      <c r="I25" s="31" t="s">
        <v>920</v>
      </c>
    </row>
    <row r="26" ht="14.25" customHeight="1">
      <c r="A26" s="14" t="s">
        <v>945</v>
      </c>
      <c r="B26" s="32" t="s">
        <v>76</v>
      </c>
      <c r="C26" s="30" t="str">
        <f>IFERROR(__xludf.DUMMYFUNCTION("JOIN("","",FILTER(Disciplinas!A:A, regexmatch(Disciplinas!C:C, B26)))"),"GRAD.ADM.OSM.13,GRAD.ADM.PE.23")</f>
        <v>GRAD.ADM.OSM.13,GRAD.ADM.PE.23</v>
      </c>
      <c r="D26" s="31" t="s">
        <v>920</v>
      </c>
      <c r="E26" s="31" t="s">
        <v>920</v>
      </c>
      <c r="F26" s="31" t="s">
        <v>920</v>
      </c>
      <c r="G26" s="31" t="s">
        <v>920</v>
      </c>
      <c r="H26" s="31" t="s">
        <v>920</v>
      </c>
      <c r="I26" s="31" t="s">
        <v>920</v>
      </c>
    </row>
    <row r="27" ht="14.25" customHeight="1">
      <c r="A27" s="14" t="s">
        <v>946</v>
      </c>
      <c r="B27" s="33"/>
      <c r="C27" s="30" t="str">
        <f>IFERROR(__xludf.DUMMYFUNCTION("JOIN("","",FILTER(Disciplinas!A:A, regexmatch(Disciplinas!C:C, B27)))"),"ID,RV.ADM05,RV.ADM06,RV.ADM07,RV.ADM08,RV.ADM405,RV.CON817,RV.EXA810,RV.ADM407,RV.PRO13,RV.PRO14,RV.PRO33,RV.PRO61,GRAD.ADM.ASI.07,GRAD.ADM.GP-I.08,GRAD.ADM.TGA-II.06,GRAD.EB.02,GRAD.MC.05,GRAD.ADM.AMP.16,GRAD.ADM.EAA.17,GRAD.ADM.GFO.15,GRAD.ADM.MARK-I.14"&amp;",GRAD.ADM.OSM.13,GRAD.ADM.GC.22,GRAD.ADM.GQ.24,GRAD.ADM.PE.23,GRAD.ADM.RSA.25,GRAD.EMPREENDED.01,RV.AGN225,RAGROP-RV.1,RAGROP-RV.6,RV.TAG006,RV.TAG007,RV.TAG008,RAGROP-RV.4,RV.TAG013,RV.TAG014,RV.TAG015,RV.TAG517,RAGROP-RV.1,RAGROP-RV.6,RV.TAG006,RV.TAG00"&amp;"7,RV.TAG008,RAGROP-RV.4,RV.TAG013,RV.TAG014,RV.TAG015,RV.TAG517,GRAD.AIA.01,GRAD.AP.02,GRAD.PNC.01,GRAD.RAD.01,GRAD.SA.01,GRAD.SAG.01,GRAD.BC.12,GRAD.CDI.01,GRAD.DT.01,GRAD.EG.07,GRAD.IA.07,GRAD.MC.01,GRAD.QG.01,GRAD.EB.01,GRAD.F.01,GRAD.GMS.01,GRAD.M.01,"&amp;"GRAD.OSV.01,GRAD.QO.01,GRAD.AV.1,GRAD.EE.01,GRAD.EG.05,GRAD.FS.01,GRAD.MA.1,GRAD.QA.01,GRAD.T.01,GRAD.BB.01,GRAD.CLS.01,GRAD.EA.31,GRAD.FS.02,GRAD.MMA.01,GRAD.T.02,GRAD.CIR.01,GRAD.F.42,GRAD.HID.01,GRAD.MP.01,GRAD.NMP.04,GRAD.PD.01,GRAD.PP.39,GRAD.A.01,GR"&amp;"AD.AR.03,GRAD.B.57,GRAD.CSFGAM.01,GRAD.F.02,GRAD.SGA.01,GRAD.TPA.01,RV.AGR238,RV.AGR239,RV.HUM206,RV.INF207,RV.BIO256,RV.ZOO234,RV.EXA810,RV.TAL10,RV.TAL11,RV.TAL12,RV.TAL712,RVTAL.82,RV.TAL13,RV.TAL14,RV.TAL15,RV.TAL16,RV.TAL17,RV.TAL717,RV.QAP428,GRAD.C"&amp;"DI.04,GRAD.DT.02,GRAD.EB.02,GRAD.FOTB.01,GRAD.QA.02,GRAD.QO.02,GRAD.BA.01,GRAD.CN.01,GRAD.FQ.02,GRAD.FT.01,GRAD.MICROBIOL.01,GRAD.QA.03,GRAD.AS.02,GRAD.FT.03,GRAD.HIL.01,GRAD.II.01,GRAD.MC.03,GRAD.RM.01,GRAD.ASC.01,GRAD.BIOENG.01,GRAD.OU.02,GRAD.TFH.01,GR"&amp;"AD.TLD.01,RV.HUM223,SEALIM-RV.1,GRAD.AV.03,GRAD.FSHE.01,GRAD.HISTOLOG.01,GRAD.QO.02,GRAD.ZI-I.01,GRAD. ZV.01,GRAD.BABP.01,GRAD.DIDáT.01,GRAD.EG.03,GRAD.FV.05,GRAD.ACV.02,GRAD.BIOF.01,GRAD.GOTPD.01,GRAD.MG.02,GRAD.FCV.01,GRAD.GP.01,GRAD.PARASITOL.01,GRAD.P"&amp;"E.02,RV.BIO354,GRAD.BB.02,GRAD.BIOESTAT.01,GRAD.EG.01,GRAD.GENéT.01,GRAD.HISTOL.01,GRAD.QO.02,GRAD.ZI.01,GRAD.BABP.01,GRAD.BIOF.01,GRAD.EPC.01,GRAD.LA.01,GRAD.MOV.01,GRAD.ZV.01,GRAD.ACV.01,GRAD.CMB.01,GRAD.FV.02,GRAD.IIA.01,GRAD.IMUNOL.01,GRAD.MA.01,GRAD."&amp;"BIOGEOG.01,GRAD.BIOTECNOLOG.01,GRAD.EA.03,GRAD.LPB.01,GRAD.NMP.01,GRAD.SGAS.01,GRAD.SP.01,CTBIOTRV.21,CTBIOTRV.22,CTBIOTRV.23,CTBIOTRV.26,RV.TAL607,RV.TAL727,CTBIOTRV.14,CTBIOTRV.15,CTBIOTRV.16,CTBIOTRV.17,RV.AGR424,GRAD.CDI.03,GRAD.GAAL.01,GRAD.LTP.01,GR"&amp;"AD.MCCC.01,GRAD.MD.01,GRAD.SD.01,GRAD.ANAPROJALG.01,GRAD.BD.01,GRAD.ED.02,GRAD.PLP.02,GRAD.PO.01,GRAD.RC.01,GRAD.ASC.01,GRAD.CG.01,GRAD.COMPILAD.01,GRAD.PLP.04,GRAD.SO.01,GRAD.EE.02,GRAD.MASU.01,GRAD.PP.01,GRAD.RI.01,GRAD.SAS.01,GRAD.FC.01,GRAD.CDI.04,GRA"&amp;"D.CN.01,GRAD.EB.02,GRAD.FE-II.01,GRAD.FíSICA II.01,GRAD.PROJARQ.01,GRAD.TOPOG.01,GRAD..MV.01,GRAD.GEOLOG.01,GRAD.ICEM.01,GRAD.MC.02,GRAD.MCC- I.01,GRAD.METCOMP.01,GRAD.CC-I.01,GRAD.EM.01,GRAD.HIDRA.II.01,GRAD.IPH.02,GRAD.MS-II.01,GRAD.RM-II.01,GRAD.ECA-II"&amp;".02,GRAD.ET.01,GRAD.FUNDAç.01,GRAD.MOT.01,GRAD.PAVIMENT.01,GRAD.PCP.01,GRAD.PORTAERO.01,RV.ENG240,RV.ENG243,RV.ADM12,RV.CON004,RV.CON005,RV.CON100,RV.CON107,GRAD.CDI.04,GRAD.DT.02,GRAD.EE.02,GRAD.PTUR.01,GRAD.QAAI.01,GRAD.MA.01,GRAD.POLAGU.01,GRAD.PS.02,G"&amp;"RAD.SEDO.01,GRAD.TOPOG.01,GRAD.EIA.02,GRAD.FT.02,GRAD.G.01,GRAD.HIDRáUL.01,GRAD.TARI.01,GRAD.ELEE.01,GRAD.ER.03,GRAD.EVA.01,GRAD.MBH.01,GRAD.MRA.01,GRAD.TAA.01,GRAD.TES.01,RV.MCC001,RV.MSL001,RV.PAI001,RV.SE-I001,RV.T-AL001,RV.EPD002,RV.GOT001,RV.IEC001,R"&amp;"V.PFL001,RV.SOT001,RV.TC-II001,RV.PRO41,RV.PRO50,RV.PRO60,RV.TADM12,GRAD.ENQ.CDI-II.08,GRAD.ENQ.EB.13,GRAD.ENQ.FE-II.10,GRAD.ENQ.FIS-II.09,GRAD.ENQ.QIE.12,GRAD.ENQ.QIE.12,GRAD.ENQ.QI-I.11,GRAD.ENQ.QO-I.14,GRAD.ENQ.FQ-I.16,GRAD.ENQ.FT-I.25,GRAD.ENQ.QAQ.26,"&amp;"GRAD.ENQ.QOE.24,GRAD.ENQ.QO-II.23,GRAD.ENQ.RM.22,RV.INF610,RV.INF618,RV.INF619,RV.INF64,RV.INF97,RV.INF99,RV.CON817,RV.INF61,RV.INF63,RV.INF85,RV.INF94,RV.INF60,RV.INF88,RV.INF91,RV.ING412,RV.QUI725,RV.QUI726,RV.QUI731,RV.QUI737,RV.TAL717,RV.QUI124,GRAD.C"&amp;"áLCULO.01,GRAD.FQ.01,GRAD.FQIE.01,GRAD.FSHE.01,GRAD.PAQG.01,GRAD.QG-II.01,GRAD.DIDáT.01,GRAD.EB.02,GRAD.FGE-II.01,GRAD.PAQAQ.01,GRAD.QAQ.03,GRAD.GOTPD.01,GRAD.PAQI.01,GRAD.QIE.02,GRAD.QI-II.01,GRAD.QO-I.01,GRAD.SCE.02,GRAD.QOE.01,GRAD.AO.02,GRAD.EA.03,GRA"&amp;"D.PAI.01,GRAD.PE.02,GRAD.QAI.01,GRAD.QUIAMB.01,RV.QUI239,RV.QUI241,RV.QUI254,GRAD.ER.01,GRAD.GAP.01,GRAD.GEOPROCESS.01,GRAD.GRS.02,GRAD.LA.01,GRAD.SP.02,GRAD.APA.02,GRAD.ECRER.01,GRAD.LIBRAS.01,GRAD.SGAS.01,GRAD.TAAA.01,GRAD.TAR-II.01,GRAD.TRSUI.01,CTSTRA"&amp;"RV.32,CTSTRARV.33,CTSTRARV.34,CTSTRARV.35,CTSTRARV.36,CTSTRARV.37,TADMRV33,CTSTRARV.23,CTSTRARV.44,CTSTRARV.45,CTSTRARV.46,CTSTRARV.47,CTSTRARV.48,CTSTRARV.49,GRAD.EG.01,GRAD.FMB.02,GRAD.GMS.02,GRAD.IBPZ.01,GRAD.MC.02,GRAD.QO.02,GRAD.ZOOLOGIA.01,GRAD.EE.0"&amp;"2,GRAD.FA.02,GRAD.FS.03,GRAD.FV.03,GRAD.GENéTICA.01,GRAD.MIA.01,GRAD.CBEA.01,GRAD.CIR.02,GRAD.ECORUR.01,GRAD.NNR.01,GRAD.NR.01,GRAD.PASTAGENS.01,GRAD.RA.01,GRAD.BCB.01,GRAD.CO.01,GRAD.FRA.01,GRAD.SER.01,GRAD.SUINOCULT.01")</f>
        <v>ID,RV.ADM05,RV.ADM06,RV.ADM07,RV.ADM08,RV.ADM405,RV.CON817,RV.EXA810,RV.ADM407,RV.PRO13,RV.PRO14,RV.PRO33,RV.PRO61,GRAD.ADM.ASI.07,GRAD.ADM.GP-I.08,GRAD.ADM.TGA-II.06,GRAD.EB.02,GRAD.MC.05,GRAD.ADM.AMP.16,GRAD.ADM.EAA.17,GRAD.ADM.GFO.15,GRAD.ADM.MARK-I.14,GRAD.ADM.OSM.13,GRAD.ADM.GC.22,GRAD.ADM.GQ.24,GRAD.ADM.PE.23,GRAD.ADM.RSA.25,GRAD.EMPREENDED.01,RV.AGN225,RAGROP-RV.1,RAGROP-RV.6,RV.TAG006,RV.TAG007,RV.TAG008,RAGROP-RV.4,RV.TAG013,RV.TAG014,RV.TAG015,RV.TAG517,RAGROP-RV.1,RAGROP-RV.6,RV.TAG006,RV.TAG007,RV.TAG008,RAGROP-RV.4,RV.TAG013,RV.TAG014,RV.TAG015,RV.TAG517,GRAD.AIA.01,GRAD.AP.02,GRAD.PNC.01,GRAD.RAD.01,GRAD.SA.01,GRAD.SAG.01,GRAD.BC.12,GRAD.CDI.01,GRAD.DT.01,GRAD.EG.07,GRAD.IA.07,GRAD.MC.01,GRAD.QG.01,GRAD.EB.01,GRAD.F.01,GRAD.GMS.01,GRAD.M.01,GRAD.OSV.01,GRAD.QO.01,GRAD.AV.1,GRAD.EE.01,GRAD.EG.05,GRAD.FS.01,GRAD.MA.1,GRAD.QA.01,GRAD.T.01,GRAD.BB.01,GRAD.CLS.01,GRAD.EA.31,GRAD.FS.02,GRAD.MMA.01,GRAD.T.02,GRAD.CIR.01,GRAD.F.42,GRAD.HID.01,GRAD.MP.01,GRAD.NMP.04,GRAD.PD.01,GRAD.PP.39,GRAD.A.01,GRAD.AR.03,GRAD.B.57,GRAD.CSFGAM.01,GRAD.F.02,GRAD.SGA.01,GRAD.TPA.01,RV.AGR238,RV.AGR239,RV.HUM206,RV.INF207,RV.BIO256,RV.ZOO234,RV.EXA810,RV.TAL10,RV.TAL11,RV.TAL12,RV.TAL712,RVTAL.82,RV.TAL13,RV.TAL14,RV.TAL15,RV.TAL16,RV.TAL17,RV.TAL717,RV.QAP428,GRAD.CDI.04,GRAD.DT.02,GRAD.EB.02,GRAD.FOTB.01,GRAD.QA.02,GRAD.QO.02,GRAD.BA.01,GRAD.CN.01,GRAD.FQ.02,GRAD.FT.01,GRAD.MICROBIOL.01,GRAD.QA.03,GRAD.AS.02,GRAD.FT.03,GRAD.HIL.01,GRAD.II.01,GRAD.MC.03,GRAD.RM.01,GRAD.ASC.01,GRAD.BIOENG.01,GRAD.OU.02,GRAD.TFH.01,GRAD.TLD.01,RV.HUM223,SEALIM-RV.1,GRAD.AV.03,GRAD.FSHE.01,GRAD.HISTOLOG.01,GRAD.QO.02,GRAD.ZI-I.01,GRAD. ZV.01,GRAD.BABP.01,GRAD.DIDáT.01,GRAD.EG.03,GRAD.FV.05,GRAD.ACV.02,GRAD.BIOF.01,GRAD.GOTPD.01,GRAD.MG.02,GRAD.FCV.01,GRAD.GP.01,GRAD.PARASITOL.01,GRAD.PE.02,RV.BIO354,GRAD.BB.02,GRAD.BIOESTAT.01,GRAD.EG.01,GRAD.GENéT.01,GRAD.HISTOL.01,GRAD.QO.02,GRAD.ZI.01,GRAD.BABP.01,GRAD.BIOF.01,GRAD.EPC.01,GRAD.LA.01,GRAD.MOV.01,GRAD.ZV.01,GRAD.ACV.01,GRAD.CMB.01,GRAD.FV.02,GRAD.IIA.01,GRAD.IMUNOL.01,GRAD.MA.01,GRAD.BIOGEOG.01,GRAD.BIOTECNOLOG.01,GRAD.EA.03,GRAD.LPB.01,GRAD.NMP.01,GRAD.SGAS.01,GRAD.SP.01,CTBIOTRV.21,CTBIOTRV.22,CTBIOTRV.23,CTBIOTRV.26,RV.TAL607,RV.TAL727,CTBIOTRV.14,CTBIOTRV.15,CTBIOTRV.16,CTBIOTRV.17,RV.AGR424,GRAD.CDI.03,GRAD.GAAL.01,GRAD.LTP.01,GRAD.MCCC.01,GRAD.MD.01,GRAD.SD.01,GRAD.ANAPROJALG.01,GRAD.BD.01,GRAD.ED.02,GRAD.PLP.02,GRAD.PO.01,GRAD.RC.01,GRAD.ASC.01,GRAD.CG.01,GRAD.COMPILAD.01,GRAD.PLP.04,GRAD.SO.01,GRAD.EE.02,GRAD.MASU.01,GRAD.PP.01,GRAD.RI.01,GRAD.SAS.01,GRAD.FC.01,GRAD.CDI.04,GRAD.CN.01,GRAD.EB.02,GRAD.FE-II.01,GRAD.FíSICA II.01,GRAD.PROJARQ.01,GRAD.TOPOG.01,GRAD..MV.01,GRAD.GEOLOG.01,GRAD.ICEM.01,GRAD.MC.02,GRAD.MCC- I.01,GRAD.METCOMP.01,GRAD.CC-I.01,GRAD.EM.01,GRAD.HIDRA.II.01,GRAD.IPH.02,GRAD.MS-II.01,GRAD.RM-II.01,GRAD.ECA-II.02,GRAD.ET.01,GRAD.FUNDAç.01,GRAD.MOT.01,GRAD.PAVIMENT.01,GRAD.PCP.01,GRAD.PORTAERO.01,RV.ENG240,RV.ENG243,RV.ADM12,RV.CON004,RV.CON005,RV.CON100,RV.CON107,GRAD.CDI.04,GRAD.DT.02,GRAD.EE.02,GRAD.PTUR.01,GRAD.QAAI.01,GRAD.MA.01,GRAD.POLAGU.01,GRAD.PS.02,GRAD.SEDO.01,GRAD.TOPOG.01,GRAD.EIA.02,GRAD.FT.02,GRAD.G.01,GRAD.HIDRáUL.01,GRAD.TARI.01,GRAD.ELEE.01,GRAD.ER.03,GRAD.EVA.01,GRAD.MBH.01,GRAD.MRA.01,GRAD.TAA.01,GRAD.TES.01,RV.MCC001,RV.MSL001,RV.PAI001,RV.SE-I001,RV.T-AL001,RV.EPD002,RV.GOT001,RV.IEC001,RV.PFL001,RV.SOT001,RV.TC-II001,RV.PRO41,RV.PRO50,RV.PRO60,RV.TADM12,GRAD.ENQ.CDI-II.08,GRAD.ENQ.EB.13,GRAD.ENQ.FE-II.10,GRAD.ENQ.FIS-II.09,GRAD.ENQ.QIE.12,GRAD.ENQ.QIE.12,GRAD.ENQ.QI-I.11,GRAD.ENQ.QO-I.14,GRAD.ENQ.FQ-I.16,GRAD.ENQ.FT-I.25,GRAD.ENQ.QAQ.26,GRAD.ENQ.QOE.24,GRAD.ENQ.QO-II.23,GRAD.ENQ.RM.22,RV.INF610,RV.INF618,RV.INF619,RV.INF64,RV.INF97,RV.INF99,RV.CON817,RV.INF61,RV.INF63,RV.INF85,RV.INF94,RV.INF60,RV.INF88,RV.INF91,RV.ING412,RV.QUI725,RV.QUI726,RV.QUI731,RV.QUI737,RV.TAL717,RV.QUI124,GRAD.CáLCULO.01,GRAD.FQ.01,GRAD.FQIE.01,GRAD.FSHE.01,GRAD.PAQG.01,GRAD.QG-II.01,GRAD.DIDáT.01,GRAD.EB.02,GRAD.FGE-II.01,GRAD.PAQAQ.01,GRAD.QAQ.03,GRAD.GOTPD.01,GRAD.PAQI.01,GRAD.QIE.02,GRAD.QI-II.01,GRAD.QO-I.01,GRAD.SCE.02,GRAD.QOE.01,GRAD.AO.02,GRAD.EA.03,GRAD.PAI.01,GRAD.PE.02,GRAD.QAI.01,GRAD.QUIAMB.01,RV.QUI239,RV.QUI241,RV.QUI254,GRAD.ER.01,GRAD.GAP.01,GRAD.GEOPROCESS.01,GRAD.GRS.02,GRAD.LA.01,GRAD.SP.02,GRAD.APA.02,GRAD.ECRER.01,GRAD.LIBRAS.01,GRAD.SGAS.01,GRAD.TAAA.01,GRAD.TAR-II.01,GRAD.TRSUI.01,CTSTRARV.32,CTSTRARV.33,CTSTRARV.34,CTSTRARV.35,CTSTRARV.36,CTSTRARV.37,TADMRV33,CTSTRARV.23,CTSTRARV.44,CTSTRARV.45,CTSTRARV.46,CTSTRARV.47,CTSTRARV.48,CTSTRARV.49,GRAD.EG.01,GRAD.FMB.02,GRAD.GMS.02,GRAD.IBPZ.01,GRAD.MC.02,GRAD.QO.02,GRAD.ZOOLOGIA.01,GRAD.EE.02,GRAD.FA.02,GRAD.FS.03,GRAD.FV.03,GRAD.GENéTICA.01,GRAD.MIA.01,GRAD.CBEA.01,GRAD.CIR.02,GRAD.ECORUR.01,GRAD.NNR.01,GRAD.NR.01,GRAD.PASTAGENS.01,GRAD.RA.01,GRAD.BCB.01,GRAD.CO.01,GRAD.FRA.01,GRAD.SER.01,GRAD.SUINOCULT.01</v>
      </c>
      <c r="D27" s="31" t="s">
        <v>920</v>
      </c>
      <c r="E27" s="31" t="s">
        <v>920</v>
      </c>
      <c r="F27" s="31" t="s">
        <v>920</v>
      </c>
      <c r="G27" s="31" t="s">
        <v>920</v>
      </c>
      <c r="H27" s="31" t="s">
        <v>920</v>
      </c>
      <c r="I27" s="31" t="s">
        <v>920</v>
      </c>
    </row>
    <row r="28" ht="14.25" customHeight="1">
      <c r="A28" s="14" t="s">
        <v>947</v>
      </c>
      <c r="B28" s="32" t="s">
        <v>304</v>
      </c>
      <c r="C28" s="30" t="str">
        <f>IFERROR(__xludf.DUMMYFUNCTION("JOIN("","",FILTER(Disciplinas!A:A, regexmatch(Disciplinas!C:C, B28)))"),"GRAD.CDI.04,GRAD.CDI.04,GRAD.SEDO.01,GRAD.ENQ.CDI-II.08")</f>
        <v>GRAD.CDI.04,GRAD.CDI.04,GRAD.SEDO.01,GRAD.ENQ.CDI-II.08</v>
      </c>
      <c r="D28" s="31" t="s">
        <v>920</v>
      </c>
      <c r="E28" s="31" t="s">
        <v>920</v>
      </c>
      <c r="F28" s="31" t="s">
        <v>920</v>
      </c>
      <c r="G28" s="31" t="s">
        <v>920</v>
      </c>
      <c r="H28" s="31" t="s">
        <v>920</v>
      </c>
      <c r="I28" s="31" t="s">
        <v>920</v>
      </c>
    </row>
    <row r="29" ht="14.25" customHeight="1">
      <c r="A29" s="14" t="s">
        <v>948</v>
      </c>
      <c r="B29" s="32" t="s">
        <v>123</v>
      </c>
      <c r="C29" s="30" t="str">
        <f>IFERROR(__xludf.DUMMYFUNCTION("JOIN("","",FILTER(Disciplinas!A:A, regexmatch(Disciplinas!C:C, B29)))"),"RV.TAG517,RV.AGR238")</f>
        <v>RV.TAG517,RV.AGR238</v>
      </c>
      <c r="D29" s="31" t="s">
        <v>920</v>
      </c>
      <c r="E29" s="31" t="s">
        <v>920</v>
      </c>
      <c r="F29" s="31" t="s">
        <v>920</v>
      </c>
      <c r="G29" s="31" t="s">
        <v>920</v>
      </c>
      <c r="H29" s="31" t="s">
        <v>920</v>
      </c>
      <c r="I29" s="31" t="s">
        <v>920</v>
      </c>
    </row>
    <row r="30" ht="14.25" customHeight="1">
      <c r="A30" s="14" t="s">
        <v>949</v>
      </c>
      <c r="B30" s="32" t="s">
        <v>889</v>
      </c>
      <c r="C30" s="30" t="str">
        <f>IFERROR(__xludf.DUMMYFUNCTION("JOIN("","",FILTER(Disciplinas!A:A, regexmatch(Disciplinas!C:C, B30)))"),"GRAD.MIA.01,GRAD.CBEA.01")</f>
        <v>GRAD.MIA.01,GRAD.CBEA.01</v>
      </c>
      <c r="D30" s="31" t="s">
        <v>920</v>
      </c>
      <c r="E30" s="31" t="s">
        <v>920</v>
      </c>
      <c r="F30" s="31" t="s">
        <v>920</v>
      </c>
      <c r="G30" s="31" t="s">
        <v>920</v>
      </c>
      <c r="H30" s="31" t="s">
        <v>920</v>
      </c>
      <c r="I30" s="31" t="s">
        <v>920</v>
      </c>
    </row>
    <row r="31" ht="14.25" customHeight="1">
      <c r="A31" s="14" t="s">
        <v>950</v>
      </c>
      <c r="B31" s="32" t="s">
        <v>99</v>
      </c>
      <c r="C31" s="30" t="str">
        <f>IFERROR(__xludf.DUMMYFUNCTION("JOIN("","",FILTER(Disciplinas!A:A, regexmatch(Disciplinas!C:C, B31)))"),"RAGROP-RV.6,RAGROP-RV.6,GRAD.MMA.01")</f>
        <v>RAGROP-RV.6,RAGROP-RV.6,GRAD.MMA.01</v>
      </c>
      <c r="D31" s="31" t="s">
        <v>920</v>
      </c>
      <c r="E31" s="31" t="s">
        <v>920</v>
      </c>
      <c r="F31" s="31" t="s">
        <v>920</v>
      </c>
      <c r="G31" s="31" t="s">
        <v>920</v>
      </c>
      <c r="H31" s="31" t="s">
        <v>920</v>
      </c>
      <c r="I31" s="31" t="s">
        <v>920</v>
      </c>
    </row>
    <row r="32" ht="14.25" customHeight="1">
      <c r="A32" s="14" t="s">
        <v>951</v>
      </c>
      <c r="B32" s="32" t="s">
        <v>952</v>
      </c>
      <c r="C32" s="30" t="str">
        <f>IFERROR(__xludf.DUMMYFUNCTION("JOIN("","",FILTER(Disciplinas!A:A, regexmatch(Disciplinas!C:C, B32)))"),"#N/A")</f>
        <v>#N/A</v>
      </c>
      <c r="D32" s="31" t="s">
        <v>920</v>
      </c>
      <c r="E32" s="31" t="s">
        <v>920</v>
      </c>
      <c r="F32" s="31" t="s">
        <v>920</v>
      </c>
      <c r="G32" s="31" t="s">
        <v>920</v>
      </c>
      <c r="H32" s="31" t="s">
        <v>920</v>
      </c>
      <c r="I32" s="31" t="s">
        <v>920</v>
      </c>
    </row>
    <row r="33" ht="14.25" customHeight="1">
      <c r="A33" s="14" t="s">
        <v>953</v>
      </c>
      <c r="B33" s="32" t="s">
        <v>569</v>
      </c>
      <c r="C33" s="30" t="str">
        <f>IFERROR(__xludf.DUMMYFUNCTION("JOIN("","",FILTER(Disciplinas!A:A, regexmatch(Disciplinas!C:C, B33)))"),"GRAD.MC.02,GRAD.MC.02")</f>
        <v>GRAD.MC.02,GRAD.MC.02</v>
      </c>
      <c r="D33" s="31" t="s">
        <v>920</v>
      </c>
      <c r="E33" s="31" t="s">
        <v>920</v>
      </c>
      <c r="F33" s="31" t="s">
        <v>920</v>
      </c>
      <c r="G33" s="31" t="s">
        <v>920</v>
      </c>
      <c r="H33" s="31" t="s">
        <v>920</v>
      </c>
      <c r="I33" s="31" t="s">
        <v>920</v>
      </c>
    </row>
    <row r="34" ht="14.25" customHeight="1">
      <c r="A34" s="14" t="s">
        <v>954</v>
      </c>
      <c r="B34" s="32" t="s">
        <v>115</v>
      </c>
      <c r="C34" s="30" t="str">
        <f>IFERROR(__xludf.DUMMYFUNCTION("JOIN("","",FILTER(Disciplinas!A:A, regexmatch(Disciplinas!C:C, B34)))"),"RV.TAG013,RV.TAG013,RV.ZOO234")</f>
        <v>RV.TAG013,RV.TAG013,RV.ZOO234</v>
      </c>
      <c r="D34" s="31" t="s">
        <v>920</v>
      </c>
      <c r="E34" s="31" t="s">
        <v>920</v>
      </c>
      <c r="F34" s="31" t="s">
        <v>920</v>
      </c>
      <c r="G34" s="31" t="s">
        <v>920</v>
      </c>
      <c r="H34" s="31" t="s">
        <v>920</v>
      </c>
      <c r="I34" s="31" t="s">
        <v>920</v>
      </c>
    </row>
    <row r="35" ht="14.25" customHeight="1">
      <c r="A35" s="14" t="s">
        <v>955</v>
      </c>
      <c r="B35" s="32" t="s">
        <v>640</v>
      </c>
      <c r="C35" s="30" t="str">
        <f>IFERROR(__xludf.DUMMYFUNCTION("JOIN("","",FILTER(Disciplinas!A:A, regexmatch(Disciplinas!C:C, B35)))"),"GRAD.GP.01,GRAD.PS.02,GRAD.MRA.01")</f>
        <v>GRAD.GP.01,GRAD.PS.02,GRAD.MRA.01</v>
      </c>
      <c r="D35" s="31" t="s">
        <v>920</v>
      </c>
      <c r="E35" s="31" t="s">
        <v>920</v>
      </c>
      <c r="F35" s="31" t="s">
        <v>920</v>
      </c>
      <c r="G35" s="31" t="s">
        <v>920</v>
      </c>
      <c r="H35" s="31" t="s">
        <v>920</v>
      </c>
      <c r="I35" s="31" t="s">
        <v>920</v>
      </c>
    </row>
    <row r="36" ht="14.25" customHeight="1">
      <c r="A36" s="14" t="s">
        <v>956</v>
      </c>
      <c r="B36" s="32" t="s">
        <v>201</v>
      </c>
      <c r="C36" s="30" t="str">
        <f>IFERROR(__xludf.DUMMYFUNCTION("JOIN("","",FILTER(Disciplinas!A:A, regexmatch(Disciplinas!C:C, B36)))"),"GRAD.T.01,GRAD.T.02,GRAD.TOPOG.01,RV.T-AL001")</f>
        <v>GRAD.T.01,GRAD.T.02,GRAD.TOPOG.01,RV.T-AL001</v>
      </c>
      <c r="D36" s="31" t="s">
        <v>920</v>
      </c>
      <c r="E36" s="31" t="s">
        <v>920</v>
      </c>
      <c r="F36" s="31" t="s">
        <v>920</v>
      </c>
      <c r="G36" s="31" t="s">
        <v>920</v>
      </c>
      <c r="H36" s="31" t="s">
        <v>920</v>
      </c>
      <c r="I36" s="31" t="s">
        <v>920</v>
      </c>
    </row>
    <row r="37" ht="14.25" customHeight="1">
      <c r="A37" s="14" t="s">
        <v>957</v>
      </c>
      <c r="B37" s="32" t="s">
        <v>958</v>
      </c>
      <c r="C37" s="30" t="str">
        <f>IFERROR(__xludf.DUMMYFUNCTION("JOIN("","",FILTER(Disciplinas!A:A, regexmatch(Disciplinas!C:C, B37)))"),"RAGROP-RV.4,RAGROP-RV.4,RV.TAL17,RV.TAL717,GRAD.TFH.01,CTBIOTRV.17")</f>
        <v>RAGROP-RV.4,RAGROP-RV.4,RV.TAL17,RV.TAL717,GRAD.TFH.01,CTBIOTRV.17</v>
      </c>
      <c r="D37" s="31" t="s">
        <v>920</v>
      </c>
      <c r="E37" s="31" t="s">
        <v>920</v>
      </c>
      <c r="F37" s="31" t="s">
        <v>920</v>
      </c>
      <c r="G37" s="31" t="s">
        <v>920</v>
      </c>
      <c r="H37" s="31" t="s">
        <v>920</v>
      </c>
      <c r="I37" s="31" t="s">
        <v>920</v>
      </c>
    </row>
    <row r="38" ht="14.25" customHeight="1">
      <c r="A38" s="14" t="s">
        <v>959</v>
      </c>
      <c r="B38" s="32" t="s">
        <v>243</v>
      </c>
      <c r="C38" s="30" t="str">
        <f>IFERROR(__xludf.DUMMYFUNCTION("JOIN("","",FILTER(Disciplinas!A:A, regexmatch(Disciplinas!C:C, B38)))"),"GRAD.B.57,GRAD.RA.01,GRAD.BCB.01")</f>
        <v>GRAD.B.57,GRAD.RA.01,GRAD.BCB.01</v>
      </c>
      <c r="D38" s="31" t="s">
        <v>920</v>
      </c>
      <c r="E38" s="31" t="s">
        <v>920</v>
      </c>
      <c r="F38" s="31" t="s">
        <v>920</v>
      </c>
      <c r="G38" s="31" t="s">
        <v>920</v>
      </c>
      <c r="H38" s="31" t="s">
        <v>920</v>
      </c>
      <c r="I38" s="31" t="s">
        <v>920</v>
      </c>
    </row>
    <row r="39" ht="14.25" customHeight="1">
      <c r="A39" s="14" t="s">
        <v>960</v>
      </c>
      <c r="B39" s="32" t="s">
        <v>105</v>
      </c>
      <c r="C39" s="30" t="str">
        <f>IFERROR(__xludf.DUMMYFUNCTION("JOIN("","",FILTER(Disciplinas!A:A, regexmatch(Disciplinas!C:C, B39)))"),"RV.TAG007,RV.TAG014,RV.TAG007")</f>
        <v>RV.TAG007,RV.TAG014,RV.TAG007</v>
      </c>
      <c r="D39" s="31" t="s">
        <v>920</v>
      </c>
      <c r="E39" s="31" t="s">
        <v>920</v>
      </c>
      <c r="F39" s="31" t="s">
        <v>920</v>
      </c>
      <c r="G39" s="31" t="s">
        <v>920</v>
      </c>
      <c r="H39" s="31" t="s">
        <v>920</v>
      </c>
      <c r="I39" s="31" t="s">
        <v>920</v>
      </c>
    </row>
    <row r="40" ht="14.25" customHeight="1">
      <c r="A40" s="14" t="s">
        <v>961</v>
      </c>
      <c r="B40" s="32" t="s">
        <v>120</v>
      </c>
      <c r="C40" s="30" t="str">
        <f>IFERROR(__xludf.DUMMYFUNCTION("JOIN("","",FILTER(Disciplinas!A:A, regexmatch(Disciplinas!C:C, B40)))"),"RV.TAG015,RV.TAG015,RV.AGR239")</f>
        <v>RV.TAG015,RV.TAG015,RV.AGR239</v>
      </c>
      <c r="D40" s="31" t="s">
        <v>920</v>
      </c>
      <c r="E40" s="31" t="s">
        <v>920</v>
      </c>
      <c r="F40" s="31" t="s">
        <v>920</v>
      </c>
      <c r="G40" s="31" t="s">
        <v>920</v>
      </c>
      <c r="H40" s="31" t="s">
        <v>920</v>
      </c>
      <c r="I40" s="31" t="s">
        <v>920</v>
      </c>
    </row>
    <row r="41" ht="14.25" customHeight="1">
      <c r="A41" s="14" t="s">
        <v>962</v>
      </c>
      <c r="B41" s="32" t="s">
        <v>127</v>
      </c>
      <c r="C41" s="30" t="str">
        <f>IFERROR(__xludf.DUMMYFUNCTION("JOIN("","",FILTER(Disciplinas!A:A, regexmatch(Disciplinas!C:C, B41)))"),"RV.TAG517,GRAD.MC.01,GRAD.F.42")</f>
        <v>RV.TAG517,GRAD.MC.01,GRAD.F.42</v>
      </c>
      <c r="D41" s="31" t="s">
        <v>920</v>
      </c>
      <c r="E41" s="31" t="s">
        <v>920</v>
      </c>
      <c r="F41" s="31" t="s">
        <v>920</v>
      </c>
      <c r="G41" s="31" t="s">
        <v>920</v>
      </c>
      <c r="H41" s="31" t="s">
        <v>920</v>
      </c>
      <c r="I41" s="31" t="s">
        <v>920</v>
      </c>
    </row>
    <row r="42" ht="14.25" customHeight="1">
      <c r="A42" s="14" t="s">
        <v>963</v>
      </c>
      <c r="B42" s="32" t="s">
        <v>365</v>
      </c>
      <c r="C42" s="30" t="str">
        <f>IFERROR(__xludf.DUMMYFUNCTION("JOIN("","",FILTER(Disciplinas!A:A, regexmatch(Disciplinas!C:C, B42)))"),"GRAD.AV.03")</f>
        <v>GRAD.AV.03</v>
      </c>
      <c r="D42" s="31" t="s">
        <v>920</v>
      </c>
      <c r="E42" s="31" t="s">
        <v>920</v>
      </c>
      <c r="F42" s="31" t="s">
        <v>920</v>
      </c>
      <c r="G42" s="31" t="s">
        <v>920</v>
      </c>
      <c r="H42" s="31" t="s">
        <v>920</v>
      </c>
      <c r="I42" s="31" t="s">
        <v>920</v>
      </c>
    </row>
    <row r="43" ht="14.25" customHeight="1">
      <c r="A43" s="14" t="s">
        <v>964</v>
      </c>
      <c r="B43" s="32" t="s">
        <v>154</v>
      </c>
      <c r="C43" s="30" t="str">
        <f>IFERROR(__xludf.DUMMYFUNCTION("JOIN("","",FILTER(Disciplinas!A:A, regexmatch(Disciplinas!C:C, B43)))"),"GRAD.DT.01,GRAD.DT.02,GRAD.RM.01,GRAD.PORTAERO.01,GRAD.ENQ.RM.22")</f>
        <v>GRAD.DT.01,GRAD.DT.02,GRAD.RM.01,GRAD.PORTAERO.01,GRAD.ENQ.RM.22</v>
      </c>
      <c r="D43" s="31" t="s">
        <v>920</v>
      </c>
      <c r="E43" s="31" t="s">
        <v>920</v>
      </c>
      <c r="F43" s="31" t="s">
        <v>920</v>
      </c>
      <c r="G43" s="31" t="s">
        <v>920</v>
      </c>
      <c r="H43" s="31" t="s">
        <v>920</v>
      </c>
      <c r="I43" s="31" t="s">
        <v>920</v>
      </c>
    </row>
    <row r="44" ht="14.25" customHeight="1">
      <c r="A44" s="14" t="s">
        <v>965</v>
      </c>
      <c r="B44" s="32" t="s">
        <v>157</v>
      </c>
      <c r="C44" s="30" t="str">
        <f>IFERROR(__xludf.DUMMYFUNCTION("JOIN("","",FILTER(Disciplinas!A:A, regexmatch(Disciplinas!C:C, B44)))"),"GRAD.EG.07,GRAD.SGA.01,GRAD.SGAS.01,GRAD.SGAS.01,GRAD.EG.01")</f>
        <v>GRAD.EG.07,GRAD.SGA.01,GRAD.SGAS.01,GRAD.SGAS.01,GRAD.EG.01</v>
      </c>
      <c r="D44" s="31" t="s">
        <v>920</v>
      </c>
      <c r="E44" s="31" t="s">
        <v>920</v>
      </c>
      <c r="F44" s="31" t="s">
        <v>920</v>
      </c>
      <c r="G44" s="31" t="s">
        <v>920</v>
      </c>
      <c r="H44" s="31" t="s">
        <v>920</v>
      </c>
      <c r="I44" s="31" t="s">
        <v>920</v>
      </c>
    </row>
    <row r="45" ht="14.25" customHeight="1">
      <c r="A45" s="14" t="s">
        <v>966</v>
      </c>
      <c r="B45" s="32" t="s">
        <v>126</v>
      </c>
      <c r="C45" s="30" t="str">
        <f>IFERROR(__xludf.DUMMYFUNCTION("JOIN("","",FILTER(Disciplinas!A:A, regexmatch(Disciplinas!C:C, B45)))"),"RV.TAG014,GRAD.IA.07,GRAD.F.02")</f>
        <v>RV.TAG014,GRAD.IA.07,GRAD.F.02</v>
      </c>
      <c r="D45" s="31" t="s">
        <v>920</v>
      </c>
      <c r="E45" s="31" t="s">
        <v>920</v>
      </c>
      <c r="F45" s="31" t="s">
        <v>920</v>
      </c>
      <c r="G45" s="31" t="s">
        <v>920</v>
      </c>
      <c r="H45" s="31" t="s">
        <v>920</v>
      </c>
      <c r="I45" s="31" t="s">
        <v>920</v>
      </c>
    </row>
    <row r="46" ht="14.25" customHeight="1">
      <c r="A46" s="14" t="s">
        <v>967</v>
      </c>
      <c r="B46" s="32" t="s">
        <v>168</v>
      </c>
      <c r="C46" s="30" t="str">
        <f>IFERROR(__xludf.DUMMYFUNCTION("JOIN("","",FILTER(Disciplinas!A:A, regexmatch(Disciplinas!C:C, B46)))"),"GRAD.F.01,GRAD.FOTB.01,GRAD.FC.01,GRAD.FMB.02")</f>
        <v>GRAD.F.01,GRAD.FOTB.01,GRAD.FC.01,GRAD.FMB.02</v>
      </c>
      <c r="D46" s="31" t="s">
        <v>920</v>
      </c>
      <c r="E46" s="31" t="s">
        <v>920</v>
      </c>
      <c r="F46" s="31" t="s">
        <v>920</v>
      </c>
      <c r="G46" s="31" t="s">
        <v>920</v>
      </c>
      <c r="H46" s="31" t="s">
        <v>920</v>
      </c>
      <c r="I46" s="31" t="s">
        <v>920</v>
      </c>
    </row>
    <row r="47" ht="14.25" customHeight="1">
      <c r="A47" s="14" t="s">
        <v>968</v>
      </c>
      <c r="B47" s="32" t="s">
        <v>171</v>
      </c>
      <c r="C47" s="30" t="str">
        <f>IFERROR(__xludf.DUMMYFUNCTION("JOIN("","",FILTER(Disciplinas!A:A, regexmatch(Disciplinas!C:C, B47)))"),"GRAD.GMS.01,GRAD.NMP.04,GRAD.GMS.02")</f>
        <v>GRAD.GMS.01,GRAD.NMP.04,GRAD.GMS.02</v>
      </c>
      <c r="D47" s="31" t="s">
        <v>920</v>
      </c>
      <c r="E47" s="31" t="s">
        <v>920</v>
      </c>
      <c r="F47" s="31" t="s">
        <v>920</v>
      </c>
      <c r="G47" s="31" t="s">
        <v>920</v>
      </c>
      <c r="H47" s="31" t="s">
        <v>920</v>
      </c>
      <c r="I47" s="31" t="s">
        <v>920</v>
      </c>
    </row>
    <row r="48" ht="14.25" customHeight="1">
      <c r="A48" s="14" t="s">
        <v>969</v>
      </c>
      <c r="B48" s="32" t="s">
        <v>195</v>
      </c>
      <c r="C48" s="30" t="str">
        <f>IFERROR(__xludf.DUMMYFUNCTION("JOIN("","",FILTER(Disciplinas!A:A, regexmatch(Disciplinas!C:C, B48)))"),"GRAD.MA.1")</f>
        <v>GRAD.MA.1</v>
      </c>
      <c r="D48" s="31" t="s">
        <v>920</v>
      </c>
      <c r="E48" s="31" t="s">
        <v>920</v>
      </c>
      <c r="F48" s="31" t="s">
        <v>920</v>
      </c>
      <c r="G48" s="31" t="s">
        <v>920</v>
      </c>
      <c r="H48" s="31" t="s">
        <v>920</v>
      </c>
      <c r="I48" s="31" t="s">
        <v>920</v>
      </c>
    </row>
    <row r="49" ht="14.25" customHeight="1">
      <c r="A49" s="14" t="s">
        <v>970</v>
      </c>
      <c r="B49" s="32" t="s">
        <v>177</v>
      </c>
      <c r="C49" s="30" t="str">
        <f>IFERROR(__xludf.DUMMYFUNCTION("JOIN("","",FILTER(Disciplinas!A:A, regexmatch(Disciplinas!C:C, B49)))"),"GRAD.OSV.01,GRAD.MOV.01")</f>
        <v>GRAD.OSV.01,GRAD.MOV.01</v>
      </c>
      <c r="D49" s="31" t="s">
        <v>920</v>
      </c>
      <c r="E49" s="31" t="s">
        <v>920</v>
      </c>
      <c r="F49" s="31" t="s">
        <v>920</v>
      </c>
      <c r="G49" s="31" t="s">
        <v>920</v>
      </c>
      <c r="H49" s="31" t="s">
        <v>920</v>
      </c>
      <c r="I49" s="31" t="s">
        <v>920</v>
      </c>
    </row>
    <row r="50" ht="14.25" customHeight="1">
      <c r="A50" s="14" t="s">
        <v>971</v>
      </c>
      <c r="B50" s="32" t="s">
        <v>180</v>
      </c>
      <c r="C50" s="30" t="str">
        <f>IFERROR(__xludf.DUMMYFUNCTION("JOIN("","",FILTER(Disciplinas!A:A, regexmatch(Disciplinas!C:C, B50)))"),"GRAD.QO.01,GRAD.AO.02")</f>
        <v>GRAD.QO.01,GRAD.AO.02</v>
      </c>
      <c r="D50" s="31" t="s">
        <v>920</v>
      </c>
      <c r="E50" s="31" t="s">
        <v>920</v>
      </c>
      <c r="F50" s="31" t="s">
        <v>920</v>
      </c>
      <c r="G50" s="31" t="s">
        <v>920</v>
      </c>
      <c r="H50" s="31" t="s">
        <v>920</v>
      </c>
      <c r="I50" s="31" t="s">
        <v>920</v>
      </c>
    </row>
    <row r="51" ht="14.25" customHeight="1">
      <c r="A51" s="14" t="s">
        <v>972</v>
      </c>
      <c r="B51" s="32" t="s">
        <v>386</v>
      </c>
      <c r="C51" s="30" t="str">
        <f>IFERROR(__xludf.DUMMYFUNCTION("JOIN("","",FILTER(Disciplinas!A:A, regexmatch(Disciplinas!C:C, B51)))"),"GRAD. ZV.01,GRAD.EG.03,GRAD.ACV.02,GRAD.EPC.01,GRAD.ACV.01")</f>
        <v>GRAD. ZV.01,GRAD.EG.03,GRAD.ACV.02,GRAD.EPC.01,GRAD.ACV.01</v>
      </c>
      <c r="D51" s="31" t="s">
        <v>920</v>
      </c>
      <c r="E51" s="31" t="s">
        <v>920</v>
      </c>
      <c r="F51" s="31" t="s">
        <v>920</v>
      </c>
      <c r="G51" s="31" t="s">
        <v>920</v>
      </c>
      <c r="H51" s="31" t="s">
        <v>920</v>
      </c>
      <c r="I51" s="31" t="s">
        <v>920</v>
      </c>
    </row>
    <row r="52" ht="14.25" customHeight="1">
      <c r="A52" s="14" t="s">
        <v>973</v>
      </c>
      <c r="B52" s="32" t="s">
        <v>147</v>
      </c>
      <c r="C52" s="30" t="str">
        <f>IFERROR(__xludf.DUMMYFUNCTION("JOIN("","",FILTER(Disciplinas!A:A, regexmatch(Disciplinas!C:C, B52)))"),"GRAD.BC.12,GRAD.AV.1,GRAD.LPB.01")</f>
        <v>GRAD.BC.12,GRAD.AV.1,GRAD.LPB.01</v>
      </c>
      <c r="D52" s="31" t="s">
        <v>920</v>
      </c>
      <c r="E52" s="31" t="s">
        <v>920</v>
      </c>
      <c r="F52" s="31" t="s">
        <v>920</v>
      </c>
      <c r="G52" s="31" t="s">
        <v>920</v>
      </c>
      <c r="H52" s="31" t="s">
        <v>920</v>
      </c>
      <c r="I52" s="31" t="s">
        <v>920</v>
      </c>
    </row>
    <row r="53" ht="14.25" customHeight="1">
      <c r="A53" s="14" t="s">
        <v>974</v>
      </c>
      <c r="B53" s="32" t="s">
        <v>975</v>
      </c>
      <c r="C53" s="30" t="str">
        <f>IFERROR(__xludf.DUMMYFUNCTION("JOIN("","",FILTER(Disciplinas!A:A, regexmatch(Disciplinas!C:C, B53)))"),"#N/A")</f>
        <v>#N/A</v>
      </c>
      <c r="D53" s="31" t="s">
        <v>920</v>
      </c>
      <c r="E53" s="31" t="s">
        <v>920</v>
      </c>
      <c r="F53" s="31" t="s">
        <v>920</v>
      </c>
      <c r="G53" s="31" t="s">
        <v>920</v>
      </c>
      <c r="H53" s="31" t="s">
        <v>920</v>
      </c>
      <c r="I53" s="31" t="s">
        <v>920</v>
      </c>
    </row>
    <row r="54" ht="14.25" customHeight="1">
      <c r="A54" s="14" t="s">
        <v>976</v>
      </c>
      <c r="B54" s="32" t="s">
        <v>189</v>
      </c>
      <c r="C54" s="30" t="str">
        <f>IFERROR(__xludf.DUMMYFUNCTION("JOIN("","",FILTER(Disciplinas!A:A, regexmatch(Disciplinas!C:C, B54)))"),"GRAD.EG.05,GRAD.EA.31")</f>
        <v>GRAD.EG.05,GRAD.EA.31</v>
      </c>
      <c r="D54" s="31" t="s">
        <v>920</v>
      </c>
      <c r="E54" s="31" t="s">
        <v>920</v>
      </c>
      <c r="F54" s="31" t="s">
        <v>920</v>
      </c>
      <c r="G54" s="31" t="s">
        <v>920</v>
      </c>
      <c r="H54" s="31" t="s">
        <v>920</v>
      </c>
      <c r="I54" s="31" t="s">
        <v>920</v>
      </c>
    </row>
    <row r="55" ht="14.25" customHeight="1">
      <c r="A55" s="14" t="s">
        <v>977</v>
      </c>
      <c r="B55" s="32" t="s">
        <v>192</v>
      </c>
      <c r="C55" s="30" t="str">
        <f>IFERROR(__xludf.DUMMYFUNCTION("JOIN("","",FILTER(Disciplinas!A:A, regexmatch(Disciplinas!C:C, B55)))"),"GRAD.FS.01,GRAD.CLS.01")</f>
        <v>GRAD.FS.01,GRAD.CLS.01</v>
      </c>
      <c r="D55" s="31" t="s">
        <v>920</v>
      </c>
      <c r="E55" s="31" t="s">
        <v>920</v>
      </c>
      <c r="F55" s="31" t="s">
        <v>920</v>
      </c>
      <c r="G55" s="31" t="s">
        <v>920</v>
      </c>
      <c r="H55" s="31" t="s">
        <v>920</v>
      </c>
      <c r="I55" s="31" t="s">
        <v>920</v>
      </c>
    </row>
    <row r="56" ht="14.25" customHeight="1">
      <c r="A56" s="14" t="s">
        <v>978</v>
      </c>
      <c r="B56" s="32" t="s">
        <v>198</v>
      </c>
      <c r="C56" s="30" t="str">
        <f>IFERROR(__xludf.DUMMYFUNCTION("JOIN("","",FILTER(Disciplinas!A:A, regexmatch(Disciplinas!C:C, B56)))"),"GRAD.QA.01,GRAD.QAAI.01")</f>
        <v>GRAD.QA.01,GRAD.QAAI.01</v>
      </c>
      <c r="D56" s="31" t="s">
        <v>920</v>
      </c>
      <c r="E56" s="31" t="s">
        <v>920</v>
      </c>
      <c r="F56" s="31" t="s">
        <v>920</v>
      </c>
      <c r="G56" s="31" t="s">
        <v>920</v>
      </c>
      <c r="H56" s="31" t="s">
        <v>920</v>
      </c>
      <c r="I56" s="31" t="s">
        <v>920</v>
      </c>
    </row>
    <row r="57" ht="14.25" customHeight="1">
      <c r="A57" s="14" t="s">
        <v>979</v>
      </c>
      <c r="B57" s="32" t="s">
        <v>95</v>
      </c>
      <c r="C57" s="30" t="str">
        <f>IFERROR(__xludf.DUMMYFUNCTION("JOIN("","",FILTER(Disciplinas!A:A, regexmatch(Disciplinas!C:C, B57)))"),"RAGROP-RV.1,RAGROP-RV.1,GRAD.RAD.01")</f>
        <v>RAGROP-RV.1,RAGROP-RV.1,GRAD.RAD.01</v>
      </c>
      <c r="D57" s="31" t="s">
        <v>920</v>
      </c>
      <c r="E57" s="31" t="s">
        <v>920</v>
      </c>
      <c r="F57" s="31" t="s">
        <v>920</v>
      </c>
      <c r="G57" s="31" t="s">
        <v>920</v>
      </c>
      <c r="H57" s="31" t="s">
        <v>920</v>
      </c>
      <c r="I57" s="31" t="s">
        <v>920</v>
      </c>
    </row>
    <row r="58" ht="14.25" customHeight="1">
      <c r="A58" s="14" t="s">
        <v>980</v>
      </c>
      <c r="B58" s="32" t="s">
        <v>449</v>
      </c>
      <c r="C58" s="30" t="str">
        <f>IFERROR(__xludf.DUMMYFUNCTION("JOIN("","",FILTER(Disciplinas!A:A, regexmatch(Disciplinas!C:C, B58)))"),"GRAD.BB.01,GRAD.FV.05,GRAD.FV.02")</f>
        <v>GRAD.BB.01,GRAD.FV.05,GRAD.FV.02</v>
      </c>
      <c r="D58" s="31" t="s">
        <v>920</v>
      </c>
      <c r="E58" s="31" t="s">
        <v>920</v>
      </c>
      <c r="F58" s="31" t="s">
        <v>920</v>
      </c>
      <c r="G58" s="31" t="s">
        <v>920</v>
      </c>
      <c r="H58" s="31" t="s">
        <v>920</v>
      </c>
      <c r="I58" s="31" t="s">
        <v>920</v>
      </c>
    </row>
    <row r="59" ht="14.25" customHeight="1">
      <c r="A59" s="14" t="s">
        <v>981</v>
      </c>
      <c r="B59" s="32" t="s">
        <v>643</v>
      </c>
      <c r="C59" s="30" t="str">
        <f>IFERROR(__xludf.DUMMYFUNCTION("JOIN("","",FILTER(Disciplinas!A:A, regexmatch(Disciplinas!C:C, B59)))"),"GRAD.TOPOG.01,GRAD.G.01,GRAD.GEOPROCESS.01")</f>
        <v>GRAD.TOPOG.01,GRAD.G.01,GRAD.GEOPROCESS.01</v>
      </c>
      <c r="D59" s="31" t="s">
        <v>920</v>
      </c>
      <c r="E59" s="31" t="s">
        <v>920</v>
      </c>
      <c r="F59" s="31" t="s">
        <v>920</v>
      </c>
      <c r="G59" s="31" t="s">
        <v>920</v>
      </c>
      <c r="H59" s="31" t="s">
        <v>920</v>
      </c>
      <c r="I59" s="31" t="s">
        <v>920</v>
      </c>
    </row>
    <row r="60" ht="14.25" customHeight="1">
      <c r="A60" s="14" t="s">
        <v>982</v>
      </c>
      <c r="B60" s="32" t="s">
        <v>428</v>
      </c>
      <c r="C60" s="30" t="str">
        <f>IFERROR(__xludf.DUMMYFUNCTION("JOIN("","",FILTER(Disciplinas!A:A, regexmatch(Disciplinas!C:C, B60)))"),"GRAD.GENéT.01")</f>
        <v>GRAD.GENéT.01</v>
      </c>
      <c r="D60" s="31" t="s">
        <v>920</v>
      </c>
      <c r="E60" s="31" t="s">
        <v>920</v>
      </c>
      <c r="F60" s="31" t="s">
        <v>920</v>
      </c>
      <c r="G60" s="31" t="s">
        <v>920</v>
      </c>
      <c r="H60" s="31" t="s">
        <v>920</v>
      </c>
      <c r="I60" s="31" t="s">
        <v>920</v>
      </c>
    </row>
    <row r="61" ht="14.25" customHeight="1">
      <c r="A61" s="14" t="s">
        <v>983</v>
      </c>
      <c r="B61" s="32" t="s">
        <v>454</v>
      </c>
      <c r="C61" s="30" t="str">
        <f>IFERROR(__xludf.DUMMYFUNCTION("JOIN("","",FILTER(Disciplinas!A:A, regexmatch(Disciplinas!C:C, B61)))"),"GRAD.IMUNOL.01,GRAD.BIOTECNOLOG.01,CTBIOTRV.23")</f>
        <v>GRAD.IMUNOL.01,GRAD.BIOTECNOLOG.01,CTBIOTRV.23</v>
      </c>
      <c r="D61" s="31" t="s">
        <v>920</v>
      </c>
      <c r="E61" s="31" t="s">
        <v>920</v>
      </c>
      <c r="F61" s="31" t="s">
        <v>920</v>
      </c>
      <c r="G61" s="31" t="s">
        <v>920</v>
      </c>
      <c r="H61" s="31" t="s">
        <v>920</v>
      </c>
      <c r="I61" s="31" t="s">
        <v>920</v>
      </c>
    </row>
    <row r="62" ht="14.25" customHeight="1">
      <c r="A62" s="14" t="s">
        <v>984</v>
      </c>
      <c r="B62" s="32" t="s">
        <v>218</v>
      </c>
      <c r="C62" s="30" t="str">
        <f>IFERROR(__xludf.DUMMYFUNCTION("JOIN("","",FILTER(Disciplinas!A:A, regexmatch(Disciplinas!C:C, B62)))"),"GRAD.CIR.01,GRAD.CSFGAM.01,GRAD.CIR.02")</f>
        <v>GRAD.CIR.01,GRAD.CSFGAM.01,GRAD.CIR.02</v>
      </c>
      <c r="D62" s="31" t="s">
        <v>920</v>
      </c>
      <c r="E62" s="31" t="s">
        <v>920</v>
      </c>
      <c r="F62" s="31" t="s">
        <v>920</v>
      </c>
      <c r="G62" s="31" t="s">
        <v>920</v>
      </c>
      <c r="H62" s="31" t="s">
        <v>920</v>
      </c>
      <c r="I62" s="31" t="s">
        <v>920</v>
      </c>
    </row>
    <row r="63" ht="14.25" customHeight="1">
      <c r="A63" s="14" t="s">
        <v>985</v>
      </c>
      <c r="B63" s="32" t="s">
        <v>903</v>
      </c>
      <c r="C63" s="30" t="str">
        <f>IFERROR(__xludf.DUMMYFUNCTION("JOIN("","",FILTER(Disciplinas!A:A, regexmatch(Disciplinas!C:C, B63)))"),"GRAD.PASTAGENS.01")</f>
        <v>GRAD.PASTAGENS.01</v>
      </c>
      <c r="D63" s="31" t="s">
        <v>920</v>
      </c>
      <c r="E63" s="31" t="s">
        <v>920</v>
      </c>
      <c r="F63" s="31" t="s">
        <v>920</v>
      </c>
      <c r="G63" s="31" t="s">
        <v>920</v>
      </c>
      <c r="H63" s="31" t="s">
        <v>920</v>
      </c>
      <c r="I63" s="31" t="s">
        <v>920</v>
      </c>
    </row>
    <row r="64" ht="14.25" customHeight="1">
      <c r="A64" s="14" t="s">
        <v>986</v>
      </c>
      <c r="B64" s="32" t="s">
        <v>141</v>
      </c>
      <c r="C64" s="30" t="str">
        <f>IFERROR(__xludf.DUMMYFUNCTION("JOIN("","",FILTER(Disciplinas!A:A, regexmatch(Disciplinas!C:C, B64)))"),"GRAD.SA.01,GRAD.EIA.02")</f>
        <v>GRAD.SA.01,GRAD.EIA.02</v>
      </c>
      <c r="D64" s="31" t="s">
        <v>920</v>
      </c>
      <c r="E64" s="31" t="s">
        <v>920</v>
      </c>
      <c r="F64" s="31" t="s">
        <v>920</v>
      </c>
      <c r="G64" s="31" t="s">
        <v>920</v>
      </c>
      <c r="H64" s="31" t="s">
        <v>920</v>
      </c>
      <c r="I64" s="31" t="s">
        <v>920</v>
      </c>
    </row>
    <row r="65" ht="14.25" customHeight="1">
      <c r="A65" s="14" t="s">
        <v>987</v>
      </c>
      <c r="B65" s="32" t="s">
        <v>885</v>
      </c>
      <c r="C65" s="30" t="str">
        <f>IFERROR(__xludf.DUMMYFUNCTION("JOIN("","",FILTER(Disciplinas!A:A, regexmatch(Disciplinas!C:C, B65)))"),"GRAD.FV.05,GRAD.FV.03")</f>
        <v>GRAD.FV.05,GRAD.FV.03</v>
      </c>
      <c r="D65" s="31" t="s">
        <v>920</v>
      </c>
      <c r="E65" s="31" t="s">
        <v>920</v>
      </c>
      <c r="F65" s="31" t="s">
        <v>920</v>
      </c>
      <c r="G65" s="31" t="s">
        <v>920</v>
      </c>
      <c r="H65" s="31" t="s">
        <v>920</v>
      </c>
      <c r="I65" s="31" t="s">
        <v>920</v>
      </c>
    </row>
    <row r="66" ht="14.25" customHeight="1">
      <c r="A66" s="14" t="s">
        <v>988</v>
      </c>
      <c r="B66" s="32" t="s">
        <v>989</v>
      </c>
      <c r="C66" s="30" t="str">
        <f>IFERROR(__xludf.DUMMYFUNCTION("JOIN("","",FILTER(Disciplinas!A:A, regexmatch(Disciplinas!C:C, B66)))"),"#N/A")</f>
        <v>#N/A</v>
      </c>
      <c r="D66" s="31" t="s">
        <v>920</v>
      </c>
      <c r="E66" s="31" t="s">
        <v>920</v>
      </c>
      <c r="F66" s="31" t="s">
        <v>920</v>
      </c>
      <c r="G66" s="31" t="s">
        <v>920</v>
      </c>
      <c r="H66" s="31" t="s">
        <v>920</v>
      </c>
      <c r="I66" s="31" t="s">
        <v>920</v>
      </c>
    </row>
    <row r="67" ht="14.25" customHeight="1">
      <c r="A67" s="14" t="s">
        <v>990</v>
      </c>
      <c r="B67" s="32" t="s">
        <v>134</v>
      </c>
      <c r="C67" s="30" t="str">
        <f>IFERROR(__xludf.DUMMYFUNCTION("JOIN("","",FILTER(Disciplinas!A:A, regexmatch(Disciplinas!C:C, B67)))"),"GRAD.AP.02,GRAD.FS.02,GRAD.FS.03")</f>
        <v>GRAD.AP.02,GRAD.FS.02,GRAD.FS.03</v>
      </c>
      <c r="D67" s="31" t="s">
        <v>920</v>
      </c>
      <c r="E67" s="31" t="s">
        <v>920</v>
      </c>
      <c r="F67" s="31" t="s">
        <v>920</v>
      </c>
      <c r="G67" s="31" t="s">
        <v>920</v>
      </c>
      <c r="H67" s="31" t="s">
        <v>920</v>
      </c>
      <c r="I67" s="31" t="s">
        <v>920</v>
      </c>
    </row>
    <row r="68" ht="14.25" customHeight="1">
      <c r="A68" s="14" t="s">
        <v>991</v>
      </c>
      <c r="B68" s="32" t="s">
        <v>232</v>
      </c>
      <c r="C68" s="30" t="str">
        <f>IFERROR(__xludf.DUMMYFUNCTION("JOIN("","",FILTER(Disciplinas!A:A, regexmatch(Disciplinas!C:C, B68)))"),"GRAD.PD.01,GRAD.PP.39")</f>
        <v>GRAD.PD.01,GRAD.PP.39</v>
      </c>
      <c r="D68" s="31" t="s">
        <v>920</v>
      </c>
      <c r="E68" s="31" t="s">
        <v>920</v>
      </c>
      <c r="F68" s="31" t="s">
        <v>920</v>
      </c>
      <c r="G68" s="31" t="s">
        <v>920</v>
      </c>
      <c r="H68" s="31" t="s">
        <v>920</v>
      </c>
      <c r="I68" s="31" t="s">
        <v>920</v>
      </c>
    </row>
    <row r="69" ht="14.25" customHeight="1">
      <c r="A69" s="14" t="s">
        <v>992</v>
      </c>
      <c r="B69" s="32" t="s">
        <v>993</v>
      </c>
      <c r="C69" s="30" t="str">
        <f>IFERROR(__xludf.DUMMYFUNCTION("JOIN("","",FILTER(Disciplinas!A:A, regexmatch(Disciplinas!C:C, B69)))"),"GRAD.ZI.01")</f>
        <v>GRAD.ZI.01</v>
      </c>
      <c r="D69" s="31" t="s">
        <v>920</v>
      </c>
      <c r="E69" s="31" t="s">
        <v>920</v>
      </c>
      <c r="F69" s="31" t="s">
        <v>920</v>
      </c>
      <c r="G69" s="31" t="s">
        <v>920</v>
      </c>
      <c r="H69" s="31" t="s">
        <v>920</v>
      </c>
      <c r="I69" s="31" t="s">
        <v>920</v>
      </c>
    </row>
    <row r="70" ht="14.25" customHeight="1">
      <c r="A70" s="14" t="s">
        <v>994</v>
      </c>
      <c r="B70" s="32" t="s">
        <v>39</v>
      </c>
      <c r="C70" s="30" t="str">
        <f>IFERROR(__xludf.DUMMYFUNCTION("JOIN("","",FILTER(Disciplinas!A:A, regexmatch(Disciplinas!C:C, B70)))"),"RV.PRO13,RV.PRO14,RV.INF619,GRAD.CáLCULO.01")</f>
        <v>RV.PRO13,RV.PRO14,RV.INF619,GRAD.CáLCULO.01</v>
      </c>
      <c r="D70" s="31" t="s">
        <v>920</v>
      </c>
      <c r="E70" s="31" t="s">
        <v>920</v>
      </c>
      <c r="F70" s="31" t="s">
        <v>920</v>
      </c>
      <c r="G70" s="31" t="s">
        <v>920</v>
      </c>
      <c r="H70" s="31" t="s">
        <v>920</v>
      </c>
      <c r="I70" s="31" t="s">
        <v>920</v>
      </c>
    </row>
    <row r="71" ht="14.25" customHeight="1">
      <c r="A71" s="14" t="s">
        <v>995</v>
      </c>
      <c r="B71" s="32" t="s">
        <v>283</v>
      </c>
      <c r="C71" s="30" t="str">
        <f>IFERROR(__xludf.DUMMYFUNCTION("JOIN("","",FILTER(Disciplinas!A:A, regexmatch(Disciplinas!C:C, B71)))"),"RVTAL.82,RV.TAL14")</f>
        <v>RVTAL.82,RV.TAL14</v>
      </c>
      <c r="D71" s="31" t="s">
        <v>920</v>
      </c>
      <c r="E71" s="31" t="s">
        <v>920</v>
      </c>
      <c r="F71" s="31" t="s">
        <v>920</v>
      </c>
      <c r="G71" s="31" t="s">
        <v>920</v>
      </c>
      <c r="H71" s="31" t="s">
        <v>920</v>
      </c>
      <c r="I71" s="31" t="s">
        <v>920</v>
      </c>
    </row>
    <row r="72" ht="14.25" customHeight="1">
      <c r="A72" s="14" t="s">
        <v>996</v>
      </c>
      <c r="B72" s="32" t="s">
        <v>326</v>
      </c>
      <c r="C72" s="30" t="str">
        <f>IFERROR(__xludf.DUMMYFUNCTION("JOIN("","",FILTER(Disciplinas!A:A, regexmatch(Disciplinas!C:C, B72)))"),"GRAD.QA.03")</f>
        <v>GRAD.QA.03</v>
      </c>
      <c r="D72" s="31" t="s">
        <v>920</v>
      </c>
      <c r="E72" s="31" t="s">
        <v>920</v>
      </c>
      <c r="F72" s="31" t="s">
        <v>920</v>
      </c>
      <c r="G72" s="31" t="s">
        <v>920</v>
      </c>
      <c r="H72" s="31" t="s">
        <v>920</v>
      </c>
      <c r="I72" s="31" t="s">
        <v>920</v>
      </c>
    </row>
    <row r="73" ht="14.25" customHeight="1">
      <c r="A73" s="14" t="s">
        <v>997</v>
      </c>
      <c r="B73" s="32" t="s">
        <v>359</v>
      </c>
      <c r="C73" s="30" t="str">
        <f>IFERROR(__xludf.DUMMYFUNCTION("JOIN("","",FILTER(Disciplinas!A:A, regexmatch(Disciplinas!C:C, B73)))"),"RV.HUM223,GRAD.FSHE.01,GRAD.FSHE.01,GRAD.ECRER.01")</f>
        <v>RV.HUM223,GRAD.FSHE.01,GRAD.FSHE.01,GRAD.ECRER.01</v>
      </c>
      <c r="D73" s="31" t="s">
        <v>920</v>
      </c>
      <c r="E73" s="31" t="s">
        <v>920</v>
      </c>
      <c r="F73" s="31" t="s">
        <v>920</v>
      </c>
      <c r="G73" s="31" t="s">
        <v>920</v>
      </c>
      <c r="H73" s="31" t="s">
        <v>920</v>
      </c>
      <c r="I73" s="31" t="s">
        <v>920</v>
      </c>
    </row>
    <row r="74" ht="14.25" customHeight="1">
      <c r="A74" s="14" t="s">
        <v>998</v>
      </c>
      <c r="B74" s="32" t="s">
        <v>999</v>
      </c>
      <c r="C74" s="30" t="str">
        <f>IFERROR(__xludf.DUMMYFUNCTION("JOIN("","",FILTER(Disciplinas!A:A, regexmatch(Disciplinas!C:C, B74)))"),"GRAD.AS.02")</f>
        <v>GRAD.AS.02</v>
      </c>
      <c r="D74" s="31" t="s">
        <v>920</v>
      </c>
      <c r="E74" s="31" t="s">
        <v>920</v>
      </c>
      <c r="F74" s="31" t="s">
        <v>920</v>
      </c>
      <c r="G74" s="31" t="s">
        <v>920</v>
      </c>
      <c r="H74" s="31" t="s">
        <v>920</v>
      </c>
      <c r="I74" s="31" t="s">
        <v>920</v>
      </c>
    </row>
    <row r="75" ht="14.25" customHeight="1">
      <c r="A75" s="14" t="s">
        <v>1000</v>
      </c>
      <c r="B75" s="32" t="s">
        <v>251</v>
      </c>
      <c r="C75" s="30" t="str">
        <f>IFERROR(__xludf.DUMMYFUNCTION("JOIN("","",FILTER(Disciplinas!A:A, regexmatch(Disciplinas!C:C, B75)))"),"GRAD.TPA.01,RV.TAL15,GRAD.HIL.01")</f>
        <v>GRAD.TPA.01,RV.TAL15,GRAD.HIL.01</v>
      </c>
      <c r="D75" s="31" t="s">
        <v>920</v>
      </c>
      <c r="E75" s="31" t="s">
        <v>920</v>
      </c>
      <c r="F75" s="31" t="s">
        <v>920</v>
      </c>
      <c r="G75" s="31" t="s">
        <v>920</v>
      </c>
      <c r="H75" s="31" t="s">
        <v>920</v>
      </c>
      <c r="I75" s="31" t="s">
        <v>920</v>
      </c>
    </row>
    <row r="76" ht="14.25" customHeight="1">
      <c r="A76" s="14" t="s">
        <v>1001</v>
      </c>
      <c r="B76" s="32" t="s">
        <v>352</v>
      </c>
      <c r="C76" s="30" t="str">
        <f>IFERROR(__xludf.DUMMYFUNCTION("JOIN("","",FILTER(Disciplinas!A:A, regexmatch(Disciplinas!C:C, B76)))"),"GRAD.BIOENG.01,GRAD.OU.02,RV.TAL727")</f>
        <v>GRAD.BIOENG.01,GRAD.OU.02,RV.TAL727</v>
      </c>
      <c r="D76" s="31" t="s">
        <v>920</v>
      </c>
      <c r="E76" s="31" t="s">
        <v>920</v>
      </c>
      <c r="F76" s="31" t="s">
        <v>920</v>
      </c>
      <c r="G76" s="31" t="s">
        <v>920</v>
      </c>
      <c r="H76" s="31" t="s">
        <v>920</v>
      </c>
      <c r="I76" s="31" t="s">
        <v>920</v>
      </c>
    </row>
    <row r="77" ht="14.25" customHeight="1">
      <c r="A77" s="14" t="s">
        <v>1002</v>
      </c>
      <c r="B77" s="32" t="s">
        <v>286</v>
      </c>
      <c r="C77" s="30" t="str">
        <f>IFERROR(__xludf.DUMMYFUNCTION("JOIN("","",FILTER(Disciplinas!A:A, regexmatch(Disciplinas!C:C, B77)))"),"RV.TAL13,GRAD.LA.01,GRAD.DT.02,GRAD.GRS.02,GRAD.LA.01")</f>
        <v>RV.TAL13,GRAD.LA.01,GRAD.DT.02,GRAD.GRS.02,GRAD.LA.01</v>
      </c>
      <c r="D77" s="31" t="s">
        <v>920</v>
      </c>
      <c r="E77" s="31" t="s">
        <v>920</v>
      </c>
      <c r="F77" s="31" t="s">
        <v>920</v>
      </c>
      <c r="G77" s="31" t="s">
        <v>920</v>
      </c>
      <c r="H77" s="31" t="s">
        <v>920</v>
      </c>
      <c r="I77" s="31" t="s">
        <v>920</v>
      </c>
    </row>
    <row r="78" ht="14.25" customHeight="1">
      <c r="A78" s="14" t="s">
        <v>1003</v>
      </c>
      <c r="B78" s="32" t="s">
        <v>278</v>
      </c>
      <c r="C78" s="30" t="str">
        <f>IFERROR(__xludf.DUMMYFUNCTION("JOIN("","",FILTER(Disciplinas!A:A, regexmatch(Disciplinas!C:C, B78)))"),"RV.TAL12,RV.TAL712,GRAD.MICROBIOL.01")</f>
        <v>RV.TAL12,RV.TAL712,GRAD.MICROBIOL.01</v>
      </c>
      <c r="D78" s="31" t="s">
        <v>920</v>
      </c>
      <c r="E78" s="31" t="s">
        <v>920</v>
      </c>
      <c r="F78" s="31" t="s">
        <v>920</v>
      </c>
      <c r="G78" s="31" t="s">
        <v>920</v>
      </c>
      <c r="H78" s="31" t="s">
        <v>920</v>
      </c>
      <c r="I78" s="31" t="s">
        <v>920</v>
      </c>
    </row>
    <row r="79" ht="14.25" customHeight="1">
      <c r="A79" s="14" t="s">
        <v>1004</v>
      </c>
      <c r="B79" s="32" t="s">
        <v>275</v>
      </c>
      <c r="C79" s="30" t="str">
        <f>IFERROR(__xludf.DUMMYFUNCTION("JOIN("","",FILTER(Disciplinas!A:A, regexmatch(Disciplinas!C:C, B79)))"),"RV.TAL11,RV.TAL16,GRAD.BA.01,GRAD.AS.02,GRAD.TLD.01,CTBIOTRV.14")</f>
        <v>RV.TAL11,RV.TAL16,GRAD.BA.01,GRAD.AS.02,GRAD.TLD.01,CTBIOTRV.14</v>
      </c>
      <c r="D79" s="31" t="s">
        <v>920</v>
      </c>
      <c r="E79" s="31" t="s">
        <v>920</v>
      </c>
      <c r="F79" s="31" t="s">
        <v>920</v>
      </c>
      <c r="G79" s="31" t="s">
        <v>920</v>
      </c>
      <c r="H79" s="31" t="s">
        <v>920</v>
      </c>
      <c r="I79" s="31" t="s">
        <v>920</v>
      </c>
    </row>
    <row r="80" ht="14.25" customHeight="1">
      <c r="A80" s="14" t="s">
        <v>1005</v>
      </c>
      <c r="B80" s="32" t="s">
        <v>1006</v>
      </c>
      <c r="C80" s="30" t="str">
        <f>IFERROR(__xludf.DUMMYFUNCTION("JOIN("","",FILTER(Disciplinas!A:A, regexmatch(Disciplinas!C:C, B80)))"),"#N/A")</f>
        <v>#N/A</v>
      </c>
      <c r="D80" s="31" t="s">
        <v>920</v>
      </c>
      <c r="E80" s="31" t="s">
        <v>920</v>
      </c>
      <c r="F80" s="31" t="s">
        <v>920</v>
      </c>
      <c r="G80" s="31" t="s">
        <v>920</v>
      </c>
      <c r="H80" s="31" t="s">
        <v>920</v>
      </c>
      <c r="I80" s="31" t="s">
        <v>920</v>
      </c>
    </row>
    <row r="81" ht="14.25" customHeight="1">
      <c r="A81" s="14" t="s">
        <v>1007</v>
      </c>
      <c r="B81" s="32" t="s">
        <v>261</v>
      </c>
      <c r="C81" s="30" t="str">
        <f>IFERROR(__xludf.DUMMYFUNCTION("JOIN("","",FILTER(Disciplinas!A:A, regexmatch(Disciplinas!C:C, B81)))"),"RV.INF207,RV.AGR424")</f>
        <v>RV.INF207,RV.AGR424</v>
      </c>
      <c r="D81" s="31" t="s">
        <v>920</v>
      </c>
      <c r="E81" s="31" t="s">
        <v>920</v>
      </c>
      <c r="F81" s="31" t="s">
        <v>920</v>
      </c>
      <c r="G81" s="31" t="s">
        <v>920</v>
      </c>
      <c r="H81" s="31" t="s">
        <v>920</v>
      </c>
      <c r="I81" s="31" t="s">
        <v>920</v>
      </c>
    </row>
    <row r="82" ht="14.25" customHeight="1">
      <c r="A82" s="14" t="s">
        <v>1008</v>
      </c>
      <c r="B82" s="32" t="s">
        <v>402</v>
      </c>
      <c r="C82" s="30" t="str">
        <f>IFERROR(__xludf.DUMMYFUNCTION("JOIN("","",FILTER(Disciplinas!A:A, regexmatch(Disciplinas!C:C, B82)))"),"GRAD.BB.01,GRAD.MG.02,GRAD.MA.01,CTBIOTRV.26,GRAD.MA.01,RV.PRO50")</f>
        <v>GRAD.BB.01,GRAD.MG.02,GRAD.MA.01,CTBIOTRV.26,GRAD.MA.01,RV.PRO50</v>
      </c>
      <c r="D82" s="31" t="s">
        <v>920</v>
      </c>
      <c r="E82" s="31" t="s">
        <v>920</v>
      </c>
      <c r="F82" s="31" t="s">
        <v>920</v>
      </c>
      <c r="G82" s="31" t="s">
        <v>920</v>
      </c>
      <c r="H82" s="31" t="s">
        <v>920</v>
      </c>
      <c r="I82" s="31" t="s">
        <v>920</v>
      </c>
    </row>
    <row r="83" ht="14.25" customHeight="1">
      <c r="A83" s="14" t="s">
        <v>1009</v>
      </c>
      <c r="B83" s="32" t="s">
        <v>876</v>
      </c>
      <c r="C83" s="30" t="str">
        <f>IFERROR(__xludf.DUMMYFUNCTION("JOIN("","",FILTER(Disciplinas!A:A, regexmatch(Disciplinas!C:C, B83)))"),"GRAD.IBPZ.01,GRAD.GENéTICA.01")</f>
        <v>GRAD.IBPZ.01,GRAD.GENéTICA.01</v>
      </c>
      <c r="D83" s="31" t="s">
        <v>920</v>
      </c>
      <c r="E83" s="31" t="s">
        <v>920</v>
      </c>
      <c r="F83" s="31" t="s">
        <v>920</v>
      </c>
      <c r="G83" s="31" t="s">
        <v>920</v>
      </c>
      <c r="H83" s="31" t="s">
        <v>920</v>
      </c>
      <c r="I83" s="31" t="s">
        <v>920</v>
      </c>
    </row>
    <row r="84" ht="14.25" customHeight="1">
      <c r="A84" s="14" t="s">
        <v>1010</v>
      </c>
      <c r="B84" s="32" t="s">
        <v>163</v>
      </c>
      <c r="C84" s="30" t="str">
        <f>IFERROR(__xludf.DUMMYFUNCTION("JOIN("","",FILTER(Disciplinas!A:A, regexmatch(Disciplinas!C:C, B84)))"),"GRAD.QG.01,GRAD.FQ.02,GRAD.ENQ.FQ-I.16,GRAD.FQ.01")</f>
        <v>GRAD.QG.01,GRAD.FQ.02,GRAD.ENQ.FQ-I.16,GRAD.FQ.01</v>
      </c>
      <c r="D84" s="31" t="s">
        <v>920</v>
      </c>
      <c r="E84" s="31" t="s">
        <v>920</v>
      </c>
      <c r="F84" s="31" t="s">
        <v>920</v>
      </c>
      <c r="G84" s="31" t="s">
        <v>920</v>
      </c>
      <c r="H84" s="31" t="s">
        <v>920</v>
      </c>
      <c r="I84" s="31" t="s">
        <v>920</v>
      </c>
    </row>
    <row r="85" ht="14.25" customHeight="1">
      <c r="A85" s="14" t="s">
        <v>1011</v>
      </c>
      <c r="B85" s="32" t="s">
        <v>322</v>
      </c>
      <c r="C85" s="30" t="str">
        <f>IFERROR(__xludf.DUMMYFUNCTION("JOIN("","",FILTER(Disciplinas!A:A, regexmatch(Disciplinas!C:C, B85)))"),"GRAD.FT.01,GRAD.BIOENG.01,GRAD.ENQ.FT-I.25")</f>
        <v>GRAD.FT.01,GRAD.BIOENG.01,GRAD.ENQ.FT-I.25</v>
      </c>
      <c r="D85" s="31" t="s">
        <v>920</v>
      </c>
      <c r="E85" s="31" t="s">
        <v>920</v>
      </c>
      <c r="F85" s="31" t="s">
        <v>920</v>
      </c>
      <c r="G85" s="31" t="s">
        <v>920</v>
      </c>
      <c r="H85" s="31" t="s">
        <v>920</v>
      </c>
      <c r="I85" s="31" t="s">
        <v>920</v>
      </c>
    </row>
    <row r="86" ht="14.25" customHeight="1">
      <c r="A86" s="14" t="s">
        <v>1012</v>
      </c>
      <c r="B86" s="32" t="s">
        <v>317</v>
      </c>
      <c r="C86" s="30" t="str">
        <f>IFERROR(__xludf.DUMMYFUNCTION("JOIN("","",FILTER(Disciplinas!A:A, regexmatch(Disciplinas!C:C, B86)))"),"GRAD.CN.01,GRAD.CDI.04,GRAD.CN.01")</f>
        <v>GRAD.CN.01,GRAD.CDI.04,GRAD.CN.01</v>
      </c>
      <c r="D86" s="31" t="s">
        <v>920</v>
      </c>
      <c r="E86" s="31" t="s">
        <v>920</v>
      </c>
      <c r="F86" s="31" t="s">
        <v>920</v>
      </c>
      <c r="G86" s="31" t="s">
        <v>920</v>
      </c>
      <c r="H86" s="31" t="s">
        <v>920</v>
      </c>
      <c r="I86" s="31" t="s">
        <v>920</v>
      </c>
    </row>
    <row r="87" ht="14.25" customHeight="1">
      <c r="A87" s="14" t="s">
        <v>1013</v>
      </c>
      <c r="B87" s="32" t="s">
        <v>333</v>
      </c>
      <c r="C87" s="30" t="str">
        <f>IFERROR(__xludf.DUMMYFUNCTION("JOIN("","",FILTER(Disciplinas!A:A, regexmatch(Disciplinas!C:C, B87)))"),"GRAD.FT.03,GRAD.II.01,GRAD.FT.02")</f>
        <v>GRAD.FT.03,GRAD.II.01,GRAD.FT.02</v>
      </c>
      <c r="D87" s="31" t="s">
        <v>920</v>
      </c>
      <c r="E87" s="31" t="s">
        <v>920</v>
      </c>
      <c r="F87" s="31" t="s">
        <v>920</v>
      </c>
      <c r="G87" s="31" t="s">
        <v>920</v>
      </c>
      <c r="H87" s="31" t="s">
        <v>920</v>
      </c>
      <c r="I87" s="31" t="s">
        <v>920</v>
      </c>
    </row>
    <row r="88" ht="14.25" customHeight="1">
      <c r="A88" s="14" t="s">
        <v>1014</v>
      </c>
      <c r="B88" s="32" t="s">
        <v>345</v>
      </c>
      <c r="C88" s="30" t="str">
        <f>IFERROR(__xludf.DUMMYFUNCTION("JOIN("","",FILTER(Disciplinas!A:A, regexmatch(Disciplinas!C:C, B88)))"),"GRAD.ASC.01,GRAD.SD.01,GRAD.ASC.01,GRAD.ELEE.01")</f>
        <v>GRAD.ASC.01,GRAD.SD.01,GRAD.ASC.01,GRAD.ELEE.01</v>
      </c>
      <c r="D88" s="31" t="s">
        <v>920</v>
      </c>
      <c r="E88" s="31" t="s">
        <v>920</v>
      </c>
      <c r="F88" s="31" t="s">
        <v>920</v>
      </c>
      <c r="G88" s="31" t="s">
        <v>920</v>
      </c>
      <c r="H88" s="31" t="s">
        <v>920</v>
      </c>
      <c r="I88" s="31" t="s">
        <v>920</v>
      </c>
    </row>
    <row r="89" ht="14.25" customHeight="1">
      <c r="A89" s="14" t="s">
        <v>1015</v>
      </c>
      <c r="B89" s="32" t="s">
        <v>637</v>
      </c>
      <c r="C89" s="30" t="str">
        <f>IFERROR(__xludf.DUMMYFUNCTION("JOIN("","",FILTER(Disciplinas!A:A, regexmatch(Disciplinas!C:C, B89)))"),"GRAD.POLAGU.01,GRAD.MBH.01,GRAD.TAA.01")</f>
        <v>GRAD.POLAGU.01,GRAD.MBH.01,GRAD.TAA.01</v>
      </c>
      <c r="D89" s="31" t="s">
        <v>920</v>
      </c>
      <c r="E89" s="31" t="s">
        <v>920</v>
      </c>
      <c r="F89" s="31" t="s">
        <v>920</v>
      </c>
      <c r="G89" s="31" t="s">
        <v>920</v>
      </c>
      <c r="H89" s="31" t="s">
        <v>920</v>
      </c>
      <c r="I89" s="31" t="s">
        <v>920</v>
      </c>
    </row>
    <row r="90" ht="14.25" customHeight="1">
      <c r="A90" s="14" t="s">
        <v>1016</v>
      </c>
      <c r="B90" s="32" t="s">
        <v>47</v>
      </c>
      <c r="C90" s="30" t="str">
        <f>IFERROR(__xludf.DUMMYFUNCTION("JOIN("","",FILTER(Disciplinas!A:A, regexmatch(Disciplinas!C:C, B90)))"),"RV.PRO61,GRAD.FíSICA II.01,GRAD.ENQ.FIS-II.09")</f>
        <v>RV.PRO61,GRAD.FíSICA II.01,GRAD.ENQ.FIS-II.09</v>
      </c>
      <c r="D90" s="31" t="s">
        <v>920</v>
      </c>
      <c r="E90" s="31" t="s">
        <v>920</v>
      </c>
      <c r="F90" s="31" t="s">
        <v>920</v>
      </c>
      <c r="G90" s="31" t="s">
        <v>920</v>
      </c>
      <c r="H90" s="31" t="s">
        <v>920</v>
      </c>
      <c r="I90" s="31" t="s">
        <v>920</v>
      </c>
    </row>
    <row r="91" ht="14.25" customHeight="1">
      <c r="A91" s="14" t="s">
        <v>1017</v>
      </c>
      <c r="B91" s="32" t="s">
        <v>415</v>
      </c>
      <c r="C91" s="30" t="str">
        <f>IFERROR(__xludf.DUMMYFUNCTION("JOIN("","",FILTER(Disciplinas!A:A, regexmatch(Disciplinas!C:C, B91)))"),"GRAD.PE.02,GRAD.PE.02")</f>
        <v>GRAD.PE.02,GRAD.PE.02</v>
      </c>
      <c r="D91" s="31" t="s">
        <v>920</v>
      </c>
      <c r="E91" s="31" t="s">
        <v>920</v>
      </c>
      <c r="F91" s="31" t="s">
        <v>920</v>
      </c>
      <c r="G91" s="31" t="s">
        <v>920</v>
      </c>
      <c r="H91" s="31" t="s">
        <v>920</v>
      </c>
      <c r="I91" s="31" t="s">
        <v>920</v>
      </c>
    </row>
    <row r="92" ht="14.25" customHeight="1">
      <c r="A92" s="14" t="s">
        <v>1018</v>
      </c>
      <c r="B92" s="32" t="s">
        <v>869</v>
      </c>
      <c r="C92" s="30" t="str">
        <f>IFERROR(__xludf.DUMMYFUNCTION("JOIN("","",FILTER(Disciplinas!A:A, regexmatch(Disciplinas!C:C, B92)))"),"CTSTRARV.49")</f>
        <v>CTSTRARV.49</v>
      </c>
      <c r="D92" s="31" t="s">
        <v>920</v>
      </c>
      <c r="E92" s="31" t="s">
        <v>920</v>
      </c>
      <c r="F92" s="31" t="s">
        <v>920</v>
      </c>
      <c r="G92" s="31" t="s">
        <v>920</v>
      </c>
      <c r="H92" s="31" t="s">
        <v>920</v>
      </c>
      <c r="I92" s="31" t="s">
        <v>920</v>
      </c>
    </row>
    <row r="93" ht="14.25" customHeight="1">
      <c r="A93" s="14" t="s">
        <v>1019</v>
      </c>
      <c r="B93" s="32" t="s">
        <v>766</v>
      </c>
      <c r="C93" s="30" t="str">
        <f>IFERROR(__xludf.DUMMYFUNCTION("JOIN("","",FILTER(Disciplinas!A:A, regexmatch(Disciplinas!C:C, B93)))"),"RV.QUI737,GRAD.QUIAMB.01")</f>
        <v>RV.QUI737,GRAD.QUIAMB.01</v>
      </c>
      <c r="D93" s="31" t="s">
        <v>920</v>
      </c>
      <c r="E93" s="31" t="s">
        <v>920</v>
      </c>
      <c r="F93" s="31" t="s">
        <v>920</v>
      </c>
      <c r="G93" s="31" t="s">
        <v>920</v>
      </c>
      <c r="H93" s="31" t="s">
        <v>920</v>
      </c>
      <c r="I93" s="31" t="s">
        <v>920</v>
      </c>
    </row>
    <row r="94" ht="14.25" customHeight="1">
      <c r="A94" s="14" t="s">
        <v>1020</v>
      </c>
      <c r="B94" s="32" t="s">
        <v>1021</v>
      </c>
      <c r="C94" s="30" t="str">
        <f>IFERROR(__xludf.DUMMYFUNCTION("JOIN("","",FILTER(Disciplinas!A:A, regexmatch(Disciplinas!C:C, B94)))"),"GRAD.ZI-I.01,GRAD.ZI.01")</f>
        <v>GRAD.ZI-I.01,GRAD.ZI.01</v>
      </c>
      <c r="D94" s="31" t="s">
        <v>920</v>
      </c>
      <c r="E94" s="31" t="s">
        <v>920</v>
      </c>
      <c r="F94" s="31" t="s">
        <v>920</v>
      </c>
      <c r="G94" s="31" t="s">
        <v>920</v>
      </c>
      <c r="H94" s="31" t="s">
        <v>920</v>
      </c>
      <c r="I94" s="31" t="s">
        <v>920</v>
      </c>
    </row>
    <row r="95" ht="14.25" customHeight="1">
      <c r="A95" s="14" t="s">
        <v>1022</v>
      </c>
      <c r="B95" s="32" t="s">
        <v>855</v>
      </c>
      <c r="C95" s="30" t="str">
        <f>IFERROR(__xludf.DUMMYFUNCTION("JOIN("","",FILTER(Disciplinas!A:A, regexmatch(Disciplinas!C:C, B95)))"),"CTSTRARV.23")</f>
        <v>CTSTRARV.23</v>
      </c>
      <c r="D95" s="31" t="s">
        <v>920</v>
      </c>
      <c r="E95" s="31" t="s">
        <v>920</v>
      </c>
      <c r="F95" s="31" t="s">
        <v>920</v>
      </c>
      <c r="G95" s="31" t="s">
        <v>920</v>
      </c>
      <c r="H95" s="31" t="s">
        <v>920</v>
      </c>
      <c r="I95" s="31" t="s">
        <v>920</v>
      </c>
    </row>
    <row r="96" ht="14.25" customHeight="1">
      <c r="A96" s="14" t="s">
        <v>1023</v>
      </c>
      <c r="B96" s="32" t="s">
        <v>425</v>
      </c>
      <c r="C96" s="30" t="str">
        <f>IFERROR(__xludf.DUMMYFUNCTION("JOIN("","",FILTER(Disciplinas!A:A, regexmatch(Disciplinas!C:C, B96)))"),"GRAD.FCV.01,GRAD.EG.01,GRAD.CMB.01,GRAD.BIOGEOG.01")</f>
        <v>GRAD.FCV.01,GRAD.EG.01,GRAD.CMB.01,GRAD.BIOGEOG.01</v>
      </c>
      <c r="D96" s="31" t="s">
        <v>920</v>
      </c>
      <c r="E96" s="31" t="s">
        <v>920</v>
      </c>
      <c r="F96" s="31" t="s">
        <v>920</v>
      </c>
      <c r="G96" s="31" t="s">
        <v>920</v>
      </c>
      <c r="H96" s="31" t="s">
        <v>920</v>
      </c>
      <c r="I96" s="31" t="s">
        <v>920</v>
      </c>
    </row>
    <row r="97" ht="14.25" customHeight="1">
      <c r="A97" s="14" t="s">
        <v>1024</v>
      </c>
      <c r="B97" s="32" t="s">
        <v>430</v>
      </c>
      <c r="C97" s="30" t="str">
        <f>IFERROR(__xludf.DUMMYFUNCTION("JOIN("","",FILTER(Disciplinas!A:A, regexmatch(Disciplinas!C:C, B97)))"),"GRAD.HISTOLOG.01,GRAD.HISTOL.01,GRAD.SP.01,GRAD.SP.02")</f>
        <v>GRAD.HISTOLOG.01,GRAD.HISTOL.01,GRAD.SP.01,GRAD.SP.02</v>
      </c>
      <c r="D97" s="31" t="s">
        <v>920</v>
      </c>
      <c r="E97" s="31" t="s">
        <v>920</v>
      </c>
      <c r="F97" s="31" t="s">
        <v>920</v>
      </c>
      <c r="G97" s="31" t="s">
        <v>920</v>
      </c>
      <c r="H97" s="31" t="s">
        <v>920</v>
      </c>
      <c r="I97" s="31" t="s">
        <v>920</v>
      </c>
    </row>
    <row r="98" ht="14.25" customHeight="1">
      <c r="A98" s="14" t="s">
        <v>1025</v>
      </c>
      <c r="B98" s="32" t="s">
        <v>381</v>
      </c>
      <c r="C98" s="30" t="str">
        <f>IFERROR(__xludf.DUMMYFUNCTION("JOIN("","",FILTER(Disciplinas!A:A, regexmatch(Disciplinas!C:C, B98)))"),"GRAD.BABP.01,RV.BIO354,GRAD.BABP.01,GRAD.MOV.01")</f>
        <v>GRAD.BABP.01,RV.BIO354,GRAD.BABP.01,GRAD.MOV.01</v>
      </c>
      <c r="D98" s="31" t="s">
        <v>920</v>
      </c>
      <c r="E98" s="31" t="s">
        <v>920</v>
      </c>
      <c r="F98" s="31" t="s">
        <v>920</v>
      </c>
      <c r="G98" s="31" t="s">
        <v>920</v>
      </c>
      <c r="H98" s="31" t="s">
        <v>920</v>
      </c>
      <c r="I98" s="31" t="s">
        <v>920</v>
      </c>
    </row>
    <row r="99" ht="14.25" customHeight="1">
      <c r="A99" s="14" t="s">
        <v>1026</v>
      </c>
      <c r="B99" s="32" t="s">
        <v>384</v>
      </c>
      <c r="C99" s="30" t="str">
        <f>IFERROR(__xludf.DUMMYFUNCTION("JOIN("","",FILTER(Disciplinas!A:A, regexmatch(Disciplinas!C:C, B99)))"),"GRAD.DIDáT.01,GRAD.DIDáT.01")</f>
        <v>GRAD.DIDáT.01,GRAD.DIDáT.01</v>
      </c>
      <c r="D99" s="31" t="s">
        <v>920</v>
      </c>
      <c r="E99" s="31" t="s">
        <v>920</v>
      </c>
      <c r="F99" s="31" t="s">
        <v>920</v>
      </c>
      <c r="G99" s="31" t="s">
        <v>920</v>
      </c>
      <c r="H99" s="31" t="s">
        <v>920</v>
      </c>
      <c r="I99" s="31" t="s">
        <v>920</v>
      </c>
    </row>
    <row r="100" ht="14.25" customHeight="1">
      <c r="A100" s="14" t="s">
        <v>1027</v>
      </c>
      <c r="B100" s="32" t="s">
        <v>237</v>
      </c>
      <c r="C100" s="30" t="str">
        <f>IFERROR(__xludf.DUMMYFUNCTION("JOIN("","",FILTER(Disciplinas!A:A, regexmatch(Disciplinas!C:C, B100)))"),"GRAD.A.01,GRAD.EA.03,GRAD.MASU.01,GRAD.EA.03")</f>
        <v>GRAD.A.01,GRAD.EA.03,GRAD.MASU.01,GRAD.EA.03</v>
      </c>
      <c r="D100" s="31" t="s">
        <v>920</v>
      </c>
      <c r="E100" s="31" t="s">
        <v>920</v>
      </c>
      <c r="F100" s="31" t="s">
        <v>920</v>
      </c>
      <c r="G100" s="31" t="s">
        <v>920</v>
      </c>
      <c r="H100" s="31" t="s">
        <v>920</v>
      </c>
      <c r="I100" s="31" t="s">
        <v>920</v>
      </c>
    </row>
    <row r="101" ht="14.25" customHeight="1">
      <c r="A101" s="14" t="s">
        <v>1028</v>
      </c>
      <c r="B101" s="32" t="s">
        <v>443</v>
      </c>
      <c r="C101" s="30" t="str">
        <f>IFERROR(__xludf.DUMMYFUNCTION("JOIN("","",FILTER(Disciplinas!A:A, regexmatch(Disciplinas!C:C, B101)))"),"GRAD. ZV.01,GRAD.GP.01,GRAD.ZV.01")</f>
        <v>GRAD. ZV.01,GRAD.GP.01,GRAD.ZV.01</v>
      </c>
      <c r="D101" s="31" t="s">
        <v>920</v>
      </c>
      <c r="E101" s="31" t="s">
        <v>920</v>
      </c>
      <c r="F101" s="31" t="s">
        <v>920</v>
      </c>
      <c r="G101" s="31" t="s">
        <v>920</v>
      </c>
      <c r="H101" s="31" t="s">
        <v>920</v>
      </c>
      <c r="I101" s="31" t="s">
        <v>920</v>
      </c>
    </row>
    <row r="102" ht="14.25" customHeight="1">
      <c r="A102" s="14" t="s">
        <v>1029</v>
      </c>
      <c r="B102" s="32" t="s">
        <v>151</v>
      </c>
      <c r="C102" s="30" t="str">
        <f>IFERROR(__xludf.DUMMYFUNCTION("JOIN("","",FILTER(Disciplinas!A:A, regexmatch(Disciplinas!C:C, B102)))"),"GRAD.CDI.01,GRAD.BIOESTAT.01,GRAD.CDI.03,GRAD.EB.02")</f>
        <v>GRAD.CDI.01,GRAD.BIOESTAT.01,GRAD.CDI.03,GRAD.EB.02</v>
      </c>
      <c r="D102" s="31" t="s">
        <v>920</v>
      </c>
      <c r="E102" s="31" t="s">
        <v>920</v>
      </c>
      <c r="F102" s="31" t="s">
        <v>920</v>
      </c>
      <c r="G102" s="31" t="s">
        <v>920</v>
      </c>
      <c r="H102" s="31" t="s">
        <v>920</v>
      </c>
      <c r="I102" s="31" t="s">
        <v>920</v>
      </c>
    </row>
    <row r="103" ht="14.25" customHeight="1">
      <c r="A103" s="14" t="s">
        <v>1030</v>
      </c>
      <c r="B103" s="32" t="s">
        <v>227</v>
      </c>
      <c r="C103" s="30" t="str">
        <f>IFERROR(__xludf.DUMMYFUNCTION("JOIN("","",FILTER(Disciplinas!A:A, regexmatch(Disciplinas!C:C, B103)))"),"GRAD.MP.01,CTBIOTRV.22")</f>
        <v>GRAD.MP.01,CTBIOTRV.22</v>
      </c>
      <c r="D103" s="31" t="s">
        <v>920</v>
      </c>
      <c r="E103" s="31" t="s">
        <v>920</v>
      </c>
      <c r="F103" s="31" t="s">
        <v>920</v>
      </c>
      <c r="G103" s="31" t="s">
        <v>920</v>
      </c>
      <c r="H103" s="31" t="s">
        <v>920</v>
      </c>
      <c r="I103" s="31" t="s">
        <v>920</v>
      </c>
    </row>
    <row r="104" ht="14.25" customHeight="1">
      <c r="A104" s="14" t="s">
        <v>1031</v>
      </c>
      <c r="B104" s="32" t="s">
        <v>264</v>
      </c>
      <c r="C104" s="30" t="str">
        <f>IFERROR(__xludf.DUMMYFUNCTION("JOIN("","",FILTER(Disciplinas!A:A, regexmatch(Disciplinas!C:C, B104)))"),"RV.BIO256,GRAD.ZI-I.01,GRAD.ACV.02,GRAD.FCV.01,GRAD.ACV.01,GRAD.ZOOLOGIA.01")</f>
        <v>RV.BIO256,GRAD.ZI-I.01,GRAD.ACV.02,GRAD.FCV.01,GRAD.ACV.01,GRAD.ZOOLOGIA.01</v>
      </c>
      <c r="D104" s="31" t="s">
        <v>920</v>
      </c>
      <c r="E104" s="31" t="s">
        <v>920</v>
      </c>
      <c r="F104" s="31" t="s">
        <v>920</v>
      </c>
      <c r="G104" s="31" t="s">
        <v>920</v>
      </c>
      <c r="H104" s="31" t="s">
        <v>920</v>
      </c>
      <c r="I104" s="31" t="s">
        <v>920</v>
      </c>
    </row>
    <row r="105" ht="14.25" customHeight="1">
      <c r="A105" s="14" t="s">
        <v>1032</v>
      </c>
      <c r="B105" s="32" t="s">
        <v>467</v>
      </c>
      <c r="C105" s="30" t="str">
        <f>IFERROR(__xludf.DUMMYFUNCTION("JOIN("","",FILTER(Disciplinas!A:A, regexmatch(Disciplinas!C:C, B105)))"),"GRAD.NMP.01")</f>
        <v>GRAD.NMP.01</v>
      </c>
      <c r="D105" s="31" t="s">
        <v>920</v>
      </c>
      <c r="E105" s="31" t="s">
        <v>920</v>
      </c>
      <c r="F105" s="31" t="s">
        <v>920</v>
      </c>
      <c r="G105" s="31" t="s">
        <v>920</v>
      </c>
      <c r="H105" s="31" t="s">
        <v>920</v>
      </c>
      <c r="I105" s="31" t="s">
        <v>920</v>
      </c>
    </row>
    <row r="106" ht="14.25" customHeight="1">
      <c r="A106" s="14" t="s">
        <v>1033</v>
      </c>
      <c r="B106" s="32" t="s">
        <v>174</v>
      </c>
      <c r="C106" s="30" t="str">
        <f>IFERROR(__xludf.DUMMYFUNCTION("JOIN("","",FILTER(Disciplinas!A:A, regexmatch(Disciplinas!C:C, B106)))"),"GRAD.M.01,RV.TAL607")</f>
        <v>GRAD.M.01,RV.TAL607</v>
      </c>
      <c r="D106" s="31" t="s">
        <v>920</v>
      </c>
      <c r="E106" s="31" t="s">
        <v>920</v>
      </c>
      <c r="F106" s="31" t="s">
        <v>920</v>
      </c>
      <c r="G106" s="31" t="s">
        <v>920</v>
      </c>
      <c r="H106" s="31" t="s">
        <v>920</v>
      </c>
      <c r="I106" s="31" t="s">
        <v>920</v>
      </c>
    </row>
    <row r="107" ht="14.25" customHeight="1">
      <c r="A107" s="14" t="s">
        <v>1034</v>
      </c>
      <c r="B107" s="32" t="s">
        <v>130</v>
      </c>
      <c r="C107" s="30" t="str">
        <f>IFERROR(__xludf.DUMMYFUNCTION("JOIN("","",FILTER(Disciplinas!A:A, regexmatch(Disciplinas!C:C, B107)))"),"GRAD.AIA.01,GRAD.PNC.01,GRAD.IIA.01,GRAD.APA.02")</f>
        <v>GRAD.AIA.01,GRAD.PNC.01,GRAD.IIA.01,GRAD.APA.02</v>
      </c>
      <c r="D107" s="31" t="s">
        <v>920</v>
      </c>
      <c r="E107" s="31" t="s">
        <v>920</v>
      </c>
      <c r="F107" s="31" t="s">
        <v>920</v>
      </c>
      <c r="G107" s="31" t="s">
        <v>920</v>
      </c>
      <c r="H107" s="31" t="s">
        <v>920</v>
      </c>
      <c r="I107" s="31" t="s">
        <v>920</v>
      </c>
    </row>
    <row r="108" ht="14.25" customHeight="1">
      <c r="A108" s="14" t="s">
        <v>1035</v>
      </c>
      <c r="B108" s="32" t="s">
        <v>1036</v>
      </c>
      <c r="C108" s="30" t="str">
        <f>IFERROR(__xludf.DUMMYFUNCTION("JOIN("","",FILTER(Disciplinas!A:A, regexmatch(Disciplinas!C:C, B108)))"),"#N/A")</f>
        <v>#N/A</v>
      </c>
      <c r="D108" s="31" t="s">
        <v>920</v>
      </c>
      <c r="E108" s="31" t="s">
        <v>920</v>
      </c>
      <c r="F108" s="31" t="s">
        <v>920</v>
      </c>
      <c r="G108" s="31" t="s">
        <v>920</v>
      </c>
      <c r="H108" s="31" t="s">
        <v>920</v>
      </c>
      <c r="I108" s="31" t="s">
        <v>920</v>
      </c>
    </row>
    <row r="109" ht="14.25" customHeight="1">
      <c r="A109" s="14" t="s">
        <v>1037</v>
      </c>
      <c r="B109" s="32" t="s">
        <v>412</v>
      </c>
      <c r="C109" s="30" t="str">
        <f>IFERROR(__xludf.DUMMYFUNCTION("JOIN("","",FILTER(Disciplinas!A:A, regexmatch(Disciplinas!C:C, B109)))"),"GRAD.HISTOLOG.01,GRAD.PARASITOL.01,GRAD.BB.02,CTBIOTRV.21,CTSTRARV.34,CTSTRARV.45")</f>
        <v>GRAD.HISTOLOG.01,GRAD.PARASITOL.01,GRAD.BB.02,CTBIOTRV.21,CTSTRARV.34,CTSTRARV.45</v>
      </c>
      <c r="D109" s="31" t="s">
        <v>920</v>
      </c>
      <c r="E109" s="31" t="s">
        <v>920</v>
      </c>
      <c r="F109" s="31" t="s">
        <v>920</v>
      </c>
      <c r="G109" s="31" t="s">
        <v>920</v>
      </c>
      <c r="H109" s="31" t="s">
        <v>920</v>
      </c>
      <c r="I109" s="31" t="s">
        <v>920</v>
      </c>
    </row>
    <row r="110" ht="14.25" customHeight="1">
      <c r="A110" s="14" t="s">
        <v>1038</v>
      </c>
      <c r="B110" s="32" t="s">
        <v>487</v>
      </c>
      <c r="C110" s="30" t="str">
        <f>IFERROR(__xludf.DUMMYFUNCTION("JOIN("","",FILTER(Disciplinas!A:A, regexmatch(Disciplinas!C:C, B110)))"),"CTBIOTRV.15")</f>
        <v>CTBIOTRV.15</v>
      </c>
      <c r="D110" s="31" t="s">
        <v>920</v>
      </c>
      <c r="E110" s="31" t="s">
        <v>920</v>
      </c>
      <c r="F110" s="31" t="s">
        <v>920</v>
      </c>
      <c r="G110" s="31" t="s">
        <v>920</v>
      </c>
      <c r="H110" s="31" t="s">
        <v>920</v>
      </c>
      <c r="I110" s="31" t="s">
        <v>920</v>
      </c>
    </row>
    <row r="111" ht="14.25" customHeight="1">
      <c r="A111" s="14" t="s">
        <v>1039</v>
      </c>
      <c r="B111" s="32" t="s">
        <v>490</v>
      </c>
      <c r="C111" s="30" t="str">
        <f>IFERROR(__xludf.DUMMYFUNCTION("JOIN("","",FILTER(Disciplinas!A:A, regexmatch(Disciplinas!C:C, B111)))"),"CTBIOTRV.16,GRAD.FQIE.01,RV.QUI239")</f>
        <v>CTBIOTRV.16,GRAD.FQIE.01,RV.QUI239</v>
      </c>
      <c r="D111" s="31" t="s">
        <v>920</v>
      </c>
      <c r="E111" s="31" t="s">
        <v>920</v>
      </c>
      <c r="F111" s="31" t="s">
        <v>920</v>
      </c>
      <c r="G111" s="31" t="s">
        <v>920</v>
      </c>
      <c r="H111" s="31" t="s">
        <v>920</v>
      </c>
      <c r="I111" s="31" t="s">
        <v>920</v>
      </c>
    </row>
    <row r="112" ht="14.25" customHeight="1">
      <c r="A112" s="14" t="s">
        <v>1040</v>
      </c>
      <c r="B112" s="32" t="s">
        <v>499</v>
      </c>
      <c r="C112" s="30" t="str">
        <f>IFERROR(__xludf.DUMMYFUNCTION("JOIN("","",FILTER(Disciplinas!A:A, regexmatch(Disciplinas!C:C, B112)))"),"GRAD.GAAL.01,GRAD.MD.01,GRAD.PO.01")</f>
        <v>GRAD.GAAL.01,GRAD.MD.01,GRAD.PO.01</v>
      </c>
      <c r="D112" s="31" t="s">
        <v>920</v>
      </c>
      <c r="E112" s="31" t="s">
        <v>920</v>
      </c>
      <c r="F112" s="31" t="s">
        <v>920</v>
      </c>
      <c r="G112" s="31" t="s">
        <v>920</v>
      </c>
      <c r="H112" s="31" t="s">
        <v>920</v>
      </c>
      <c r="I112" s="31" t="s">
        <v>920</v>
      </c>
    </row>
    <row r="113" ht="14.25" customHeight="1">
      <c r="A113" s="14" t="s">
        <v>1041</v>
      </c>
      <c r="B113" s="32" t="s">
        <v>340</v>
      </c>
      <c r="C113" s="30" t="str">
        <f>IFERROR(__xludf.DUMMYFUNCTION("JOIN("","",FILTER(Disciplinas!A:A, regexmatch(Disciplinas!C:C, B113)))"),"GRAD.MC.03,GRAD.ANAPROJALG.01,GRAD.PLP.02,GRAD.METCOMP.01")</f>
        <v>GRAD.MC.03,GRAD.ANAPROJALG.01,GRAD.PLP.02,GRAD.METCOMP.01</v>
      </c>
      <c r="D113" s="31" t="s">
        <v>920</v>
      </c>
      <c r="E113" s="31" t="s">
        <v>920</v>
      </c>
      <c r="F113" s="31" t="s">
        <v>920</v>
      </c>
      <c r="G113" s="31" t="s">
        <v>920</v>
      </c>
      <c r="H113" s="31" t="s">
        <v>920</v>
      </c>
      <c r="I113" s="31" t="s">
        <v>920</v>
      </c>
    </row>
    <row r="114" ht="14.25" customHeight="1">
      <c r="A114" s="14" t="s">
        <v>1042</v>
      </c>
      <c r="B114" s="32" t="s">
        <v>533</v>
      </c>
      <c r="C114" s="30" t="str">
        <f>IFERROR(__xludf.DUMMYFUNCTION("JOIN("","",FILTER(Disciplinas!A:A, regexmatch(Disciplinas!C:C, B114)))"),"GRAD.PLP.04,GRAD.EE.02,RV.INF97")</f>
        <v>GRAD.PLP.04,GRAD.EE.02,RV.INF97</v>
      </c>
      <c r="D114" s="31" t="s">
        <v>920</v>
      </c>
      <c r="E114" s="31" t="s">
        <v>920</v>
      </c>
      <c r="F114" s="31" t="s">
        <v>920</v>
      </c>
      <c r="G114" s="31" t="s">
        <v>920</v>
      </c>
      <c r="H114" s="31" t="s">
        <v>920</v>
      </c>
      <c r="I114" s="31" t="s">
        <v>920</v>
      </c>
    </row>
    <row r="115" ht="14.25" customHeight="1">
      <c r="A115" s="14" t="s">
        <v>1043</v>
      </c>
      <c r="B115" s="32" t="s">
        <v>524</v>
      </c>
      <c r="C115" s="30" t="str">
        <f>IFERROR(__xludf.DUMMYFUNCTION("JOIN("","",FILTER(Disciplinas!A:A, regexmatch(Disciplinas!C:C, B115)))"),"GRAD.RC.01,RV.INF64,RV.INF91")</f>
        <v>GRAD.RC.01,RV.INF64,RV.INF91</v>
      </c>
      <c r="D115" s="31" t="s">
        <v>920</v>
      </c>
      <c r="E115" s="31" t="s">
        <v>920</v>
      </c>
      <c r="F115" s="31" t="s">
        <v>920</v>
      </c>
      <c r="G115" s="31" t="s">
        <v>920</v>
      </c>
      <c r="H115" s="31" t="s">
        <v>920</v>
      </c>
      <c r="I115" s="31" t="s">
        <v>920</v>
      </c>
    </row>
    <row r="116" ht="14.25" customHeight="1">
      <c r="A116" s="14" t="s">
        <v>1044</v>
      </c>
      <c r="B116" s="32" t="s">
        <v>515</v>
      </c>
      <c r="C116" s="30" t="str">
        <f>IFERROR(__xludf.DUMMYFUNCTION("JOIN("","",FILTER(Disciplinas!A:A, regexmatch(Disciplinas!C:C, B116)))"),"GRAD.BD.01,GRAD.ED.02,GRAD.COMPILAD.01,RV.INF94")</f>
        <v>GRAD.BD.01,GRAD.ED.02,GRAD.COMPILAD.01,RV.INF94</v>
      </c>
      <c r="D116" s="31" t="s">
        <v>920</v>
      </c>
      <c r="E116" s="31" t="s">
        <v>920</v>
      </c>
      <c r="F116" s="31" t="s">
        <v>920</v>
      </c>
      <c r="G116" s="31" t="s">
        <v>920</v>
      </c>
      <c r="H116" s="31" t="s">
        <v>920</v>
      </c>
      <c r="I116" s="31" t="s">
        <v>920</v>
      </c>
    </row>
    <row r="117" ht="14.25" customHeight="1">
      <c r="A117" s="14" t="s">
        <v>1045</v>
      </c>
      <c r="B117" s="32" t="s">
        <v>729</v>
      </c>
      <c r="C117" s="30" t="str">
        <f>IFERROR(__xludf.DUMMYFUNCTION("JOIN("","",FILTER(Disciplinas!A:A, regexmatch(Disciplinas!C:C, B117)))"),"RV.INF610,RV.INF618,RV.INF61,RV.INF60")</f>
        <v>RV.INF610,RV.INF618,RV.INF61,RV.INF60</v>
      </c>
      <c r="D117" s="31" t="s">
        <v>920</v>
      </c>
      <c r="E117" s="31" t="s">
        <v>920</v>
      </c>
      <c r="F117" s="31" t="s">
        <v>920</v>
      </c>
      <c r="G117" s="31" t="s">
        <v>920</v>
      </c>
      <c r="H117" s="31" t="s">
        <v>920</v>
      </c>
      <c r="I117" s="31" t="s">
        <v>920</v>
      </c>
    </row>
    <row r="118" ht="14.25" customHeight="1">
      <c r="A118" s="14" t="s">
        <v>1046</v>
      </c>
      <c r="B118" s="32" t="s">
        <v>505</v>
      </c>
      <c r="C118" s="30" t="str">
        <f>IFERROR(__xludf.DUMMYFUNCTION("JOIN("","",FILTER(Disciplinas!A:A, regexmatch(Disciplinas!C:C, B118)))"),"GRAD.MCCC.01,GRAD.SO.01,GRAD.SAS.01,RV.INF85")</f>
        <v>GRAD.MCCC.01,GRAD.SO.01,GRAD.SAS.01,RV.INF85</v>
      </c>
      <c r="D118" s="31" t="s">
        <v>920</v>
      </c>
      <c r="E118" s="31" t="s">
        <v>920</v>
      </c>
      <c r="F118" s="31" t="s">
        <v>920</v>
      </c>
      <c r="G118" s="31" t="s">
        <v>920</v>
      </c>
      <c r="H118" s="31" t="s">
        <v>920</v>
      </c>
      <c r="I118" s="31" t="s">
        <v>920</v>
      </c>
    </row>
    <row r="119" ht="14.25" customHeight="1">
      <c r="A119" s="14" t="s">
        <v>1047</v>
      </c>
      <c r="B119" s="32" t="s">
        <v>502</v>
      </c>
      <c r="C119" s="30" t="str">
        <f>IFERROR(__xludf.DUMMYFUNCTION("JOIN("","",FILTER(Disciplinas!A:A, regexmatch(Disciplinas!C:C, B119)))"),"GRAD.LTP.01,RV.INF99,RV.INF88")</f>
        <v>GRAD.LTP.01,RV.INF99,RV.INF88</v>
      </c>
      <c r="D119" s="31" t="s">
        <v>920</v>
      </c>
      <c r="E119" s="31" t="s">
        <v>920</v>
      </c>
      <c r="F119" s="31" t="s">
        <v>920</v>
      </c>
      <c r="G119" s="31" t="s">
        <v>920</v>
      </c>
      <c r="H119" s="31" t="s">
        <v>920</v>
      </c>
      <c r="I119" s="31" t="s">
        <v>920</v>
      </c>
    </row>
    <row r="120" ht="14.25" customHeight="1">
      <c r="A120" s="14" t="s">
        <v>1048</v>
      </c>
      <c r="B120" s="32" t="s">
        <v>528</v>
      </c>
      <c r="C120" s="30" t="str">
        <f>IFERROR(__xludf.DUMMYFUNCTION("JOIN("","",FILTER(Disciplinas!A:A, regexmatch(Disciplinas!C:C, B120)))"),"GRAD.CG.01,GRAD.PP.01,GRAD.RI.01,RV.INF63")</f>
        <v>GRAD.CG.01,GRAD.PP.01,GRAD.RI.01,RV.INF63</v>
      </c>
      <c r="D120" s="31" t="s">
        <v>920</v>
      </c>
      <c r="E120" s="31" t="s">
        <v>920</v>
      </c>
      <c r="F120" s="31" t="s">
        <v>920</v>
      </c>
      <c r="G120" s="31" t="s">
        <v>920</v>
      </c>
      <c r="H120" s="31" t="s">
        <v>920</v>
      </c>
      <c r="I120" s="31" t="s">
        <v>920</v>
      </c>
    </row>
    <row r="121" ht="14.25" customHeight="1">
      <c r="A121" s="14" t="s">
        <v>1049</v>
      </c>
      <c r="B121" s="32" t="s">
        <v>597</v>
      </c>
      <c r="C121" s="30" t="str">
        <f>IFERROR(__xludf.DUMMYFUNCTION("JOIN("","",FILTER(Disciplinas!A:A, regexmatch(Disciplinas!C:C, B121)))"),"GRAD.ET.01")</f>
        <v>GRAD.ET.01</v>
      </c>
      <c r="D121" s="31" t="s">
        <v>920</v>
      </c>
      <c r="E121" s="31" t="s">
        <v>920</v>
      </c>
      <c r="F121" s="31" t="s">
        <v>920</v>
      </c>
      <c r="G121" s="31" t="s">
        <v>920</v>
      </c>
      <c r="H121" s="31" t="s">
        <v>920</v>
      </c>
      <c r="I121" s="31" t="s">
        <v>920</v>
      </c>
    </row>
    <row r="122" ht="14.25" customHeight="1">
      <c r="A122" s="14" t="s">
        <v>1050</v>
      </c>
      <c r="B122" s="32" t="s">
        <v>708</v>
      </c>
      <c r="C122" s="30" t="str">
        <f>IFERROR(__xludf.DUMMYFUNCTION("JOIN("","",FILTER(Disciplinas!A:A, regexmatch(Disciplinas!C:C, B122)))"),"GRAD.ENQ.QIE.12,GRAD.ENQ.QIE.12,GRAD.QIE.02,GRAD.QI-II.01,GRAD.QAI.01")</f>
        <v>GRAD.ENQ.QIE.12,GRAD.ENQ.QIE.12,GRAD.QIE.02,GRAD.QI-II.01,GRAD.QAI.01</v>
      </c>
      <c r="D122" s="31" t="s">
        <v>920</v>
      </c>
      <c r="E122" s="31" t="s">
        <v>920</v>
      </c>
      <c r="F122" s="31" t="s">
        <v>920</v>
      </c>
      <c r="G122" s="31" t="s">
        <v>920</v>
      </c>
      <c r="H122" s="31" t="s">
        <v>920</v>
      </c>
      <c r="I122" s="31" t="s">
        <v>920</v>
      </c>
    </row>
    <row r="123" ht="14.25" customHeight="1">
      <c r="A123" s="14" t="s">
        <v>1051</v>
      </c>
      <c r="B123" s="32" t="s">
        <v>1052</v>
      </c>
      <c r="C123" s="30" t="str">
        <f>IFERROR(__xludf.DUMMYFUNCTION("JOIN("","",FILTER(Disciplinas!A:A, regexmatch(Disciplinas!C:C, B123)))"),"#N/A")</f>
        <v>#N/A</v>
      </c>
      <c r="D123" s="31" t="s">
        <v>920</v>
      </c>
      <c r="E123" s="31" t="s">
        <v>920</v>
      </c>
      <c r="F123" s="31" t="s">
        <v>920</v>
      </c>
      <c r="G123" s="31" t="s">
        <v>920</v>
      </c>
      <c r="H123" s="31" t="s">
        <v>920</v>
      </c>
      <c r="I123" s="31" t="s">
        <v>920</v>
      </c>
    </row>
    <row r="124" ht="14.25" customHeight="1">
      <c r="A124" s="14" t="s">
        <v>1053</v>
      </c>
      <c r="B124" s="32" t="s">
        <v>560</v>
      </c>
      <c r="C124" s="30" t="str">
        <f>IFERROR(__xludf.DUMMYFUNCTION("JOIN("","",FILTER(Disciplinas!A:A, regexmatch(Disciplinas!C:C, B124)))"),"GRAD..MV.01,GRAD.HIDRA.II.01,GRAD.HIDRáUL.01")</f>
        <v>GRAD..MV.01,GRAD.HIDRA.II.01,GRAD.HIDRáUL.01</v>
      </c>
      <c r="D124" s="31" t="s">
        <v>920</v>
      </c>
      <c r="E124" s="31" t="s">
        <v>920</v>
      </c>
      <c r="F124" s="31" t="s">
        <v>920</v>
      </c>
      <c r="G124" s="31" t="s">
        <v>920</v>
      </c>
      <c r="H124" s="31" t="s">
        <v>920</v>
      </c>
      <c r="I124" s="31" t="s">
        <v>920</v>
      </c>
    </row>
    <row r="125" ht="14.25" customHeight="1">
      <c r="A125" s="14" t="s">
        <v>1054</v>
      </c>
      <c r="B125" s="32" t="s">
        <v>224</v>
      </c>
      <c r="C125" s="30" t="str">
        <f>IFERROR(__xludf.DUMMYFUNCTION("JOIN("","",FILTER(Disciplinas!A:A, regexmatch(Disciplinas!C:C, B125)))"),"GRAD.HID.01,GRAD.HIDRA.II.01")</f>
        <v>GRAD.HID.01,GRAD.HIDRA.II.01</v>
      </c>
      <c r="D125" s="31" t="s">
        <v>920</v>
      </c>
      <c r="E125" s="31" t="s">
        <v>920</v>
      </c>
      <c r="F125" s="31" t="s">
        <v>920</v>
      </c>
      <c r="G125" s="31" t="s">
        <v>920</v>
      </c>
      <c r="H125" s="31" t="s">
        <v>920</v>
      </c>
      <c r="I125" s="31" t="s">
        <v>920</v>
      </c>
    </row>
    <row r="126" ht="14.25" customHeight="1">
      <c r="A126" s="14" t="s">
        <v>1055</v>
      </c>
      <c r="B126" s="32" t="s">
        <v>572</v>
      </c>
      <c r="C126" s="30" t="str">
        <f>IFERROR(__xludf.DUMMYFUNCTION("JOIN("","",FILTER(Disciplinas!A:A, regexmatch(Disciplinas!C:C, B126)))"),"GRAD.MCC- I.01")</f>
        <v>GRAD.MCC- I.01</v>
      </c>
      <c r="D126" s="31" t="s">
        <v>920</v>
      </c>
      <c r="E126" s="31" t="s">
        <v>920</v>
      </c>
      <c r="F126" s="31" t="s">
        <v>920</v>
      </c>
      <c r="G126" s="31" t="s">
        <v>920</v>
      </c>
      <c r="H126" s="31" t="s">
        <v>920</v>
      </c>
      <c r="I126" s="31" t="s">
        <v>920</v>
      </c>
    </row>
    <row r="127" ht="14.25" customHeight="1">
      <c r="A127" s="14" t="s">
        <v>1056</v>
      </c>
      <c r="B127" s="32" t="s">
        <v>600</v>
      </c>
      <c r="C127" s="30" t="str">
        <f>IFERROR(__xludf.DUMMYFUNCTION("JOIN("","",FILTER(Disciplinas!A:A, regexmatch(Disciplinas!C:C, B127)))"),"GRAD.FUNDAç.01,GRAD.MOT.01,GRAD.EE.02,RV.MSL001")</f>
        <v>GRAD.FUNDAç.01,GRAD.MOT.01,GRAD.EE.02,RV.MSL001</v>
      </c>
      <c r="D127" s="31" t="s">
        <v>920</v>
      </c>
      <c r="E127" s="31" t="s">
        <v>920</v>
      </c>
      <c r="F127" s="31" t="s">
        <v>920</v>
      </c>
      <c r="G127" s="31" t="s">
        <v>920</v>
      </c>
      <c r="H127" s="31" t="s">
        <v>920</v>
      </c>
      <c r="I127" s="31" t="s">
        <v>920</v>
      </c>
    </row>
    <row r="128" ht="14.25" customHeight="1">
      <c r="A128" s="14" t="s">
        <v>1057</v>
      </c>
      <c r="B128" s="32" t="s">
        <v>581</v>
      </c>
      <c r="C128" s="30" t="str">
        <f>IFERROR(__xludf.DUMMYFUNCTION("JOIN("","",FILTER(Disciplinas!A:A, regexmatch(Disciplinas!C:C, B128)))"),"GRAD.EM.01,GRAD.ECA-II.02,GRAD.PCP.01")</f>
        <v>GRAD.EM.01,GRAD.ECA-II.02,GRAD.PCP.01</v>
      </c>
      <c r="D128" s="31" t="s">
        <v>920</v>
      </c>
      <c r="E128" s="31" t="s">
        <v>920</v>
      </c>
      <c r="F128" s="31" t="s">
        <v>920</v>
      </c>
      <c r="G128" s="31" t="s">
        <v>920</v>
      </c>
      <c r="H128" s="31" t="s">
        <v>920</v>
      </c>
      <c r="I128" s="31" t="s">
        <v>920</v>
      </c>
    </row>
    <row r="129" ht="14.25" customHeight="1">
      <c r="A129" s="14" t="s">
        <v>1058</v>
      </c>
      <c r="B129" s="32" t="s">
        <v>591</v>
      </c>
      <c r="C129" s="30" t="str">
        <f>IFERROR(__xludf.DUMMYFUNCTION("JOIN("","",FILTER(Disciplinas!A:A, regexmatch(Disciplinas!C:C, B129)))"),"GRAD.RM-II.01,RV.ENG240")</f>
        <v>GRAD.RM-II.01,RV.ENG240</v>
      </c>
      <c r="D129" s="31" t="s">
        <v>920</v>
      </c>
      <c r="E129" s="31" t="s">
        <v>920</v>
      </c>
      <c r="F129" s="31" t="s">
        <v>920</v>
      </c>
      <c r="G129" s="31" t="s">
        <v>920</v>
      </c>
      <c r="H129" s="31" t="s">
        <v>920</v>
      </c>
      <c r="I129" s="31" t="s">
        <v>920</v>
      </c>
    </row>
    <row r="130" ht="14.25" customHeight="1">
      <c r="A130" s="14" t="s">
        <v>1059</v>
      </c>
      <c r="B130" s="32" t="s">
        <v>567</v>
      </c>
      <c r="C130" s="30" t="str">
        <f>IFERROR(__xludf.DUMMYFUNCTION("JOIN("","",FILTER(Disciplinas!A:A, regexmatch(Disciplinas!C:C, B130)))"),"GRAD.ICEM.01,RV.MCC001")</f>
        <v>GRAD.ICEM.01,RV.MCC001</v>
      </c>
      <c r="D130" s="31" t="s">
        <v>920</v>
      </c>
      <c r="E130" s="31" t="s">
        <v>920</v>
      </c>
      <c r="F130" s="31" t="s">
        <v>920</v>
      </c>
      <c r="G130" s="31" t="s">
        <v>920</v>
      </c>
      <c r="H130" s="31" t="s">
        <v>920</v>
      </c>
      <c r="I130" s="31" t="s">
        <v>920</v>
      </c>
    </row>
    <row r="131" ht="14.25" customHeight="1">
      <c r="A131" s="14" t="s">
        <v>1060</v>
      </c>
      <c r="B131" s="32" t="s">
        <v>839</v>
      </c>
      <c r="C131" s="30" t="str">
        <f>IFERROR(__xludf.DUMMYFUNCTION("JOIN("","",FILTER(Disciplinas!A:A, regexmatch(Disciplinas!C:C, B131)))"),"CTSTRARV.32,CTSTRARV.35,CTSTRARV.36,CTSTRARV.44")</f>
        <v>CTSTRARV.32,CTSTRARV.35,CTSTRARV.36,CTSTRARV.44</v>
      </c>
      <c r="D131" s="31" t="s">
        <v>920</v>
      </c>
      <c r="E131" s="31" t="s">
        <v>920</v>
      </c>
      <c r="F131" s="31" t="s">
        <v>920</v>
      </c>
      <c r="G131" s="31" t="s">
        <v>920</v>
      </c>
      <c r="H131" s="31" t="s">
        <v>920</v>
      </c>
      <c r="I131" s="31" t="s">
        <v>920</v>
      </c>
    </row>
    <row r="132" ht="14.25" customHeight="1">
      <c r="A132" s="14" t="s">
        <v>1061</v>
      </c>
      <c r="B132" s="32" t="s">
        <v>577</v>
      </c>
      <c r="C132" s="30" t="str">
        <f>IFERROR(__xludf.DUMMYFUNCTION("JOIN("","",FILTER(Disciplinas!A:A, regexmatch(Disciplinas!C:C, B132)))"),"GRAD.CC-I.01,GRAD.IPH.02,GRAD.MS-II.01")</f>
        <v>GRAD.CC-I.01,GRAD.IPH.02,GRAD.MS-II.01</v>
      </c>
      <c r="D132" s="31" t="s">
        <v>920</v>
      </c>
      <c r="E132" s="31" t="s">
        <v>920</v>
      </c>
      <c r="F132" s="31" t="s">
        <v>920</v>
      </c>
      <c r="G132" s="31" t="s">
        <v>920</v>
      </c>
      <c r="H132" s="31" t="s">
        <v>920</v>
      </c>
      <c r="I132" s="31" t="s">
        <v>920</v>
      </c>
    </row>
    <row r="133" ht="14.25" customHeight="1">
      <c r="A133" s="14" t="s">
        <v>1062</v>
      </c>
      <c r="B133" s="32" t="s">
        <v>79</v>
      </c>
      <c r="C133" s="30" t="str">
        <f>IFERROR(__xludf.DUMMYFUNCTION("JOIN("","",FILTER(Disciplinas!A:A, regexmatch(Disciplinas!C:C, B133)))"),"GRAD.ADM.GC.22,RV.CON107")</f>
        <v>GRAD.ADM.GC.22,RV.CON107</v>
      </c>
      <c r="D133" s="31" t="s">
        <v>920</v>
      </c>
      <c r="E133" s="31" t="s">
        <v>920</v>
      </c>
      <c r="F133" s="31" t="s">
        <v>920</v>
      </c>
      <c r="G133" s="31" t="s">
        <v>920</v>
      </c>
      <c r="H133" s="31" t="s">
        <v>920</v>
      </c>
      <c r="I133" s="31" t="s">
        <v>920</v>
      </c>
    </row>
    <row r="134" ht="14.25" customHeight="1">
      <c r="A134" s="14" t="s">
        <v>1063</v>
      </c>
      <c r="B134" s="32" t="s">
        <v>624</v>
      </c>
      <c r="C134" s="30" t="str">
        <f>IFERROR(__xludf.DUMMYFUNCTION("JOIN("","",FILTER(Disciplinas!A:A, regexmatch(Disciplinas!C:C, B134)))"),"RV.CON005,RV.CON817")</f>
        <v>RV.CON005,RV.CON817</v>
      </c>
      <c r="D134" s="31" t="s">
        <v>920</v>
      </c>
      <c r="E134" s="31" t="s">
        <v>920</v>
      </c>
      <c r="F134" s="31" t="s">
        <v>920</v>
      </c>
      <c r="G134" s="31" t="s">
        <v>920</v>
      </c>
      <c r="H134" s="31" t="s">
        <v>920</v>
      </c>
      <c r="I134" s="31" t="s">
        <v>920</v>
      </c>
    </row>
    <row r="135" ht="14.25" customHeight="1">
      <c r="A135" s="14" t="s">
        <v>1064</v>
      </c>
      <c r="B135" s="32" t="s">
        <v>564</v>
      </c>
      <c r="C135" s="30" t="str">
        <f>IFERROR(__xludf.DUMMYFUNCTION("JOIN("","",FILTER(Disciplinas!A:A, regexmatch(Disciplinas!C:C, B135)))"),"GRAD.GEOLOG.01,GRAD.GAP.01,GRAD.TRSUI.01")</f>
        <v>GRAD.GEOLOG.01,GRAD.GAP.01,GRAD.TRSUI.01</v>
      </c>
      <c r="D135" s="31" t="s">
        <v>920</v>
      </c>
      <c r="E135" s="31" t="s">
        <v>920</v>
      </c>
      <c r="F135" s="31" t="s">
        <v>920</v>
      </c>
      <c r="G135" s="31" t="s">
        <v>920</v>
      </c>
      <c r="H135" s="31" t="s">
        <v>920</v>
      </c>
      <c r="I135" s="31" t="s">
        <v>920</v>
      </c>
    </row>
    <row r="136" ht="14.25" customHeight="1">
      <c r="A136" s="14" t="s">
        <v>1065</v>
      </c>
      <c r="B136" s="32" t="s">
        <v>655</v>
      </c>
      <c r="C136" s="30" t="str">
        <f>IFERROR(__xludf.DUMMYFUNCTION("JOIN("","",FILTER(Disciplinas!A:A, regexmatch(Disciplinas!C:C, B136)))"),"GRAD.TARI.01,GRAD.TES.01,GRAD.TAAA.01,GRAD.TAR-II.01")</f>
        <v>GRAD.TARI.01,GRAD.TES.01,GRAD.TAAA.01,GRAD.TAR-II.01</v>
      </c>
      <c r="D136" s="31" t="s">
        <v>920</v>
      </c>
      <c r="E136" s="31" t="s">
        <v>920</v>
      </c>
      <c r="F136" s="31" t="s">
        <v>920</v>
      </c>
      <c r="G136" s="31" t="s">
        <v>920</v>
      </c>
      <c r="H136" s="31" t="s">
        <v>920</v>
      </c>
      <c r="I136" s="31" t="s">
        <v>920</v>
      </c>
    </row>
    <row r="137" ht="14.25" customHeight="1">
      <c r="A137" s="14" t="s">
        <v>1066</v>
      </c>
      <c r="B137" s="32" t="s">
        <v>615</v>
      </c>
      <c r="C137" s="30" t="str">
        <f>IFERROR(__xludf.DUMMYFUNCTION("JOIN("","",FILTER(Disciplinas!A:A, regexmatch(Disciplinas!C:C, B137)))"),"RV.ENG243")</f>
        <v>RV.ENG243</v>
      </c>
      <c r="D137" s="31" t="s">
        <v>920</v>
      </c>
      <c r="E137" s="31" t="s">
        <v>920</v>
      </c>
      <c r="F137" s="31" t="s">
        <v>920</v>
      </c>
      <c r="G137" s="31" t="s">
        <v>920</v>
      </c>
      <c r="H137" s="31" t="s">
        <v>920</v>
      </c>
      <c r="I137" s="31" t="s">
        <v>920</v>
      </c>
    </row>
    <row r="138" ht="14.25" customHeight="1">
      <c r="A138" s="14" t="s">
        <v>1067</v>
      </c>
      <c r="B138" s="32" t="s">
        <v>711</v>
      </c>
      <c r="C138" s="30" t="str">
        <f>IFERROR(__xludf.DUMMYFUNCTION("JOIN("","",FILTER(Disciplinas!A:A, regexmatch(Disciplinas!C:C, B138)))"),"GRAD.ENQ.QI-I.11,GRAD.QG-II.01,GRAD.PAQI.01,GRAD.QAI.01,RV.QUI254")</f>
        <v>GRAD.ENQ.QI-I.11,GRAD.QG-II.01,GRAD.PAQI.01,GRAD.QAI.01,RV.QUI254</v>
      </c>
      <c r="D138" s="31" t="s">
        <v>920</v>
      </c>
      <c r="E138" s="31" t="s">
        <v>920</v>
      </c>
      <c r="F138" s="31" t="s">
        <v>920</v>
      </c>
      <c r="G138" s="31" t="s">
        <v>920</v>
      </c>
      <c r="H138" s="31" t="s">
        <v>920</v>
      </c>
      <c r="I138" s="31" t="s">
        <v>920</v>
      </c>
    </row>
    <row r="139" ht="14.25" customHeight="1">
      <c r="A139" s="14" t="s">
        <v>1068</v>
      </c>
      <c r="B139" s="32" t="s">
        <v>1069</v>
      </c>
      <c r="C139" s="30" t="str">
        <f>IFERROR(__xludf.DUMMYFUNCTION("JOIN("","",FILTER(Disciplinas!A:A, regexmatch(Disciplinas!C:C, B139)))"),"#N/A")</f>
        <v>#N/A</v>
      </c>
      <c r="D139" s="31" t="s">
        <v>920</v>
      </c>
      <c r="E139" s="31" t="s">
        <v>920</v>
      </c>
      <c r="F139" s="31" t="s">
        <v>920</v>
      </c>
      <c r="G139" s="31" t="s">
        <v>920</v>
      </c>
      <c r="H139" s="31" t="s">
        <v>920</v>
      </c>
      <c r="I139" s="31" t="s">
        <v>920</v>
      </c>
    </row>
    <row r="140" ht="14.25" customHeight="1">
      <c r="A140" s="14" t="s">
        <v>1070</v>
      </c>
      <c r="B140" s="32" t="s">
        <v>778</v>
      </c>
      <c r="C140" s="30" t="str">
        <f>IFERROR(__xludf.DUMMYFUNCTION("JOIN("","",FILTER(Disciplinas!A:A, regexmatch(Disciplinas!C:C, B140)))"),"GRAD.PAQG.01,GRAD.PAI.01")</f>
        <v>GRAD.PAQG.01,GRAD.PAI.01</v>
      </c>
      <c r="D140" s="31" t="s">
        <v>920</v>
      </c>
      <c r="E140" s="31" t="s">
        <v>920</v>
      </c>
      <c r="F140" s="31" t="s">
        <v>920</v>
      </c>
      <c r="G140" s="31" t="s">
        <v>920</v>
      </c>
      <c r="H140" s="31" t="s">
        <v>920</v>
      </c>
      <c r="I140" s="31" t="s">
        <v>920</v>
      </c>
    </row>
    <row r="141" ht="14.25" customHeight="1">
      <c r="A141" s="14" t="s">
        <v>1071</v>
      </c>
      <c r="B141" s="32" t="s">
        <v>1072</v>
      </c>
      <c r="C141" s="30" t="str">
        <f>IFERROR(__xludf.DUMMYFUNCTION("JOIN("","",FILTER(Disciplinas!A:A, regexmatch(Disciplinas!C:C, B141)))"),"#N/A")</f>
        <v>#N/A</v>
      </c>
      <c r="D141" s="31" t="s">
        <v>920</v>
      </c>
      <c r="E141" s="31" t="s">
        <v>920</v>
      </c>
      <c r="F141" s="31" t="s">
        <v>920</v>
      </c>
      <c r="G141" s="31" t="s">
        <v>920</v>
      </c>
      <c r="H141" s="31" t="s">
        <v>920</v>
      </c>
      <c r="I141" s="31" t="s">
        <v>920</v>
      </c>
    </row>
    <row r="142" ht="14.25" customHeight="1">
      <c r="A142" s="14" t="s">
        <v>1073</v>
      </c>
      <c r="B142" s="32" t="s">
        <v>723</v>
      </c>
      <c r="C142" s="30" t="str">
        <f>IFERROR(__xludf.DUMMYFUNCTION("JOIN("","",FILTER(Disciplinas!A:A, regexmatch(Disciplinas!C:C, B142)))"),"GRAD.ENQ.QOE.24,GRAD.ENQ.QO-II.23,GRAD.QO-I.01,GRAD.QOE.01,RV.QUI241")</f>
        <v>GRAD.ENQ.QOE.24,GRAD.ENQ.QO-II.23,GRAD.QO-I.01,GRAD.QOE.01,RV.QUI241</v>
      </c>
      <c r="D142" s="31" t="s">
        <v>920</v>
      </c>
      <c r="E142" s="31" t="s">
        <v>920</v>
      </c>
      <c r="F142" s="31" t="s">
        <v>920</v>
      </c>
      <c r="G142" s="31" t="s">
        <v>920</v>
      </c>
      <c r="H142" s="31" t="s">
        <v>920</v>
      </c>
      <c r="I142" s="31" t="s">
        <v>920</v>
      </c>
    </row>
    <row r="143" ht="14.25" customHeight="1">
      <c r="A143" s="14" t="s">
        <v>1074</v>
      </c>
      <c r="B143" s="32" t="s">
        <v>108</v>
      </c>
      <c r="C143" s="30" t="str">
        <f>IFERROR(__xludf.DUMMYFUNCTION("JOIN("","",FILTER(Disciplinas!A:A, regexmatch(Disciplinas!C:C, B143)))"),"RV.TAG008,RV.TAG008,GRAD.CO.01")</f>
        <v>RV.TAG008,RV.TAG008,GRAD.CO.01</v>
      </c>
      <c r="D143" s="31" t="s">
        <v>920</v>
      </c>
      <c r="E143" s="31" t="s">
        <v>920</v>
      </c>
      <c r="F143" s="31" t="s">
        <v>920</v>
      </c>
      <c r="G143" s="31" t="s">
        <v>920</v>
      </c>
      <c r="H143" s="31" t="s">
        <v>920</v>
      </c>
      <c r="I143" s="31" t="s">
        <v>920</v>
      </c>
    </row>
    <row r="144" ht="14.25" customHeight="1">
      <c r="A144" s="14" t="s">
        <v>1075</v>
      </c>
      <c r="B144" s="32" t="s">
        <v>898</v>
      </c>
      <c r="C144" s="30" t="str">
        <f>IFERROR(__xludf.DUMMYFUNCTION("JOIN("","",FILTER(Disciplinas!A:A, regexmatch(Disciplinas!C:C, B144)))"),"GRAD.NNR.01,GRAD.FRA.01")</f>
        <v>GRAD.NNR.01,GRAD.FRA.01</v>
      </c>
      <c r="D144" s="31" t="s">
        <v>920</v>
      </c>
      <c r="E144" s="31" t="s">
        <v>920</v>
      </c>
      <c r="F144" s="31" t="s">
        <v>920</v>
      </c>
      <c r="G144" s="31" t="s">
        <v>920</v>
      </c>
      <c r="H144" s="31" t="s">
        <v>920</v>
      </c>
      <c r="I144" s="31" t="s">
        <v>920</v>
      </c>
    </row>
    <row r="145" ht="14.25" customHeight="1">
      <c r="A145" s="14" t="s">
        <v>1076</v>
      </c>
      <c r="B145" s="32" t="s">
        <v>917</v>
      </c>
      <c r="C145" s="30" t="str">
        <f>IFERROR(__xludf.DUMMYFUNCTION("JOIN("","",FILTER(Disciplinas!A:A, regexmatch(Disciplinas!C:C, B145)))"),"GRAD.SUINOCULT.01")</f>
        <v>GRAD.SUINOCULT.01</v>
      </c>
      <c r="D145" s="31" t="s">
        <v>920</v>
      </c>
      <c r="E145" s="31" t="s">
        <v>920</v>
      </c>
      <c r="F145" s="31" t="s">
        <v>920</v>
      </c>
      <c r="G145" s="31" t="s">
        <v>920</v>
      </c>
      <c r="H145" s="31" t="s">
        <v>920</v>
      </c>
      <c r="I145" s="31" t="s">
        <v>920</v>
      </c>
    </row>
    <row r="146" ht="14.25" customHeight="1">
      <c r="A146" s="14" t="s">
        <v>1077</v>
      </c>
      <c r="B146" s="32" t="s">
        <v>882</v>
      </c>
      <c r="C146" s="30" t="str">
        <f>IFERROR(__xludf.DUMMYFUNCTION("JOIN("","",FILTER(Disciplinas!A:A, regexmatch(Disciplinas!C:C, B146)))"),"GRAD.FA.02,GRAD.NR.01")</f>
        <v>GRAD.FA.02,GRAD.NR.01</v>
      </c>
      <c r="D146" s="31" t="s">
        <v>920</v>
      </c>
      <c r="E146" s="31" t="s">
        <v>920</v>
      </c>
      <c r="F146" s="31" t="s">
        <v>920</v>
      </c>
      <c r="G146" s="31" t="s">
        <v>920</v>
      </c>
      <c r="H146" s="31" t="s">
        <v>920</v>
      </c>
      <c r="I146" s="31" t="s">
        <v>920</v>
      </c>
    </row>
    <row r="147" ht="14.25" customHeight="1">
      <c r="A147" s="14" t="s">
        <v>1078</v>
      </c>
      <c r="B147" s="32" t="s">
        <v>102</v>
      </c>
      <c r="C147" s="30" t="str">
        <f>IFERROR(__xludf.DUMMYFUNCTION("JOIN("","",FILTER(Disciplinas!A:A, regexmatch(Disciplinas!C:C, B147)))"),"RV.TAG006,RV.TAG006,RV.ZOO234")</f>
        <v>RV.TAG006,RV.TAG006,RV.ZOO234</v>
      </c>
      <c r="D147" s="31" t="s">
        <v>920</v>
      </c>
      <c r="E147" s="31" t="s">
        <v>920</v>
      </c>
      <c r="F147" s="31" t="s">
        <v>920</v>
      </c>
      <c r="G147" s="31" t="s">
        <v>920</v>
      </c>
      <c r="H147" s="31" t="s">
        <v>920</v>
      </c>
      <c r="I147" s="31" t="s">
        <v>920</v>
      </c>
    </row>
    <row r="148" ht="14.25" customHeight="1">
      <c r="A148" s="14" t="s">
        <v>1079</v>
      </c>
      <c r="B148" s="32" t="s">
        <v>878</v>
      </c>
      <c r="C148" s="30" t="str">
        <f>IFERROR(__xludf.DUMMYFUNCTION("JOIN("","",FILTER(Disciplinas!A:A, regexmatch(Disciplinas!C:C, B148)))"),"GRAD.EE.02")</f>
        <v>GRAD.EE.02</v>
      </c>
      <c r="D148" s="31" t="s">
        <v>920</v>
      </c>
      <c r="E148" s="31" t="s">
        <v>920</v>
      </c>
      <c r="F148" s="31" t="s">
        <v>920</v>
      </c>
      <c r="G148" s="31" t="s">
        <v>920</v>
      </c>
      <c r="H148" s="31" t="s">
        <v>920</v>
      </c>
      <c r="I148" s="31" t="s">
        <v>920</v>
      </c>
    </row>
    <row r="149" ht="15.75" customHeight="1">
      <c r="A149" s="14" t="s">
        <v>1080</v>
      </c>
      <c r="B149" s="34" t="s">
        <v>1081</v>
      </c>
      <c r="C149" s="30" t="str">
        <f>IFERROR(__xludf.DUMMYFUNCTION("JOIN("","",FILTER(Disciplinas!A:A, regexmatch(Disciplinas!C:C, B149)))"),"#N/A")</f>
        <v>#N/A</v>
      </c>
      <c r="D149" s="31" t="s">
        <v>920</v>
      </c>
      <c r="E149" s="31" t="s">
        <v>920</v>
      </c>
      <c r="F149" s="31" t="s">
        <v>920</v>
      </c>
      <c r="G149" s="31" t="s">
        <v>920</v>
      </c>
      <c r="H149" s="31" t="s">
        <v>920</v>
      </c>
      <c r="I149" s="31" t="s">
        <v>920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6" t="s">
        <v>0</v>
      </c>
      <c r="B1" s="27" t="s">
        <v>1082</v>
      </c>
      <c r="C1" s="27" t="s">
        <v>1083</v>
      </c>
      <c r="D1" s="28" t="s">
        <v>1084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6" t="s">
        <v>1085</v>
      </c>
      <c r="B2" s="37" t="s">
        <v>1086</v>
      </c>
      <c r="C2" s="37" t="s">
        <v>1087</v>
      </c>
      <c r="D2" s="30" t="str">
        <f>IFERROR(__xludf.DUMMYFUNCTION("JOIN("","",FILTER(Turmas!A:A,Turmas!B:B=B2))"),"20212.02ADM20N.2N,20212.02ADM20N.4N,20212.02ADM20N.6N")</f>
        <v>20212.02ADM20N.2N,20212.02ADM20N.4N,20212.02ADM20N.6N</v>
      </c>
      <c r="E2" s="31" t="s">
        <v>1088</v>
      </c>
      <c r="F2" s="31" t="s">
        <v>1088</v>
      </c>
      <c r="G2" s="31" t="s">
        <v>1088</v>
      </c>
      <c r="H2" s="31" t="s">
        <v>1088</v>
      </c>
      <c r="I2" s="31" t="s">
        <v>1088</v>
      </c>
      <c r="J2" s="31" t="s">
        <v>1089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38" t="s">
        <v>1090</v>
      </c>
      <c r="B3" s="37" t="s">
        <v>1091</v>
      </c>
      <c r="C3" s="39" t="s">
        <v>1092</v>
      </c>
      <c r="D3" s="30" t="str">
        <f>IFERROR(__xludf.DUMMYFUNCTION("JOIN("","",FILTER(Turmas!A:A,Turmas!B:B=B3))"),"20212.02AGN21N.5N")</f>
        <v>20212.02AGN21N.5N</v>
      </c>
      <c r="E3" s="31" t="s">
        <v>1093</v>
      </c>
      <c r="F3" s="31" t="s">
        <v>1093</v>
      </c>
      <c r="G3" s="31" t="s">
        <v>1093</v>
      </c>
      <c r="H3" s="31" t="s">
        <v>1093</v>
      </c>
      <c r="I3" s="31" t="s">
        <v>1093</v>
      </c>
      <c r="J3" s="31" t="s">
        <v>920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36" t="s">
        <v>1094</v>
      </c>
      <c r="B4" s="37" t="s">
        <v>1095</v>
      </c>
      <c r="C4" s="37" t="s">
        <v>1087</v>
      </c>
      <c r="D4" s="30" t="str">
        <f>IFERROR(__xludf.DUMMYFUNCTION("JOIN("","",FILTER(Turmas!A:A,Turmas!B:B=B4))"),"20212.02AGR20I.10M,20212.02AGR20I.1M,20212.02AGR20I.2V,20212.02AGR20I.3M,20212.02AGR20I.4V,20212.02AGR20I.6M,20212.02AGR20I.8V,20212.02AGR20I.TE,20212.02AGR20I.TE2P,20212.02AGR20I.TE6P")</f>
        <v>20212.02AGR20I.10M,20212.02AGR20I.1M,20212.02AGR20I.2V,20212.02AGR20I.3M,20212.02AGR20I.4V,20212.02AGR20I.6M,20212.02AGR20I.8V,20212.02AGR20I.TE,20212.02AGR20I.TE2P,20212.02AGR20I.TE6P</v>
      </c>
      <c r="E4" s="31" t="s">
        <v>1088</v>
      </c>
      <c r="F4" s="31" t="s">
        <v>1088</v>
      </c>
      <c r="G4" s="31" t="s">
        <v>1088</v>
      </c>
      <c r="H4" s="31" t="s">
        <v>1088</v>
      </c>
      <c r="I4" s="31" t="s">
        <v>1088</v>
      </c>
      <c r="J4" s="31" t="s">
        <v>1089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36" t="s">
        <v>1096</v>
      </c>
      <c r="B5" s="37" t="s">
        <v>1097</v>
      </c>
      <c r="C5" s="39" t="s">
        <v>1087</v>
      </c>
      <c r="D5" s="30" t="str">
        <f>IFERROR(__xludf.DUMMYFUNCTION("JOIN("","",FILTER(Turmas!A:A,Turmas!B:B=B5))"),"20212.02CDC20I.2M,20212.02CDC20I.4V,20212.02CDC20I.6M,20212.02CDC20I.8V,20212.02CDC20I.TE")</f>
        <v>20212.02CDC20I.2M,20212.02CDC20I.4V,20212.02CDC20I.6M,20212.02CDC20I.8V,20212.02CDC20I.TE</v>
      </c>
      <c r="E5" s="31" t="s">
        <v>1088</v>
      </c>
      <c r="F5" s="31" t="s">
        <v>1088</v>
      </c>
      <c r="G5" s="31" t="s">
        <v>1088</v>
      </c>
      <c r="H5" s="31" t="s">
        <v>1088</v>
      </c>
      <c r="I5" s="31" t="s">
        <v>1088</v>
      </c>
      <c r="J5" s="31" t="s">
        <v>1089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36" t="s">
        <v>1098</v>
      </c>
      <c r="B6" s="37" t="s">
        <v>1099</v>
      </c>
      <c r="C6" s="37" t="s">
        <v>1087</v>
      </c>
      <c r="D6" s="30" t="str">
        <f>IFERROR(__xludf.DUMMYFUNCTION("JOIN("","",FILTER(Turmas!A:A,Turmas!B:B=B6))"),"20212.02BIO22N.TE,20212.02BIO23I.2M,20212.02BIO23I.4V,20212.02BIO23I.6M,20212.02BIO23I.8V")</f>
        <v>20212.02BIO22N.TE,20212.02BIO23I.2M,20212.02BIO23I.4V,20212.02BIO23I.6M,20212.02BIO23I.8V</v>
      </c>
      <c r="E6" s="31" t="s">
        <v>1088</v>
      </c>
      <c r="F6" s="31" t="s">
        <v>1088</v>
      </c>
      <c r="G6" s="31" t="s">
        <v>1088</v>
      </c>
      <c r="H6" s="31" t="s">
        <v>1088</v>
      </c>
      <c r="I6" s="31" t="s">
        <v>1088</v>
      </c>
      <c r="J6" s="31" t="s">
        <v>1089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38" t="s">
        <v>1100</v>
      </c>
      <c r="B7" s="37" t="s">
        <v>1101</v>
      </c>
      <c r="C7" s="39" t="s">
        <v>1102</v>
      </c>
      <c r="D7" s="30" t="str">
        <f>IFERROR(__xludf.DUMMYFUNCTION("JOIN("","",FILTER(Turmas!A:A,Turmas!B:B=B7))"),"20212.02BIO22N.2N,20212.02BIO22N.4N,20212.02BIO22N.6N,20212.02BIO22N.8N")</f>
        <v>20212.02BIO22N.2N,20212.02BIO22N.4N,20212.02BIO22N.6N,20212.02BIO22N.8N</v>
      </c>
      <c r="E7" s="31" t="s">
        <v>1093</v>
      </c>
      <c r="F7" s="31" t="s">
        <v>1093</v>
      </c>
      <c r="G7" s="31" t="s">
        <v>1093</v>
      </c>
      <c r="H7" s="31" t="s">
        <v>1093</v>
      </c>
      <c r="I7" s="31" t="s">
        <v>1093</v>
      </c>
      <c r="J7" s="31" t="s">
        <v>920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6" t="s">
        <v>1103</v>
      </c>
      <c r="B8" s="37" t="s">
        <v>1104</v>
      </c>
      <c r="C8" s="37" t="s">
        <v>1087</v>
      </c>
      <c r="D8" s="30" t="str">
        <f>IFERROR(__xludf.DUMMYFUNCTION("JOIN("","",FILTER(Turmas!A:A,Turmas!B:B=B8))"),"20212.02EAM20I.2M,20212.02EAM20I.4V,20212.02EAM20I.6M,20212.02EAM20I.8V")</f>
        <v>20212.02EAM20I.2M,20212.02EAM20I.4V,20212.02EAM20I.6M,20212.02EAM20I.8V</v>
      </c>
      <c r="E8" s="31" t="s">
        <v>1088</v>
      </c>
      <c r="F8" s="31" t="s">
        <v>1088</v>
      </c>
      <c r="G8" s="31" t="s">
        <v>1088</v>
      </c>
      <c r="H8" s="31" t="s">
        <v>1088</v>
      </c>
      <c r="I8" s="31" t="s">
        <v>1088</v>
      </c>
      <c r="J8" s="31" t="s">
        <v>1089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6" t="s">
        <v>1105</v>
      </c>
      <c r="B9" s="37" t="s">
        <v>1106</v>
      </c>
      <c r="C9" s="39" t="s">
        <v>1087</v>
      </c>
      <c r="D9" s="30" t="str">
        <f>IFERROR(__xludf.DUMMYFUNCTION("JOIN("","",FILTER(Turmas!A:A,Turmas!B:B=B9))"),"20212.02ALI20I.2M,20212.02ALI20I.4V,20212.02ALI20I.6M,20212.02ALI20I.8V,20212.02ALI20I.TE")</f>
        <v>20212.02ALI20I.2M,20212.02ALI20I.4V,20212.02ALI20I.6M,20212.02ALI20I.8V,20212.02ALI20I.TE</v>
      </c>
      <c r="E9" s="31" t="s">
        <v>1088</v>
      </c>
      <c r="F9" s="31" t="s">
        <v>1088</v>
      </c>
      <c r="G9" s="31" t="s">
        <v>1088</v>
      </c>
      <c r="H9" s="31" t="s">
        <v>1088</v>
      </c>
      <c r="I9" s="31" t="s">
        <v>1088</v>
      </c>
      <c r="J9" s="31" t="s">
        <v>1089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6" t="s">
        <v>1107</v>
      </c>
      <c r="B10" s="37" t="s">
        <v>1108</v>
      </c>
      <c r="C10" s="37" t="s">
        <v>1087</v>
      </c>
      <c r="D10" s="30" t="str">
        <f>IFERROR(__xludf.DUMMYFUNCTION("JOIN("","",FILTER(Turmas!A:A,Turmas!B:B=B10))"),"20212.02CIV20I.2M,20212.02CIV20I.4V,20212.02CIV20I.6M,20212.02CIV20I.8V,20212.02CIV20I.TE")</f>
        <v>20212.02CIV20I.2M,20212.02CIV20I.4V,20212.02CIV20I.6M,20212.02CIV20I.8V,20212.02CIV20I.TE</v>
      </c>
      <c r="E10" s="31" t="s">
        <v>1088</v>
      </c>
      <c r="F10" s="31" t="s">
        <v>1088</v>
      </c>
      <c r="G10" s="31" t="s">
        <v>1088</v>
      </c>
      <c r="H10" s="31" t="s">
        <v>1088</v>
      </c>
      <c r="I10" s="31" t="s">
        <v>1088</v>
      </c>
      <c r="J10" s="31" t="s">
        <v>1089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6" t="s">
        <v>1109</v>
      </c>
      <c r="B11" s="37" t="s">
        <v>1110</v>
      </c>
      <c r="C11" s="39" t="s">
        <v>1087</v>
      </c>
      <c r="D11" s="30" t="str">
        <f>IFERROR(__xludf.DUMMYFUNCTION("JOIN("","",FILTER(Turmas!A:A,Turmas!B:B=B11))"),"20212.02ENQ20I.2M,20212.02ENQ20I.4V")</f>
        <v>20212.02ENQ20I.2M,20212.02ENQ20I.4V</v>
      </c>
      <c r="E11" s="31" t="s">
        <v>1088</v>
      </c>
      <c r="F11" s="31" t="s">
        <v>1088</v>
      </c>
      <c r="G11" s="31" t="s">
        <v>1088</v>
      </c>
      <c r="H11" s="31" t="s">
        <v>1088</v>
      </c>
      <c r="I11" s="31" t="s">
        <v>1088</v>
      </c>
      <c r="J11" s="31" t="s">
        <v>1089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40" t="s">
        <v>1111</v>
      </c>
      <c r="B12" s="37" t="s">
        <v>1112</v>
      </c>
      <c r="C12" s="41" t="s">
        <v>1102</v>
      </c>
      <c r="D12" s="30" t="str">
        <f>IFERROR(__xludf.DUMMYFUNCTION("JOIN("","",FILTER(Turmas!A:A,Turmas!B:B=B12))"),"20212.02QUI22N.2N,20212.02QUI22N.4N,20212.02QUI22N.6N,20212.02QUI22N.7N,20212.02QUI22N.8N,20212.02QUI22N.TE")</f>
        <v>20212.02QUI22N.2N,20212.02QUI22N.4N,20212.02QUI22N.6N,20212.02QUI22N.7N,20212.02QUI22N.8N,20212.02QUI22N.TE</v>
      </c>
      <c r="E12" s="31" t="s">
        <v>1093</v>
      </c>
      <c r="F12" s="31" t="s">
        <v>1093</v>
      </c>
      <c r="G12" s="31" t="s">
        <v>1093</v>
      </c>
      <c r="H12" s="31" t="s">
        <v>1093</v>
      </c>
      <c r="I12" s="31" t="s">
        <v>1093</v>
      </c>
      <c r="J12" s="31" t="s">
        <v>920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8" t="s">
        <v>1113</v>
      </c>
      <c r="B13" s="37" t="s">
        <v>1114</v>
      </c>
      <c r="C13" s="39" t="s">
        <v>1092</v>
      </c>
      <c r="D13" s="30" t="str">
        <f>IFERROR(__xludf.DUMMYFUNCTION("JOIN("","",FILTER(Turmas!A:A,Turmas!B:B=B13))"),"20212.02SAM21N.4N,20212.02SAM21N.6N")</f>
        <v>20212.02SAM21N.4N,20212.02SAM21N.6N</v>
      </c>
      <c r="E13" s="31" t="s">
        <v>1093</v>
      </c>
      <c r="F13" s="31" t="s">
        <v>1093</v>
      </c>
      <c r="G13" s="31" t="s">
        <v>1093</v>
      </c>
      <c r="H13" s="31" t="s">
        <v>1093</v>
      </c>
      <c r="I13" s="31" t="s">
        <v>1093</v>
      </c>
      <c r="J13" s="31" t="s">
        <v>920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8" t="s">
        <v>1115</v>
      </c>
      <c r="B14" s="37" t="s">
        <v>1116</v>
      </c>
      <c r="C14" s="42" t="s">
        <v>1087</v>
      </c>
      <c r="D14" s="30" t="str">
        <f>IFERROR(__xludf.DUMMYFUNCTION("JOIN("","",FILTER(Turmas!A:A,Turmas!B:B=B14))"),"20212.02ZOO20I.2M,20212.02ZOO20I.4V,20212.02ZOO20I.6M,20212.02ZOO20I.8V")</f>
        <v>20212.02ZOO20I.2M,20212.02ZOO20I.4V,20212.02ZOO20I.6M,20212.02ZOO20I.8V</v>
      </c>
      <c r="E14" s="31" t="s">
        <v>1088</v>
      </c>
      <c r="F14" s="31" t="s">
        <v>1088</v>
      </c>
      <c r="G14" s="31" t="s">
        <v>1088</v>
      </c>
      <c r="H14" s="31" t="s">
        <v>1088</v>
      </c>
      <c r="I14" s="31" t="s">
        <v>1088</v>
      </c>
      <c r="J14" s="31" t="s">
        <v>1089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6" t="s">
        <v>1117</v>
      </c>
      <c r="B15" s="37" t="s">
        <v>1118</v>
      </c>
      <c r="C15" s="37" t="s">
        <v>1119</v>
      </c>
      <c r="D15" s="30" t="str">
        <f>IFERROR(__xludf.DUMMYFUNCTION("JOIN("","",FILTER(Turmas!A:A,Turmas!B:B=B15))"),"20212.02ADM12N.TE")</f>
        <v>20212.02ADM12N.TE</v>
      </c>
      <c r="E15" s="31" t="s">
        <v>920</v>
      </c>
      <c r="F15" s="31" t="s">
        <v>920</v>
      </c>
      <c r="G15" s="31" t="s">
        <v>920</v>
      </c>
      <c r="H15" s="31" t="s">
        <v>920</v>
      </c>
      <c r="I15" s="31" t="s">
        <v>920</v>
      </c>
      <c r="J15" s="31" t="s">
        <v>920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36" t="s">
        <v>1120</v>
      </c>
      <c r="B16" s="43" t="s">
        <v>1121</v>
      </c>
      <c r="C16" s="37" t="s">
        <v>1119</v>
      </c>
      <c r="D16" s="30" t="str">
        <f>IFERROR(__xludf.DUMMYFUNCTION("JOIN("","",FILTER(Turmas!A:A,Turmas!B:B=B16))"),"20212.02AGP11M.2M,20212.02AGP11M.4M,20212.02AGP11V.2V,20212.02AGP11V.4V")</f>
        <v>20212.02AGP11M.2M,20212.02AGP11M.4M,20212.02AGP11V.2V,20212.02AGP11V.4V</v>
      </c>
      <c r="E16" s="31" t="s">
        <v>1088</v>
      </c>
      <c r="F16" s="31" t="s">
        <v>1088</v>
      </c>
      <c r="G16" s="31" t="s">
        <v>1088</v>
      </c>
      <c r="H16" s="31" t="s">
        <v>1088</v>
      </c>
      <c r="I16" s="31" t="s">
        <v>1088</v>
      </c>
      <c r="J16" s="31" t="s">
        <v>1089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36" t="s">
        <v>1122</v>
      </c>
      <c r="B17" s="43" t="s">
        <v>1123</v>
      </c>
      <c r="C17" s="37" t="s">
        <v>1119</v>
      </c>
      <c r="D17" s="30" t="str">
        <f>IFERROR(__xludf.DUMMYFUNCTION("JOIN("","",FILTER(Turmas!A:A,Turmas!B:B=B17))"),"20212.02ALI11N.2N,20212.02ALI11N.4N,20212.02ALI11N.TE")</f>
        <v>20212.02ALI11N.2N,20212.02ALI11N.4N,20212.02ALI11N.TE</v>
      </c>
      <c r="E17" s="31" t="s">
        <v>1093</v>
      </c>
      <c r="F17" s="31" t="s">
        <v>1093</v>
      </c>
      <c r="G17" s="31" t="s">
        <v>1093</v>
      </c>
      <c r="H17" s="31" t="s">
        <v>1093</v>
      </c>
      <c r="I17" s="31" t="s">
        <v>1093</v>
      </c>
      <c r="J17" s="31" t="s">
        <v>920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36" t="s">
        <v>1124</v>
      </c>
      <c r="B18" s="43" t="s">
        <v>1125</v>
      </c>
      <c r="C18" s="37" t="s">
        <v>1119</v>
      </c>
      <c r="D18" s="30" t="str">
        <f>IFERROR(__xludf.DUMMYFUNCTION("JOIN("","",FILTER(Turmas!A:A,Turmas!B:B=B18))"),"20212.02BTC11N.2N,20212.02BTC11N.4N")</f>
        <v>20212.02BTC11N.2N,20212.02BTC11N.4N</v>
      </c>
      <c r="E18" s="31" t="s">
        <v>1093</v>
      </c>
      <c r="F18" s="31" t="s">
        <v>1093</v>
      </c>
      <c r="G18" s="31" t="s">
        <v>1093</v>
      </c>
      <c r="H18" s="31" t="s">
        <v>1093</v>
      </c>
      <c r="I18" s="31" t="s">
        <v>1093</v>
      </c>
      <c r="J18" s="31" t="s">
        <v>920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36" t="s">
        <v>1126</v>
      </c>
      <c r="B19" s="43" t="s">
        <v>1127</v>
      </c>
      <c r="C19" s="37" t="s">
        <v>1119</v>
      </c>
      <c r="D19" s="30" t="str">
        <f>IFERROR(__xludf.DUMMYFUNCTION("JOIN("","",FILTER(Turmas!A:A,Turmas!B:B=B19))"),"20212.02COT11N.2N")</f>
        <v>20212.02COT11N.2N</v>
      </c>
      <c r="E19" s="31" t="s">
        <v>1093</v>
      </c>
      <c r="F19" s="31" t="s">
        <v>1093</v>
      </c>
      <c r="G19" s="31" t="s">
        <v>1093</v>
      </c>
      <c r="H19" s="31" t="s">
        <v>1093</v>
      </c>
      <c r="I19" s="31" t="s">
        <v>1093</v>
      </c>
      <c r="J19" s="31" t="s">
        <v>920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36" t="s">
        <v>1128</v>
      </c>
      <c r="B20" s="43" t="s">
        <v>1129</v>
      </c>
      <c r="C20" s="37" t="s">
        <v>1119</v>
      </c>
      <c r="D20" s="30" t="str">
        <f>IFERROR(__xludf.DUMMYFUNCTION("JOIN("","",FILTER(Turmas!A:A,Turmas!B:B=B20))"),"20212.02EDI11N.2N,20212.02EDI11N.4N")</f>
        <v>20212.02EDI11N.2N,20212.02EDI11N.4N</v>
      </c>
      <c r="E20" s="31" t="s">
        <v>1093</v>
      </c>
      <c r="F20" s="31" t="s">
        <v>1093</v>
      </c>
      <c r="G20" s="31" t="s">
        <v>1093</v>
      </c>
      <c r="H20" s="31" t="s">
        <v>1093</v>
      </c>
      <c r="I20" s="31" t="s">
        <v>1093</v>
      </c>
      <c r="J20" s="31" t="s">
        <v>920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36" t="s">
        <v>1130</v>
      </c>
      <c r="B21" s="43" t="s">
        <v>1131</v>
      </c>
      <c r="C21" s="37" t="s">
        <v>1119</v>
      </c>
      <c r="D21" s="30" t="str">
        <f>IFERROR(__xludf.DUMMYFUNCTION("JOIN("","",FILTER(Turmas!A:A,Turmas!B:B=B21))"),"20212.02INF11N.1N,20212.02INF11N.2N,20212.02INF11N.3N,20212.02INF11N.4N")</f>
        <v>20212.02INF11N.1N,20212.02INF11N.2N,20212.02INF11N.3N,20212.02INF11N.4N</v>
      </c>
      <c r="E21" s="31" t="s">
        <v>1093</v>
      </c>
      <c r="F21" s="31" t="s">
        <v>1093</v>
      </c>
      <c r="G21" s="31" t="s">
        <v>1093</v>
      </c>
      <c r="H21" s="31" t="s">
        <v>1093</v>
      </c>
      <c r="I21" s="31" t="s">
        <v>1093</v>
      </c>
      <c r="J21" s="31" t="s">
        <v>920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36" t="s">
        <v>1132</v>
      </c>
      <c r="B22" s="43" t="s">
        <v>1133</v>
      </c>
      <c r="C22" s="37" t="s">
        <v>1119</v>
      </c>
      <c r="D22" s="30" t="str">
        <f>IFERROR(__xludf.DUMMYFUNCTION("JOIN("","",FILTER(Turmas!A:A,Turmas!B:B=B22))"),"20212.02QUI10N.2N,20212.02QUI10N.TE")</f>
        <v>20212.02QUI10N.2N,20212.02QUI10N.TE</v>
      </c>
      <c r="E22" s="31" t="s">
        <v>1093</v>
      </c>
      <c r="F22" s="31" t="s">
        <v>1093</v>
      </c>
      <c r="G22" s="31" t="s">
        <v>1093</v>
      </c>
      <c r="H22" s="31" t="s">
        <v>1093</v>
      </c>
      <c r="I22" s="31" t="s">
        <v>1093</v>
      </c>
      <c r="J22" s="31" t="s">
        <v>920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36" t="s">
        <v>1134</v>
      </c>
      <c r="B23" s="43" t="s">
        <v>1135</v>
      </c>
      <c r="C23" s="37" t="s">
        <v>1119</v>
      </c>
      <c r="D23" s="30" t="str">
        <f>IFERROR(__xludf.DUMMYFUNCTION("JOIN("","",FILTER(Turmas!A:A,Turmas!B:B=B23))"),"20212.02SGT11N.2N,20212.02SGT11N.4N")</f>
        <v>20212.02SGT11N.2N,20212.02SGT11N.4N</v>
      </c>
      <c r="E23" s="31" t="s">
        <v>1093</v>
      </c>
      <c r="F23" s="31" t="s">
        <v>1093</v>
      </c>
      <c r="G23" s="31" t="s">
        <v>1093</v>
      </c>
      <c r="H23" s="31" t="s">
        <v>1093</v>
      </c>
      <c r="I23" s="31" t="s">
        <v>1093</v>
      </c>
      <c r="J23" s="31" t="s">
        <v>920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36" t="s">
        <v>1136</v>
      </c>
      <c r="B24" s="37" t="s">
        <v>1137</v>
      </c>
      <c r="C24" s="37" t="s">
        <v>1138</v>
      </c>
      <c r="D24" s="30" t="str">
        <f>IFERROR(__xludf.DUMMYFUNCTION("JOIN("","",FILTER(Turmas!A:A,Turmas!B:B=B24))"),"20212.02ADM11N.2N")</f>
        <v>20212.02ADM11N.2N</v>
      </c>
      <c r="E24" s="31" t="s">
        <v>1093</v>
      </c>
      <c r="F24" s="31" t="s">
        <v>1093</v>
      </c>
      <c r="G24" s="31" t="s">
        <v>1093</v>
      </c>
      <c r="H24" s="31" t="s">
        <v>1093</v>
      </c>
      <c r="I24" s="31" t="s">
        <v>1093</v>
      </c>
      <c r="J24" s="31" t="s">
        <v>920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36" t="s">
        <v>1139</v>
      </c>
      <c r="B25" s="37" t="s">
        <v>1140</v>
      </c>
      <c r="C25" s="37" t="s">
        <v>1138</v>
      </c>
      <c r="D25" s="30" t="str">
        <f>IFERROR(__xludf.DUMMYFUNCTION("JOIN("","",FILTER(Turmas!A:A,Turmas!B:B=B25))"),"20212.02EDI12N.TE")</f>
        <v>20212.02EDI12N.TE</v>
      </c>
      <c r="E25" s="31" t="s">
        <v>1093</v>
      </c>
      <c r="F25" s="31" t="s">
        <v>1093</v>
      </c>
      <c r="G25" s="31" t="s">
        <v>1093</v>
      </c>
      <c r="H25" s="31" t="s">
        <v>1093</v>
      </c>
      <c r="I25" s="31" t="s">
        <v>1093</v>
      </c>
      <c r="J25" s="31" t="s">
        <v>920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36" t="s">
        <v>1141</v>
      </c>
      <c r="B26" s="37" t="s">
        <v>1142</v>
      </c>
      <c r="C26" s="37" t="s">
        <v>1087</v>
      </c>
      <c r="D26" s="30" t="str">
        <f>IFERROR(__xludf.DUMMYFUNCTION("JOIN("","",FILTER(Turmas!A:A,Turmas!B:B=B26))"),"#N/A")</f>
        <v>#N/A</v>
      </c>
      <c r="E26" s="31" t="s">
        <v>920</v>
      </c>
      <c r="F26" s="31" t="s">
        <v>920</v>
      </c>
      <c r="G26" s="31" t="s">
        <v>920</v>
      </c>
      <c r="H26" s="31" t="s">
        <v>920</v>
      </c>
      <c r="I26" s="31" t="s">
        <v>920</v>
      </c>
      <c r="J26" s="31" t="s">
        <v>920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36"/>
      <c r="B27" s="37"/>
      <c r="C27" s="37"/>
      <c r="D27" s="44"/>
      <c r="E27" s="31"/>
      <c r="F27" s="31"/>
      <c r="G27" s="31"/>
      <c r="H27" s="31"/>
      <c r="I27" s="31"/>
      <c r="J27" s="31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36"/>
      <c r="B28" s="37"/>
      <c r="C28" s="37"/>
      <c r="D28" s="44"/>
      <c r="E28" s="31"/>
      <c r="F28" s="31"/>
      <c r="G28" s="31"/>
      <c r="H28" s="31"/>
      <c r="I28" s="31"/>
      <c r="J28" s="31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36"/>
      <c r="B29" s="37"/>
      <c r="C29" s="37"/>
      <c r="D29" s="44"/>
      <c r="E29" s="31"/>
      <c r="F29" s="31"/>
      <c r="G29" s="31"/>
      <c r="H29" s="31"/>
      <c r="I29" s="31"/>
      <c r="J29" s="31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36"/>
      <c r="B30" s="37"/>
      <c r="C30" s="37"/>
      <c r="D30" s="44"/>
      <c r="E30" s="31"/>
      <c r="F30" s="31"/>
      <c r="G30" s="31"/>
      <c r="H30" s="31"/>
      <c r="I30" s="31"/>
      <c r="J30" s="31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36"/>
      <c r="B31" s="37"/>
      <c r="C31" s="37"/>
      <c r="D31" s="44"/>
      <c r="E31" s="31"/>
      <c r="F31" s="31"/>
      <c r="G31" s="31"/>
      <c r="H31" s="31"/>
      <c r="I31" s="31"/>
      <c r="J31" s="31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36"/>
      <c r="B32" s="37"/>
      <c r="C32" s="37"/>
      <c r="D32" s="44"/>
      <c r="E32" s="31"/>
      <c r="F32" s="31"/>
      <c r="G32" s="31"/>
      <c r="H32" s="31"/>
      <c r="I32" s="31"/>
      <c r="J32" s="31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6"/>
      <c r="B33" s="37"/>
      <c r="C33" s="37"/>
      <c r="D33" s="44"/>
      <c r="E33" s="31"/>
      <c r="F33" s="31"/>
      <c r="G33" s="31"/>
      <c r="H33" s="31"/>
      <c r="I33" s="31"/>
      <c r="J33" s="31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36"/>
      <c r="B34" s="37"/>
      <c r="C34" s="37"/>
      <c r="D34" s="44"/>
      <c r="E34" s="31"/>
      <c r="F34" s="31"/>
      <c r="G34" s="31"/>
      <c r="H34" s="31"/>
      <c r="I34" s="31"/>
      <c r="J34" s="31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36"/>
      <c r="B35" s="37"/>
      <c r="C35" s="37"/>
      <c r="D35" s="44"/>
      <c r="E35" s="31"/>
      <c r="F35" s="31"/>
      <c r="G35" s="31"/>
      <c r="H35" s="31"/>
      <c r="I35" s="31"/>
      <c r="J35" s="31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36"/>
      <c r="B36" s="37"/>
      <c r="C36" s="37"/>
      <c r="D36" s="44"/>
      <c r="E36" s="31"/>
      <c r="F36" s="31"/>
      <c r="G36" s="31"/>
      <c r="H36" s="31"/>
      <c r="I36" s="31"/>
      <c r="J36" s="31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36"/>
      <c r="B37" s="37"/>
      <c r="C37" s="37"/>
      <c r="D37" s="44"/>
      <c r="E37" s="31"/>
      <c r="F37" s="31"/>
      <c r="G37" s="31"/>
      <c r="H37" s="31"/>
      <c r="I37" s="31"/>
      <c r="J37" s="31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36"/>
      <c r="B38" s="37"/>
      <c r="C38" s="37"/>
      <c r="D38" s="44"/>
      <c r="E38" s="31"/>
      <c r="F38" s="31"/>
      <c r="G38" s="31"/>
      <c r="H38" s="31"/>
      <c r="I38" s="31"/>
      <c r="J38" s="31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36"/>
      <c r="B39" s="37"/>
      <c r="C39" s="37"/>
      <c r="D39" s="44"/>
      <c r="E39" s="31"/>
      <c r="F39" s="31"/>
      <c r="G39" s="31"/>
      <c r="H39" s="31"/>
      <c r="I39" s="31"/>
      <c r="J39" s="31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36"/>
      <c r="B40" s="37"/>
      <c r="C40" s="37"/>
      <c r="D40" s="44"/>
      <c r="E40" s="31"/>
      <c r="F40" s="31"/>
      <c r="G40" s="31"/>
      <c r="H40" s="31"/>
      <c r="I40" s="31"/>
      <c r="J40" s="31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36"/>
      <c r="B41" s="37"/>
      <c r="C41" s="37"/>
      <c r="D41" s="44"/>
      <c r="E41" s="31"/>
      <c r="F41" s="31"/>
      <c r="G41" s="31"/>
      <c r="H41" s="31"/>
      <c r="I41" s="31"/>
      <c r="J41" s="31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36"/>
      <c r="B42" s="37"/>
      <c r="C42" s="37"/>
      <c r="D42" s="44"/>
      <c r="E42" s="31"/>
      <c r="F42" s="31"/>
      <c r="G42" s="31"/>
      <c r="H42" s="31"/>
      <c r="I42" s="31"/>
      <c r="J42" s="31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36"/>
      <c r="B43" s="37"/>
      <c r="C43" s="37"/>
      <c r="D43" s="44"/>
      <c r="E43" s="31"/>
      <c r="F43" s="31"/>
      <c r="G43" s="31"/>
      <c r="H43" s="31"/>
      <c r="I43" s="31"/>
      <c r="J43" s="31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36"/>
      <c r="B44" s="37"/>
      <c r="C44" s="37"/>
      <c r="D44" s="44"/>
      <c r="E44" s="31"/>
      <c r="F44" s="31"/>
      <c r="G44" s="31"/>
      <c r="H44" s="31"/>
      <c r="I44" s="31"/>
      <c r="J44" s="31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36"/>
      <c r="B45" s="37"/>
      <c r="C45" s="37"/>
      <c r="D45" s="44"/>
      <c r="E45" s="31"/>
      <c r="F45" s="31"/>
      <c r="G45" s="31"/>
      <c r="H45" s="31"/>
      <c r="I45" s="31"/>
      <c r="J45" s="31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36"/>
      <c r="B46" s="37"/>
      <c r="C46" s="37"/>
      <c r="D46" s="44"/>
      <c r="E46" s="31"/>
      <c r="F46" s="31"/>
      <c r="G46" s="31"/>
      <c r="H46" s="31"/>
      <c r="I46" s="31"/>
      <c r="J46" s="31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36"/>
      <c r="B47" s="37"/>
      <c r="C47" s="37"/>
      <c r="D47" s="44"/>
      <c r="E47" s="31"/>
      <c r="F47" s="31"/>
      <c r="G47" s="31"/>
      <c r="H47" s="31"/>
      <c r="I47" s="31"/>
      <c r="J47" s="31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36"/>
      <c r="B48" s="37"/>
      <c r="C48" s="37"/>
      <c r="D48" s="44"/>
      <c r="E48" s="31"/>
      <c r="F48" s="31"/>
      <c r="G48" s="31"/>
      <c r="H48" s="31"/>
      <c r="I48" s="31"/>
      <c r="J48" s="31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36"/>
      <c r="B49" s="37"/>
      <c r="C49" s="37"/>
      <c r="D49" s="44"/>
      <c r="E49" s="31"/>
      <c r="F49" s="31"/>
      <c r="G49" s="31"/>
      <c r="H49" s="31"/>
      <c r="I49" s="31"/>
      <c r="J49" s="31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36"/>
      <c r="B50" s="37"/>
      <c r="C50" s="37"/>
      <c r="D50" s="44"/>
      <c r="E50" s="31"/>
      <c r="F50" s="31"/>
      <c r="G50" s="31"/>
      <c r="H50" s="31"/>
      <c r="I50" s="31"/>
      <c r="J50" s="31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36"/>
      <c r="B51" s="37"/>
      <c r="C51" s="37"/>
      <c r="D51" s="44"/>
      <c r="E51" s="31"/>
      <c r="F51" s="31"/>
      <c r="G51" s="31"/>
      <c r="H51" s="31"/>
      <c r="I51" s="31"/>
      <c r="J51" s="31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36"/>
      <c r="B52" s="37"/>
      <c r="C52" s="37"/>
      <c r="D52" s="44"/>
      <c r="E52" s="31"/>
      <c r="F52" s="31"/>
      <c r="G52" s="31"/>
      <c r="H52" s="31"/>
      <c r="I52" s="31"/>
      <c r="J52" s="31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36"/>
      <c r="B53" s="37"/>
      <c r="C53" s="37"/>
      <c r="D53" s="44"/>
      <c r="E53" s="31"/>
      <c r="F53" s="31"/>
      <c r="G53" s="31"/>
      <c r="H53" s="31"/>
      <c r="I53" s="31"/>
      <c r="J53" s="31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36"/>
      <c r="B54" s="37"/>
      <c r="C54" s="37"/>
      <c r="D54" s="44"/>
      <c r="E54" s="31"/>
      <c r="F54" s="31"/>
      <c r="G54" s="31"/>
      <c r="H54" s="31"/>
      <c r="I54" s="31"/>
      <c r="J54" s="31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36"/>
      <c r="B55" s="37"/>
      <c r="C55" s="37"/>
      <c r="D55" s="44"/>
      <c r="E55" s="31"/>
      <c r="F55" s="31"/>
      <c r="G55" s="31"/>
      <c r="H55" s="31"/>
      <c r="I55" s="31"/>
      <c r="J55" s="31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36"/>
      <c r="B56" s="37"/>
      <c r="C56" s="37"/>
      <c r="D56" s="44"/>
      <c r="E56" s="31"/>
      <c r="F56" s="31"/>
      <c r="G56" s="31"/>
      <c r="H56" s="31"/>
      <c r="I56" s="31"/>
      <c r="J56" s="31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36"/>
      <c r="B57" s="37"/>
      <c r="C57" s="37"/>
      <c r="D57" s="44"/>
      <c r="E57" s="31"/>
      <c r="F57" s="31"/>
      <c r="G57" s="31"/>
      <c r="H57" s="31"/>
      <c r="I57" s="31"/>
      <c r="J57" s="31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36"/>
      <c r="B58" s="37"/>
      <c r="C58" s="37"/>
      <c r="D58" s="44"/>
      <c r="E58" s="31"/>
      <c r="F58" s="31"/>
      <c r="G58" s="31"/>
      <c r="H58" s="31"/>
      <c r="I58" s="31"/>
      <c r="J58" s="31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36"/>
      <c r="B59" s="37"/>
      <c r="C59" s="37"/>
      <c r="D59" s="44"/>
      <c r="E59" s="31"/>
      <c r="F59" s="31"/>
      <c r="G59" s="31"/>
      <c r="H59" s="31"/>
      <c r="I59" s="31"/>
      <c r="J59" s="31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36"/>
      <c r="B60" s="37"/>
      <c r="C60" s="37"/>
      <c r="D60" s="44"/>
      <c r="E60" s="31"/>
      <c r="F60" s="31"/>
      <c r="G60" s="31"/>
      <c r="H60" s="31"/>
      <c r="I60" s="31"/>
      <c r="J60" s="31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36"/>
      <c r="B61" s="37"/>
      <c r="C61" s="37"/>
      <c r="D61" s="44"/>
      <c r="E61" s="31"/>
      <c r="F61" s="31"/>
      <c r="G61" s="31"/>
      <c r="H61" s="31"/>
      <c r="I61" s="31"/>
      <c r="J61" s="31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36"/>
      <c r="B62" s="37"/>
      <c r="C62" s="37"/>
      <c r="D62" s="44"/>
      <c r="E62" s="31"/>
      <c r="F62" s="31"/>
      <c r="G62" s="31"/>
      <c r="H62" s="31"/>
      <c r="I62" s="31"/>
      <c r="J62" s="31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36"/>
      <c r="B63" s="37"/>
      <c r="C63" s="37"/>
      <c r="D63" s="44"/>
      <c r="E63" s="31"/>
      <c r="F63" s="31"/>
      <c r="G63" s="31"/>
      <c r="H63" s="31"/>
      <c r="I63" s="31"/>
      <c r="J63" s="31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36"/>
      <c r="B64" s="37"/>
      <c r="C64" s="37"/>
      <c r="D64" s="44"/>
      <c r="E64" s="31"/>
      <c r="F64" s="31"/>
      <c r="G64" s="31"/>
      <c r="H64" s="31"/>
      <c r="I64" s="31"/>
      <c r="J64" s="31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36"/>
      <c r="B65" s="37"/>
      <c r="C65" s="37"/>
      <c r="D65" s="44"/>
      <c r="E65" s="31"/>
      <c r="F65" s="31"/>
      <c r="G65" s="31"/>
      <c r="H65" s="31"/>
      <c r="I65" s="31"/>
      <c r="J65" s="31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36"/>
      <c r="B66" s="37"/>
      <c r="C66" s="37"/>
      <c r="D66" s="44"/>
      <c r="E66" s="31"/>
      <c r="F66" s="31"/>
      <c r="G66" s="31"/>
      <c r="H66" s="31"/>
      <c r="I66" s="31"/>
      <c r="J66" s="31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36"/>
      <c r="B67" s="37"/>
      <c r="C67" s="37"/>
      <c r="D67" s="44"/>
      <c r="E67" s="31"/>
      <c r="F67" s="31"/>
      <c r="G67" s="31"/>
      <c r="H67" s="31"/>
      <c r="I67" s="31"/>
      <c r="J67" s="31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36"/>
      <c r="B68" s="37"/>
      <c r="C68" s="37"/>
      <c r="D68" s="44"/>
      <c r="E68" s="31"/>
      <c r="F68" s="31"/>
      <c r="G68" s="31"/>
      <c r="H68" s="31"/>
      <c r="I68" s="31"/>
      <c r="J68" s="31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36"/>
      <c r="B69" s="37"/>
      <c r="C69" s="37"/>
      <c r="D69" s="44"/>
      <c r="E69" s="31"/>
      <c r="F69" s="31"/>
      <c r="G69" s="31"/>
      <c r="H69" s="31"/>
      <c r="I69" s="31"/>
      <c r="J69" s="31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6"/>
      <c r="B70" s="37"/>
      <c r="C70" s="37"/>
      <c r="D70" s="44"/>
      <c r="E70" s="31"/>
      <c r="F70" s="31"/>
      <c r="G70" s="31"/>
      <c r="H70" s="31"/>
      <c r="I70" s="31"/>
      <c r="J70" s="31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6"/>
      <c r="B71" s="37"/>
      <c r="C71" s="37"/>
      <c r="D71" s="44"/>
      <c r="E71" s="31"/>
      <c r="F71" s="31"/>
      <c r="G71" s="31"/>
      <c r="H71" s="31"/>
      <c r="I71" s="31"/>
      <c r="J71" s="31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6"/>
      <c r="B72" s="37"/>
      <c r="C72" s="37"/>
      <c r="D72" s="44"/>
      <c r="E72" s="31"/>
      <c r="F72" s="31"/>
      <c r="G72" s="31"/>
      <c r="H72" s="31"/>
      <c r="I72" s="31"/>
      <c r="J72" s="31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6"/>
      <c r="B73" s="37"/>
      <c r="C73" s="37"/>
      <c r="D73" s="44"/>
      <c r="E73" s="31"/>
      <c r="F73" s="31"/>
      <c r="G73" s="31"/>
      <c r="H73" s="31"/>
      <c r="I73" s="31"/>
      <c r="J73" s="31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6"/>
      <c r="B74" s="37"/>
      <c r="C74" s="37"/>
      <c r="D74" s="44"/>
      <c r="E74" s="31"/>
      <c r="F74" s="31"/>
      <c r="G74" s="31"/>
      <c r="H74" s="31"/>
      <c r="I74" s="31"/>
      <c r="J74" s="31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6"/>
      <c r="B75" s="37"/>
      <c r="C75" s="37"/>
      <c r="D75" s="44"/>
      <c r="E75" s="31"/>
      <c r="F75" s="31"/>
      <c r="G75" s="31"/>
      <c r="H75" s="31"/>
      <c r="I75" s="31"/>
      <c r="J75" s="31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36"/>
      <c r="B76" s="37"/>
      <c r="C76" s="37"/>
      <c r="D76" s="44"/>
      <c r="E76" s="31"/>
      <c r="F76" s="31"/>
      <c r="G76" s="31"/>
      <c r="H76" s="31"/>
      <c r="I76" s="31"/>
      <c r="J76" s="3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36"/>
      <c r="B77" s="37"/>
      <c r="C77" s="37"/>
      <c r="D77" s="44"/>
      <c r="E77" s="31"/>
      <c r="F77" s="31"/>
      <c r="G77" s="31"/>
      <c r="H77" s="31"/>
      <c r="I77" s="31"/>
      <c r="J77" s="31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36"/>
      <c r="B78" s="37"/>
      <c r="C78" s="37"/>
      <c r="D78" s="44"/>
      <c r="E78" s="31"/>
      <c r="F78" s="31"/>
      <c r="G78" s="31"/>
      <c r="H78" s="31"/>
      <c r="I78" s="31"/>
      <c r="J78" s="31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36"/>
      <c r="B79" s="37"/>
      <c r="C79" s="37"/>
      <c r="D79" s="44"/>
      <c r="E79" s="31"/>
      <c r="F79" s="31"/>
      <c r="G79" s="31"/>
      <c r="H79" s="31"/>
      <c r="I79" s="31"/>
      <c r="J79" s="31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36"/>
      <c r="B80" s="37"/>
      <c r="C80" s="37"/>
      <c r="D80" s="44"/>
      <c r="E80" s="31"/>
      <c r="F80" s="31"/>
      <c r="G80" s="31"/>
      <c r="H80" s="31"/>
      <c r="I80" s="31"/>
      <c r="J80" s="31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36"/>
      <c r="B81" s="37"/>
      <c r="C81" s="37"/>
      <c r="D81" s="44"/>
      <c r="E81" s="31"/>
      <c r="F81" s="31"/>
      <c r="G81" s="31"/>
      <c r="H81" s="31"/>
      <c r="I81" s="31"/>
      <c r="J81" s="31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36"/>
      <c r="B82" s="37"/>
      <c r="C82" s="37"/>
      <c r="D82" s="44"/>
      <c r="E82" s="31"/>
      <c r="F82" s="31"/>
      <c r="G82" s="31"/>
      <c r="H82" s="31"/>
      <c r="I82" s="31"/>
      <c r="J82" s="31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36"/>
      <c r="B83" s="37"/>
      <c r="C83" s="37"/>
      <c r="D83" s="44"/>
      <c r="E83" s="31"/>
      <c r="F83" s="31"/>
      <c r="G83" s="31"/>
      <c r="H83" s="31"/>
      <c r="I83" s="31"/>
      <c r="J83" s="31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36"/>
      <c r="B84" s="37"/>
      <c r="C84" s="37"/>
      <c r="D84" s="44"/>
      <c r="E84" s="31"/>
      <c r="F84" s="31"/>
      <c r="G84" s="31"/>
      <c r="H84" s="31"/>
      <c r="I84" s="31"/>
      <c r="J84" s="31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36"/>
      <c r="B85" s="37"/>
      <c r="C85" s="37"/>
      <c r="D85" s="44"/>
      <c r="E85" s="31"/>
      <c r="F85" s="31"/>
      <c r="G85" s="31"/>
      <c r="H85" s="31"/>
      <c r="I85" s="31"/>
      <c r="J85" s="31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36"/>
      <c r="B86" s="37"/>
      <c r="C86" s="37"/>
      <c r="D86" s="44"/>
      <c r="E86" s="31"/>
      <c r="F86" s="31"/>
      <c r="G86" s="31"/>
      <c r="H86" s="31"/>
      <c r="I86" s="31"/>
      <c r="J86" s="31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36"/>
      <c r="B87" s="37"/>
      <c r="C87" s="37"/>
      <c r="D87" s="44"/>
      <c r="E87" s="31"/>
      <c r="F87" s="31"/>
      <c r="G87" s="31"/>
      <c r="H87" s="31"/>
      <c r="I87" s="31"/>
      <c r="J87" s="31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36"/>
      <c r="B88" s="37"/>
      <c r="C88" s="37"/>
      <c r="D88" s="44"/>
      <c r="E88" s="31"/>
      <c r="F88" s="31"/>
      <c r="G88" s="31"/>
      <c r="H88" s="31"/>
      <c r="I88" s="31"/>
      <c r="J88" s="31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6"/>
      <c r="B89" s="37"/>
      <c r="C89" s="37"/>
      <c r="D89" s="44"/>
      <c r="E89" s="31"/>
      <c r="F89" s="31"/>
      <c r="G89" s="31"/>
      <c r="H89" s="31"/>
      <c r="I89" s="31"/>
      <c r="J89" s="31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6"/>
      <c r="B90" s="37"/>
      <c r="C90" s="37"/>
      <c r="D90" s="44"/>
      <c r="E90" s="31"/>
      <c r="F90" s="31"/>
      <c r="G90" s="31"/>
      <c r="H90" s="31"/>
      <c r="I90" s="31"/>
      <c r="J90" s="31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6"/>
      <c r="B91" s="37"/>
      <c r="C91" s="37"/>
      <c r="D91" s="44"/>
      <c r="E91" s="31"/>
      <c r="F91" s="31"/>
      <c r="G91" s="31"/>
      <c r="H91" s="31"/>
      <c r="I91" s="31"/>
      <c r="J91" s="31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6"/>
      <c r="B92" s="37"/>
      <c r="C92" s="37"/>
      <c r="D92" s="44"/>
      <c r="E92" s="31"/>
      <c r="F92" s="31"/>
      <c r="G92" s="31"/>
      <c r="H92" s="31"/>
      <c r="I92" s="31"/>
      <c r="J92" s="31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6"/>
      <c r="B93" s="37"/>
      <c r="C93" s="37"/>
      <c r="D93" s="44"/>
      <c r="E93" s="31"/>
      <c r="F93" s="31"/>
      <c r="G93" s="31"/>
      <c r="H93" s="31"/>
      <c r="I93" s="31"/>
      <c r="J93" s="31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6"/>
      <c r="B94" s="37"/>
      <c r="C94" s="37"/>
      <c r="D94" s="44"/>
      <c r="E94" s="31"/>
      <c r="F94" s="31"/>
      <c r="G94" s="31"/>
      <c r="H94" s="31"/>
      <c r="I94" s="31"/>
      <c r="J94" s="31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6"/>
      <c r="B95" s="37"/>
      <c r="C95" s="37"/>
      <c r="D95" s="44"/>
      <c r="E95" s="31"/>
      <c r="F95" s="31"/>
      <c r="G95" s="31"/>
      <c r="H95" s="31"/>
      <c r="I95" s="31"/>
      <c r="J95" s="31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6"/>
      <c r="B96" s="37"/>
      <c r="C96" s="37"/>
      <c r="D96" s="44"/>
      <c r="E96" s="31"/>
      <c r="F96" s="31"/>
      <c r="G96" s="31"/>
      <c r="H96" s="31"/>
      <c r="I96" s="31"/>
      <c r="J96" s="31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6"/>
      <c r="B97" s="37"/>
      <c r="C97" s="37"/>
      <c r="D97" s="44"/>
      <c r="E97" s="31"/>
      <c r="F97" s="31"/>
      <c r="G97" s="31"/>
      <c r="H97" s="31"/>
      <c r="I97" s="31"/>
      <c r="J97" s="31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6"/>
      <c r="B98" s="37"/>
      <c r="C98" s="37"/>
      <c r="D98" s="44"/>
      <c r="E98" s="31"/>
      <c r="F98" s="31"/>
      <c r="G98" s="31"/>
      <c r="H98" s="31"/>
      <c r="I98" s="31"/>
      <c r="J98" s="31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6"/>
      <c r="B99" s="37"/>
      <c r="C99" s="37"/>
      <c r="D99" s="44"/>
      <c r="E99" s="31"/>
      <c r="F99" s="31"/>
      <c r="G99" s="31"/>
      <c r="H99" s="31"/>
      <c r="I99" s="31"/>
      <c r="J99" s="31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6"/>
      <c r="B100" s="37"/>
      <c r="C100" s="37"/>
      <c r="D100" s="44"/>
      <c r="E100" s="31"/>
      <c r="F100" s="31"/>
      <c r="G100" s="31"/>
      <c r="H100" s="31"/>
      <c r="I100" s="31"/>
      <c r="J100" s="31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6"/>
      <c r="B101" s="37"/>
      <c r="C101" s="37"/>
      <c r="D101" s="44"/>
      <c r="E101" s="31"/>
      <c r="F101" s="31"/>
      <c r="G101" s="31"/>
      <c r="H101" s="31"/>
      <c r="I101" s="31"/>
      <c r="J101" s="31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6"/>
      <c r="B102" s="37"/>
      <c r="C102" s="37"/>
      <c r="D102" s="44"/>
      <c r="E102" s="31"/>
      <c r="F102" s="31"/>
      <c r="G102" s="31"/>
      <c r="H102" s="31"/>
      <c r="I102" s="31"/>
      <c r="J102" s="31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6"/>
      <c r="B103" s="37"/>
      <c r="C103" s="37"/>
      <c r="D103" s="44"/>
      <c r="E103" s="31"/>
      <c r="F103" s="31"/>
      <c r="G103" s="31"/>
      <c r="H103" s="31"/>
      <c r="I103" s="31"/>
      <c r="J103" s="31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6"/>
      <c r="B104" s="37"/>
      <c r="C104" s="37"/>
      <c r="D104" s="44"/>
      <c r="E104" s="31"/>
      <c r="F104" s="31"/>
      <c r="G104" s="31"/>
      <c r="H104" s="31"/>
      <c r="I104" s="31"/>
      <c r="J104" s="31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6"/>
      <c r="B105" s="37"/>
      <c r="C105" s="37"/>
      <c r="D105" s="44"/>
      <c r="E105" s="31"/>
      <c r="F105" s="31"/>
      <c r="G105" s="31"/>
      <c r="H105" s="31"/>
      <c r="I105" s="31"/>
      <c r="J105" s="31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6"/>
      <c r="B106" s="37"/>
      <c r="C106" s="37"/>
      <c r="D106" s="44"/>
      <c r="E106" s="31"/>
      <c r="F106" s="31"/>
      <c r="G106" s="31"/>
      <c r="H106" s="31"/>
      <c r="I106" s="31"/>
      <c r="J106" s="31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6"/>
      <c r="B107" s="37"/>
      <c r="C107" s="37"/>
      <c r="D107" s="44"/>
      <c r="E107" s="31"/>
      <c r="F107" s="31"/>
      <c r="G107" s="31"/>
      <c r="H107" s="31"/>
      <c r="I107" s="31"/>
      <c r="J107" s="31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6"/>
      <c r="B108" s="37"/>
      <c r="C108" s="37"/>
      <c r="D108" s="44"/>
      <c r="E108" s="31"/>
      <c r="F108" s="31"/>
      <c r="G108" s="31"/>
      <c r="H108" s="31"/>
      <c r="I108" s="31"/>
      <c r="J108" s="31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6"/>
      <c r="B109" s="37"/>
      <c r="C109" s="37"/>
      <c r="D109" s="44"/>
      <c r="E109" s="31"/>
      <c r="F109" s="31"/>
      <c r="G109" s="31"/>
      <c r="H109" s="31"/>
      <c r="I109" s="31"/>
      <c r="J109" s="31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6"/>
      <c r="B110" s="37"/>
      <c r="C110" s="37"/>
      <c r="D110" s="44"/>
      <c r="E110" s="31"/>
      <c r="F110" s="31"/>
      <c r="G110" s="31"/>
      <c r="H110" s="31"/>
      <c r="I110" s="31"/>
      <c r="J110" s="31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6"/>
      <c r="B111" s="37"/>
      <c r="C111" s="37"/>
      <c r="D111" s="44"/>
      <c r="E111" s="31"/>
      <c r="F111" s="31"/>
      <c r="G111" s="31"/>
      <c r="H111" s="31"/>
      <c r="I111" s="31"/>
      <c r="J111" s="31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6"/>
      <c r="B112" s="37"/>
      <c r="C112" s="37"/>
      <c r="D112" s="44"/>
      <c r="E112" s="31"/>
      <c r="F112" s="31"/>
      <c r="G112" s="31"/>
      <c r="H112" s="31"/>
      <c r="I112" s="31"/>
      <c r="J112" s="31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6"/>
      <c r="B113" s="37"/>
      <c r="C113" s="37"/>
      <c r="D113" s="44"/>
      <c r="E113" s="31"/>
      <c r="F113" s="31"/>
      <c r="G113" s="31"/>
      <c r="H113" s="31"/>
      <c r="I113" s="31"/>
      <c r="J113" s="31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6"/>
      <c r="B114" s="37"/>
      <c r="C114" s="37"/>
      <c r="D114" s="44"/>
      <c r="E114" s="31"/>
      <c r="F114" s="31"/>
      <c r="G114" s="31"/>
      <c r="H114" s="31"/>
      <c r="I114" s="31"/>
      <c r="J114" s="31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6"/>
      <c r="B115" s="37"/>
      <c r="C115" s="37"/>
      <c r="D115" s="44"/>
      <c r="E115" s="31"/>
      <c r="F115" s="31"/>
      <c r="G115" s="31"/>
      <c r="H115" s="31"/>
      <c r="I115" s="31"/>
      <c r="J115" s="31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6"/>
      <c r="B116" s="37"/>
      <c r="C116" s="37"/>
      <c r="D116" s="44"/>
      <c r="E116" s="31"/>
      <c r="F116" s="31"/>
      <c r="G116" s="31"/>
      <c r="H116" s="31"/>
      <c r="I116" s="31"/>
      <c r="J116" s="31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6"/>
      <c r="B117" s="37"/>
      <c r="C117" s="37"/>
      <c r="D117" s="44"/>
      <c r="E117" s="31"/>
      <c r="F117" s="31"/>
      <c r="G117" s="31"/>
      <c r="H117" s="31"/>
      <c r="I117" s="31"/>
      <c r="J117" s="31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6"/>
      <c r="B118" s="37"/>
      <c r="C118" s="37"/>
      <c r="D118" s="44"/>
      <c r="E118" s="31"/>
      <c r="F118" s="31"/>
      <c r="G118" s="31"/>
      <c r="H118" s="31"/>
      <c r="I118" s="31"/>
      <c r="J118" s="31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6"/>
      <c r="B119" s="37"/>
      <c r="C119" s="37"/>
      <c r="D119" s="44"/>
      <c r="E119" s="31"/>
      <c r="F119" s="31"/>
      <c r="G119" s="31"/>
      <c r="H119" s="31"/>
      <c r="I119" s="31"/>
      <c r="J119" s="31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6"/>
      <c r="B120" s="37"/>
      <c r="C120" s="37"/>
      <c r="D120" s="44"/>
      <c r="E120" s="31"/>
      <c r="F120" s="31"/>
      <c r="G120" s="31"/>
      <c r="H120" s="31"/>
      <c r="I120" s="31"/>
      <c r="J120" s="31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6"/>
      <c r="B121" s="37"/>
      <c r="C121" s="37"/>
      <c r="D121" s="44"/>
      <c r="E121" s="31"/>
      <c r="F121" s="31"/>
      <c r="G121" s="31"/>
      <c r="H121" s="31"/>
      <c r="I121" s="31"/>
      <c r="J121" s="31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6"/>
      <c r="B122" s="37"/>
      <c r="C122" s="37"/>
      <c r="D122" s="44"/>
      <c r="E122" s="31"/>
      <c r="F122" s="31"/>
      <c r="G122" s="31"/>
      <c r="H122" s="31"/>
      <c r="I122" s="31"/>
      <c r="J122" s="31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6"/>
      <c r="B123" s="37"/>
      <c r="C123" s="37"/>
      <c r="D123" s="44"/>
      <c r="E123" s="31"/>
      <c r="F123" s="31"/>
      <c r="G123" s="31"/>
      <c r="H123" s="31"/>
      <c r="I123" s="31"/>
      <c r="J123" s="31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6"/>
      <c r="B124" s="37"/>
      <c r="C124" s="37"/>
      <c r="D124" s="44"/>
      <c r="E124" s="31"/>
      <c r="F124" s="31"/>
      <c r="G124" s="31"/>
      <c r="H124" s="31"/>
      <c r="I124" s="31"/>
      <c r="J124" s="31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6"/>
      <c r="B125" s="37"/>
      <c r="C125" s="37"/>
      <c r="D125" s="44"/>
      <c r="E125" s="31"/>
      <c r="F125" s="31"/>
      <c r="G125" s="31"/>
      <c r="H125" s="31"/>
      <c r="I125" s="31"/>
      <c r="J125" s="31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6"/>
      <c r="B126" s="37"/>
      <c r="C126" s="37"/>
      <c r="D126" s="44"/>
      <c r="E126" s="31"/>
      <c r="F126" s="31"/>
      <c r="G126" s="31"/>
      <c r="H126" s="31"/>
      <c r="I126" s="31"/>
      <c r="J126" s="31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6"/>
      <c r="B127" s="37"/>
      <c r="C127" s="37"/>
      <c r="D127" s="44"/>
      <c r="E127" s="31"/>
      <c r="F127" s="31"/>
      <c r="G127" s="31"/>
      <c r="H127" s="31"/>
      <c r="I127" s="31"/>
      <c r="J127" s="31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6"/>
      <c r="B128" s="37"/>
      <c r="C128" s="37"/>
      <c r="D128" s="44"/>
      <c r="E128" s="31"/>
      <c r="F128" s="31"/>
      <c r="G128" s="31"/>
      <c r="H128" s="31"/>
      <c r="I128" s="31"/>
      <c r="J128" s="31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6"/>
      <c r="B129" s="37"/>
      <c r="C129" s="37"/>
      <c r="D129" s="44"/>
      <c r="E129" s="31"/>
      <c r="F129" s="31"/>
      <c r="G129" s="31"/>
      <c r="H129" s="31"/>
      <c r="I129" s="31"/>
      <c r="J129" s="31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6"/>
      <c r="B130" s="37"/>
      <c r="C130" s="37"/>
      <c r="D130" s="44"/>
      <c r="E130" s="31"/>
      <c r="F130" s="31"/>
      <c r="G130" s="31"/>
      <c r="H130" s="31"/>
      <c r="I130" s="31"/>
      <c r="J130" s="31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6"/>
      <c r="B131" s="37"/>
      <c r="C131" s="37"/>
      <c r="D131" s="44"/>
      <c r="E131" s="31"/>
      <c r="F131" s="31"/>
      <c r="G131" s="31"/>
      <c r="H131" s="31"/>
      <c r="I131" s="31"/>
      <c r="J131" s="31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6"/>
      <c r="B132" s="37"/>
      <c r="C132" s="37"/>
      <c r="D132" s="44"/>
      <c r="E132" s="31"/>
      <c r="F132" s="31"/>
      <c r="G132" s="31"/>
      <c r="H132" s="31"/>
      <c r="I132" s="31"/>
      <c r="J132" s="31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6"/>
      <c r="B133" s="37"/>
      <c r="C133" s="37"/>
      <c r="D133" s="44"/>
      <c r="E133" s="31"/>
      <c r="F133" s="31"/>
      <c r="G133" s="31"/>
      <c r="H133" s="31"/>
      <c r="I133" s="31"/>
      <c r="J133" s="31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6"/>
      <c r="B134" s="37"/>
      <c r="C134" s="37"/>
      <c r="D134" s="44"/>
      <c r="E134" s="31"/>
      <c r="F134" s="31"/>
      <c r="G134" s="31"/>
      <c r="H134" s="31"/>
      <c r="I134" s="31"/>
      <c r="J134" s="31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6"/>
      <c r="B135" s="37"/>
      <c r="C135" s="37"/>
      <c r="D135" s="44"/>
      <c r="E135" s="31"/>
      <c r="F135" s="31"/>
      <c r="G135" s="31"/>
      <c r="H135" s="31"/>
      <c r="I135" s="31"/>
      <c r="J135" s="31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6"/>
      <c r="B136" s="37"/>
      <c r="C136" s="37"/>
      <c r="D136" s="44"/>
      <c r="E136" s="31"/>
      <c r="F136" s="31"/>
      <c r="G136" s="31"/>
      <c r="H136" s="31"/>
      <c r="I136" s="31"/>
      <c r="J136" s="31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6"/>
      <c r="B137" s="37"/>
      <c r="C137" s="37"/>
      <c r="D137" s="44"/>
      <c r="E137" s="31"/>
      <c r="F137" s="31"/>
      <c r="G137" s="31"/>
      <c r="H137" s="31"/>
      <c r="I137" s="31"/>
      <c r="J137" s="31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6"/>
      <c r="B138" s="37"/>
      <c r="C138" s="37"/>
      <c r="D138" s="44"/>
      <c r="E138" s="31"/>
      <c r="F138" s="31"/>
      <c r="G138" s="31"/>
      <c r="H138" s="31"/>
      <c r="I138" s="31"/>
      <c r="J138" s="31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6"/>
      <c r="B139" s="37"/>
      <c r="C139" s="37"/>
      <c r="D139" s="44"/>
      <c r="E139" s="31"/>
      <c r="F139" s="31"/>
      <c r="G139" s="31"/>
      <c r="H139" s="31"/>
      <c r="I139" s="31"/>
      <c r="J139" s="31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6"/>
      <c r="B140" s="37"/>
      <c r="C140" s="37"/>
      <c r="D140" s="44"/>
      <c r="E140" s="31"/>
      <c r="F140" s="31"/>
      <c r="G140" s="31"/>
      <c r="H140" s="31"/>
      <c r="I140" s="31"/>
      <c r="J140" s="31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6"/>
      <c r="B141" s="37"/>
      <c r="C141" s="37"/>
      <c r="D141" s="44"/>
      <c r="E141" s="31"/>
      <c r="F141" s="31"/>
      <c r="G141" s="31"/>
      <c r="H141" s="31"/>
      <c r="I141" s="31"/>
      <c r="J141" s="31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6"/>
      <c r="B142" s="37"/>
      <c r="C142" s="37"/>
      <c r="D142" s="44"/>
      <c r="E142" s="31"/>
      <c r="F142" s="31"/>
      <c r="G142" s="31"/>
      <c r="H142" s="31"/>
      <c r="I142" s="31"/>
      <c r="J142" s="31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6"/>
      <c r="B143" s="37"/>
      <c r="C143" s="37"/>
      <c r="D143" s="44"/>
      <c r="E143" s="31"/>
      <c r="F143" s="31"/>
      <c r="G143" s="31"/>
      <c r="H143" s="31"/>
      <c r="I143" s="31"/>
      <c r="J143" s="31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6"/>
      <c r="B144" s="37"/>
      <c r="C144" s="37"/>
      <c r="D144" s="44"/>
      <c r="E144" s="31"/>
      <c r="F144" s="31"/>
      <c r="G144" s="31"/>
      <c r="H144" s="31"/>
      <c r="I144" s="31"/>
      <c r="J144" s="31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6"/>
      <c r="B145" s="37"/>
      <c r="C145" s="37"/>
      <c r="D145" s="44"/>
      <c r="E145" s="31"/>
      <c r="F145" s="31"/>
      <c r="G145" s="31"/>
      <c r="H145" s="31"/>
      <c r="I145" s="31"/>
      <c r="J145" s="31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6"/>
      <c r="B146" s="37"/>
      <c r="C146" s="37"/>
      <c r="D146" s="44"/>
      <c r="E146" s="31"/>
      <c r="F146" s="31"/>
      <c r="G146" s="31"/>
      <c r="H146" s="31"/>
      <c r="I146" s="31"/>
      <c r="J146" s="31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6"/>
      <c r="B147" s="37"/>
      <c r="C147" s="37"/>
      <c r="D147" s="44"/>
      <c r="E147" s="31"/>
      <c r="F147" s="31"/>
      <c r="G147" s="31"/>
      <c r="H147" s="31"/>
      <c r="I147" s="31"/>
      <c r="J147" s="31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6"/>
      <c r="B148" s="37"/>
      <c r="C148" s="37"/>
      <c r="D148" s="44"/>
      <c r="E148" s="31"/>
      <c r="F148" s="31"/>
      <c r="G148" s="31"/>
      <c r="H148" s="31"/>
      <c r="I148" s="31"/>
      <c r="J148" s="31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6"/>
      <c r="B149" s="37"/>
      <c r="C149" s="37"/>
      <c r="D149" s="44"/>
      <c r="E149" s="31"/>
      <c r="F149" s="31"/>
      <c r="G149" s="31"/>
      <c r="H149" s="31"/>
      <c r="I149" s="31"/>
      <c r="J149" s="31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6"/>
      <c r="B150" s="37"/>
      <c r="C150" s="37"/>
      <c r="D150" s="44"/>
      <c r="E150" s="31"/>
      <c r="F150" s="31"/>
      <c r="G150" s="31"/>
      <c r="H150" s="31"/>
      <c r="I150" s="31"/>
      <c r="J150" s="31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6"/>
      <c r="B151" s="37"/>
      <c r="C151" s="37"/>
      <c r="D151" s="44"/>
      <c r="E151" s="31"/>
      <c r="F151" s="31"/>
      <c r="G151" s="31"/>
      <c r="H151" s="31"/>
      <c r="I151" s="31"/>
      <c r="J151" s="31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6"/>
      <c r="B152" s="37"/>
      <c r="C152" s="37"/>
      <c r="D152" s="44"/>
      <c r="E152" s="31"/>
      <c r="F152" s="31"/>
      <c r="G152" s="31"/>
      <c r="H152" s="31"/>
      <c r="I152" s="31"/>
      <c r="J152" s="31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6"/>
      <c r="B153" s="37"/>
      <c r="C153" s="37"/>
      <c r="D153" s="44"/>
      <c r="E153" s="31"/>
      <c r="F153" s="31"/>
      <c r="G153" s="31"/>
      <c r="H153" s="31"/>
      <c r="I153" s="31"/>
      <c r="J153" s="31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6"/>
      <c r="B154" s="37"/>
      <c r="C154" s="37"/>
      <c r="D154" s="44"/>
      <c r="E154" s="31"/>
      <c r="F154" s="31"/>
      <c r="G154" s="31"/>
      <c r="H154" s="31"/>
      <c r="I154" s="31"/>
      <c r="J154" s="31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6"/>
      <c r="B155" s="37"/>
      <c r="C155" s="37"/>
      <c r="D155" s="44"/>
      <c r="E155" s="31"/>
      <c r="F155" s="31"/>
      <c r="G155" s="31"/>
      <c r="H155" s="31"/>
      <c r="I155" s="31"/>
      <c r="J155" s="31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6"/>
      <c r="B156" s="37"/>
      <c r="C156" s="37"/>
      <c r="D156" s="44"/>
      <c r="E156" s="31"/>
      <c r="F156" s="31"/>
      <c r="G156" s="31"/>
      <c r="H156" s="31"/>
      <c r="I156" s="31"/>
      <c r="J156" s="31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6"/>
      <c r="B157" s="37"/>
      <c r="C157" s="37"/>
      <c r="D157" s="44"/>
      <c r="E157" s="31"/>
      <c r="F157" s="31"/>
      <c r="G157" s="31"/>
      <c r="H157" s="31"/>
      <c r="I157" s="31"/>
      <c r="J157" s="31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6"/>
      <c r="B158" s="37"/>
      <c r="C158" s="37"/>
      <c r="D158" s="44"/>
      <c r="E158" s="31"/>
      <c r="F158" s="31"/>
      <c r="G158" s="31"/>
      <c r="H158" s="31"/>
      <c r="I158" s="31"/>
      <c r="J158" s="31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6"/>
      <c r="B159" s="37"/>
      <c r="C159" s="37"/>
      <c r="D159" s="44"/>
      <c r="E159" s="31"/>
      <c r="F159" s="31"/>
      <c r="G159" s="31"/>
      <c r="H159" s="31"/>
      <c r="I159" s="31"/>
      <c r="J159" s="31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6"/>
      <c r="B160" s="37"/>
      <c r="C160" s="37"/>
      <c r="D160" s="44"/>
      <c r="E160" s="31"/>
      <c r="F160" s="31"/>
      <c r="G160" s="31"/>
      <c r="H160" s="31"/>
      <c r="I160" s="31"/>
      <c r="J160" s="31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6"/>
      <c r="B161" s="37"/>
      <c r="C161" s="37"/>
      <c r="D161" s="44"/>
      <c r="E161" s="31"/>
      <c r="F161" s="31"/>
      <c r="G161" s="31"/>
      <c r="H161" s="31"/>
      <c r="I161" s="31"/>
      <c r="J161" s="31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6"/>
      <c r="B162" s="37"/>
      <c r="C162" s="37"/>
      <c r="D162" s="44"/>
      <c r="E162" s="31"/>
      <c r="F162" s="31"/>
      <c r="G162" s="31"/>
      <c r="H162" s="31"/>
      <c r="I162" s="31"/>
      <c r="J162" s="31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6"/>
      <c r="B163" s="37"/>
      <c r="C163" s="37"/>
      <c r="D163" s="44"/>
      <c r="E163" s="31"/>
      <c r="F163" s="31"/>
      <c r="G163" s="31"/>
      <c r="H163" s="31"/>
      <c r="I163" s="31"/>
      <c r="J163" s="31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6"/>
      <c r="B164" s="37"/>
      <c r="C164" s="37"/>
      <c r="D164" s="44"/>
      <c r="E164" s="31"/>
      <c r="F164" s="31"/>
      <c r="G164" s="31"/>
      <c r="H164" s="31"/>
      <c r="I164" s="31"/>
      <c r="J164" s="31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6"/>
      <c r="B165" s="37"/>
      <c r="C165" s="37"/>
      <c r="D165" s="44"/>
      <c r="E165" s="31"/>
      <c r="F165" s="31"/>
      <c r="G165" s="31"/>
      <c r="H165" s="31"/>
      <c r="I165" s="31"/>
      <c r="J165" s="31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6"/>
      <c r="B166" s="37"/>
      <c r="C166" s="37"/>
      <c r="D166" s="44"/>
      <c r="E166" s="31"/>
      <c r="F166" s="31"/>
      <c r="G166" s="31"/>
      <c r="H166" s="31"/>
      <c r="I166" s="31"/>
      <c r="J166" s="31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6"/>
      <c r="B167" s="37"/>
      <c r="C167" s="37"/>
      <c r="D167" s="44"/>
      <c r="E167" s="31"/>
      <c r="F167" s="31"/>
      <c r="G167" s="31"/>
      <c r="H167" s="31"/>
      <c r="I167" s="31"/>
      <c r="J167" s="31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6"/>
      <c r="B168" s="37"/>
      <c r="C168" s="37"/>
      <c r="D168" s="44"/>
      <c r="E168" s="31"/>
      <c r="F168" s="31"/>
      <c r="G168" s="31"/>
      <c r="H168" s="31"/>
      <c r="I168" s="31"/>
      <c r="J168" s="31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6"/>
      <c r="B169" s="37"/>
      <c r="C169" s="37"/>
      <c r="D169" s="44"/>
      <c r="E169" s="31"/>
      <c r="F169" s="31"/>
      <c r="G169" s="31"/>
      <c r="H169" s="31"/>
      <c r="I169" s="31"/>
      <c r="J169" s="31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6"/>
      <c r="B170" s="37"/>
      <c r="C170" s="37"/>
      <c r="D170" s="44"/>
      <c r="E170" s="31"/>
      <c r="F170" s="31"/>
      <c r="G170" s="31"/>
      <c r="H170" s="31"/>
      <c r="I170" s="31"/>
      <c r="J170" s="31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6"/>
      <c r="B171" s="37"/>
      <c r="C171" s="37"/>
      <c r="D171" s="44"/>
      <c r="E171" s="31"/>
      <c r="F171" s="31"/>
      <c r="G171" s="31"/>
      <c r="H171" s="31"/>
      <c r="I171" s="31"/>
      <c r="J171" s="31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6"/>
      <c r="B172" s="37"/>
      <c r="C172" s="37"/>
      <c r="D172" s="44"/>
      <c r="E172" s="31"/>
      <c r="F172" s="31"/>
      <c r="G172" s="31"/>
      <c r="H172" s="31"/>
      <c r="I172" s="31"/>
      <c r="J172" s="31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6"/>
      <c r="B173" s="37"/>
      <c r="C173" s="37"/>
      <c r="D173" s="44"/>
      <c r="E173" s="31"/>
      <c r="F173" s="31"/>
      <c r="G173" s="31"/>
      <c r="H173" s="31"/>
      <c r="I173" s="31"/>
      <c r="J173" s="31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6"/>
      <c r="B174" s="37"/>
      <c r="C174" s="37"/>
      <c r="D174" s="44"/>
      <c r="E174" s="31"/>
      <c r="F174" s="31"/>
      <c r="G174" s="31"/>
      <c r="H174" s="31"/>
      <c r="I174" s="31"/>
      <c r="J174" s="31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6"/>
      <c r="B175" s="37"/>
      <c r="C175" s="37"/>
      <c r="D175" s="44"/>
      <c r="E175" s="31"/>
      <c r="F175" s="31"/>
      <c r="G175" s="31"/>
      <c r="H175" s="31"/>
      <c r="I175" s="31"/>
      <c r="J175" s="31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6"/>
      <c r="B176" s="37"/>
      <c r="C176" s="37"/>
      <c r="D176" s="44"/>
      <c r="E176" s="31"/>
      <c r="F176" s="31"/>
      <c r="G176" s="31"/>
      <c r="H176" s="31"/>
      <c r="I176" s="31"/>
      <c r="J176" s="31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6"/>
      <c r="B177" s="37"/>
      <c r="C177" s="37"/>
      <c r="D177" s="44"/>
      <c r="E177" s="31"/>
      <c r="F177" s="31"/>
      <c r="G177" s="31"/>
      <c r="H177" s="31"/>
      <c r="I177" s="31"/>
      <c r="J177" s="31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6"/>
      <c r="B178" s="37"/>
      <c r="C178" s="37"/>
      <c r="D178" s="44"/>
      <c r="E178" s="31"/>
      <c r="F178" s="31"/>
      <c r="G178" s="31"/>
      <c r="H178" s="31"/>
      <c r="I178" s="31"/>
      <c r="J178" s="31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6"/>
      <c r="B179" s="37"/>
      <c r="C179" s="37"/>
      <c r="D179" s="44"/>
      <c r="E179" s="31"/>
      <c r="F179" s="31"/>
      <c r="G179" s="31"/>
      <c r="H179" s="31"/>
      <c r="I179" s="31"/>
      <c r="J179" s="31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6"/>
      <c r="B180" s="37"/>
      <c r="C180" s="37"/>
      <c r="D180" s="44"/>
      <c r="E180" s="31"/>
      <c r="F180" s="31"/>
      <c r="G180" s="31"/>
      <c r="H180" s="31"/>
      <c r="I180" s="31"/>
      <c r="J180" s="31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6"/>
      <c r="B181" s="37"/>
      <c r="C181" s="37"/>
      <c r="D181" s="44"/>
      <c r="E181" s="31"/>
      <c r="F181" s="31"/>
      <c r="G181" s="31"/>
      <c r="H181" s="31"/>
      <c r="I181" s="31"/>
      <c r="J181" s="31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6"/>
      <c r="B182" s="37"/>
      <c r="C182" s="37"/>
      <c r="D182" s="44"/>
      <c r="E182" s="31"/>
      <c r="F182" s="31"/>
      <c r="G182" s="31"/>
      <c r="H182" s="31"/>
      <c r="I182" s="31"/>
      <c r="J182" s="31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6"/>
      <c r="B183" s="37"/>
      <c r="C183" s="37"/>
      <c r="D183" s="44"/>
      <c r="E183" s="31"/>
      <c r="F183" s="31"/>
      <c r="G183" s="31"/>
      <c r="H183" s="31"/>
      <c r="I183" s="31"/>
      <c r="J183" s="31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6"/>
      <c r="B184" s="37"/>
      <c r="C184" s="37"/>
      <c r="D184" s="44"/>
      <c r="E184" s="31"/>
      <c r="F184" s="31"/>
      <c r="G184" s="31"/>
      <c r="H184" s="31"/>
      <c r="I184" s="31"/>
      <c r="J184" s="31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6"/>
      <c r="B185" s="37"/>
      <c r="C185" s="37"/>
      <c r="D185" s="44"/>
      <c r="E185" s="31"/>
      <c r="F185" s="31"/>
      <c r="G185" s="31"/>
      <c r="H185" s="31"/>
      <c r="I185" s="31"/>
      <c r="J185" s="31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6"/>
      <c r="B186" s="37"/>
      <c r="C186" s="37"/>
      <c r="D186" s="44"/>
      <c r="E186" s="31"/>
      <c r="F186" s="31"/>
      <c r="G186" s="31"/>
      <c r="H186" s="31"/>
      <c r="I186" s="31"/>
      <c r="J186" s="31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6"/>
      <c r="B187" s="37"/>
      <c r="C187" s="37"/>
      <c r="D187" s="44"/>
      <c r="E187" s="31"/>
      <c r="F187" s="31"/>
      <c r="G187" s="31"/>
      <c r="H187" s="31"/>
      <c r="I187" s="31"/>
      <c r="J187" s="31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6"/>
      <c r="B188" s="37"/>
      <c r="C188" s="37"/>
      <c r="D188" s="44"/>
      <c r="E188" s="31"/>
      <c r="F188" s="31"/>
      <c r="G188" s="31"/>
      <c r="H188" s="31"/>
      <c r="I188" s="31"/>
      <c r="J188" s="31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6"/>
      <c r="B189" s="37"/>
      <c r="C189" s="37"/>
      <c r="D189" s="44"/>
      <c r="E189" s="31"/>
      <c r="F189" s="31"/>
      <c r="G189" s="31"/>
      <c r="H189" s="31"/>
      <c r="I189" s="31"/>
      <c r="J189" s="31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6"/>
      <c r="B190" s="37"/>
      <c r="C190" s="37"/>
      <c r="D190" s="44"/>
      <c r="E190" s="31"/>
      <c r="F190" s="31"/>
      <c r="G190" s="31"/>
      <c r="H190" s="31"/>
      <c r="I190" s="31"/>
      <c r="J190" s="31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6"/>
      <c r="B191" s="37"/>
      <c r="C191" s="37"/>
      <c r="D191" s="44"/>
      <c r="E191" s="31"/>
      <c r="F191" s="31"/>
      <c r="G191" s="31"/>
      <c r="H191" s="31"/>
      <c r="I191" s="31"/>
      <c r="J191" s="31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6"/>
      <c r="B192" s="37"/>
      <c r="C192" s="37"/>
      <c r="D192" s="44"/>
      <c r="E192" s="31"/>
      <c r="F192" s="31"/>
      <c r="G192" s="31"/>
      <c r="H192" s="31"/>
      <c r="I192" s="31"/>
      <c r="J192" s="31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6"/>
      <c r="B193" s="37"/>
      <c r="C193" s="37"/>
      <c r="D193" s="44"/>
      <c r="E193" s="31"/>
      <c r="F193" s="31"/>
      <c r="G193" s="31"/>
      <c r="H193" s="31"/>
      <c r="I193" s="31"/>
      <c r="J193" s="31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6"/>
      <c r="B194" s="37"/>
      <c r="C194" s="37"/>
      <c r="D194" s="44"/>
      <c r="E194" s="31"/>
      <c r="F194" s="31"/>
      <c r="G194" s="31"/>
      <c r="H194" s="31"/>
      <c r="I194" s="31"/>
      <c r="J194" s="31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6"/>
      <c r="B195" s="37"/>
      <c r="C195" s="37"/>
      <c r="D195" s="44"/>
      <c r="E195" s="31"/>
      <c r="F195" s="31"/>
      <c r="G195" s="31"/>
      <c r="H195" s="31"/>
      <c r="I195" s="31"/>
      <c r="J195" s="31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6"/>
      <c r="B196" s="37"/>
      <c r="C196" s="37"/>
      <c r="D196" s="44"/>
      <c r="E196" s="31"/>
      <c r="F196" s="31"/>
      <c r="G196" s="31"/>
      <c r="H196" s="31"/>
      <c r="I196" s="31"/>
      <c r="J196" s="31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6"/>
      <c r="B197" s="37"/>
      <c r="C197" s="37"/>
      <c r="D197" s="44"/>
      <c r="E197" s="31"/>
      <c r="F197" s="31"/>
      <c r="G197" s="31"/>
      <c r="H197" s="31"/>
      <c r="I197" s="31"/>
      <c r="J197" s="31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6"/>
      <c r="B198" s="37"/>
      <c r="C198" s="37"/>
      <c r="D198" s="44"/>
      <c r="E198" s="31"/>
      <c r="F198" s="31"/>
      <c r="G198" s="31"/>
      <c r="H198" s="31"/>
      <c r="I198" s="31"/>
      <c r="J198" s="31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6"/>
      <c r="B199" s="37"/>
      <c r="C199" s="37"/>
      <c r="D199" s="44"/>
      <c r="E199" s="31"/>
      <c r="F199" s="31"/>
      <c r="G199" s="31"/>
      <c r="H199" s="31"/>
      <c r="I199" s="31"/>
      <c r="J199" s="31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36"/>
      <c r="B200" s="37"/>
      <c r="C200" s="37"/>
      <c r="D200" s="44"/>
      <c r="E200" s="31"/>
      <c r="F200" s="31"/>
      <c r="G200" s="31"/>
      <c r="H200" s="31"/>
      <c r="I200" s="31"/>
      <c r="J200" s="31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36"/>
      <c r="B201" s="37"/>
      <c r="C201" s="37"/>
      <c r="D201" s="44"/>
      <c r="E201" s="31"/>
      <c r="F201" s="31"/>
      <c r="G201" s="31"/>
      <c r="H201" s="31"/>
      <c r="I201" s="31"/>
      <c r="J201" s="31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36"/>
      <c r="B202" s="37"/>
      <c r="C202" s="37"/>
      <c r="D202" s="44"/>
      <c r="E202" s="31"/>
      <c r="F202" s="31"/>
      <c r="G202" s="31"/>
      <c r="H202" s="31"/>
      <c r="I202" s="31"/>
      <c r="J202" s="31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36"/>
      <c r="B203" s="37"/>
      <c r="C203" s="37"/>
      <c r="D203" s="44"/>
      <c r="E203" s="31"/>
      <c r="F203" s="31"/>
      <c r="G203" s="31"/>
      <c r="H203" s="31"/>
      <c r="I203" s="31"/>
      <c r="J203" s="31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36"/>
      <c r="B204" s="37"/>
      <c r="C204" s="37"/>
      <c r="D204" s="44"/>
      <c r="E204" s="31"/>
      <c r="F204" s="31"/>
      <c r="G204" s="31"/>
      <c r="H204" s="31"/>
      <c r="I204" s="31"/>
      <c r="J204" s="31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36"/>
      <c r="B205" s="37"/>
      <c r="C205" s="37"/>
      <c r="D205" s="44"/>
      <c r="E205" s="31"/>
      <c r="F205" s="31"/>
      <c r="G205" s="31"/>
      <c r="H205" s="31"/>
      <c r="I205" s="31"/>
      <c r="J205" s="31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36"/>
      <c r="B206" s="37"/>
      <c r="C206" s="37"/>
      <c r="D206" s="44"/>
      <c r="E206" s="31"/>
      <c r="F206" s="31"/>
      <c r="G206" s="31"/>
      <c r="H206" s="31"/>
      <c r="I206" s="31"/>
      <c r="J206" s="31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36"/>
      <c r="B207" s="37"/>
      <c r="C207" s="37"/>
      <c r="D207" s="44"/>
      <c r="E207" s="31"/>
      <c r="F207" s="31"/>
      <c r="G207" s="31"/>
      <c r="H207" s="31"/>
      <c r="I207" s="31"/>
      <c r="J207" s="31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36"/>
      <c r="B208" s="37"/>
      <c r="C208" s="37"/>
      <c r="D208" s="44"/>
      <c r="E208" s="31"/>
      <c r="F208" s="31"/>
      <c r="G208" s="31"/>
      <c r="H208" s="31"/>
      <c r="I208" s="31"/>
      <c r="J208" s="31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36"/>
      <c r="B209" s="37"/>
      <c r="C209" s="37"/>
      <c r="D209" s="44"/>
      <c r="E209" s="31"/>
      <c r="F209" s="31"/>
      <c r="G209" s="31"/>
      <c r="H209" s="31"/>
      <c r="I209" s="31"/>
      <c r="J209" s="31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36"/>
      <c r="B210" s="37"/>
      <c r="C210" s="37"/>
      <c r="D210" s="44"/>
      <c r="E210" s="31"/>
      <c r="F210" s="31"/>
      <c r="G210" s="31"/>
      <c r="H210" s="31"/>
      <c r="I210" s="31"/>
      <c r="J210" s="31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36"/>
      <c r="B211" s="37"/>
      <c r="C211" s="37"/>
      <c r="D211" s="44"/>
      <c r="E211" s="31"/>
      <c r="F211" s="31"/>
      <c r="G211" s="31"/>
      <c r="H211" s="31"/>
      <c r="I211" s="31"/>
      <c r="J211" s="31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36"/>
      <c r="B212" s="37"/>
      <c r="C212" s="37"/>
      <c r="D212" s="44"/>
      <c r="E212" s="31"/>
      <c r="F212" s="31"/>
      <c r="G212" s="31"/>
      <c r="H212" s="31"/>
      <c r="I212" s="31"/>
      <c r="J212" s="31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36"/>
      <c r="B213" s="37"/>
      <c r="C213" s="37"/>
      <c r="D213" s="44"/>
      <c r="E213" s="31"/>
      <c r="F213" s="31"/>
      <c r="G213" s="31"/>
      <c r="H213" s="31"/>
      <c r="I213" s="31"/>
      <c r="J213" s="31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36"/>
      <c r="B214" s="37"/>
      <c r="C214" s="37"/>
      <c r="D214" s="44"/>
      <c r="E214" s="31"/>
      <c r="F214" s="31"/>
      <c r="G214" s="31"/>
      <c r="H214" s="31"/>
      <c r="I214" s="31"/>
      <c r="J214" s="31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36"/>
      <c r="B215" s="37"/>
      <c r="C215" s="37"/>
      <c r="D215" s="44"/>
      <c r="E215" s="31"/>
      <c r="F215" s="31"/>
      <c r="G215" s="31"/>
      <c r="H215" s="31"/>
      <c r="I215" s="31"/>
      <c r="J215" s="31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36"/>
      <c r="B216" s="37"/>
      <c r="C216" s="37"/>
      <c r="D216" s="44"/>
      <c r="E216" s="31"/>
      <c r="F216" s="31"/>
      <c r="G216" s="31"/>
      <c r="H216" s="31"/>
      <c r="I216" s="31"/>
      <c r="J216" s="31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36"/>
      <c r="B217" s="37"/>
      <c r="C217" s="37"/>
      <c r="D217" s="44"/>
      <c r="E217" s="31"/>
      <c r="F217" s="31"/>
      <c r="G217" s="31"/>
      <c r="H217" s="31"/>
      <c r="I217" s="31"/>
      <c r="J217" s="31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36"/>
      <c r="B218" s="37"/>
      <c r="C218" s="37"/>
      <c r="D218" s="44"/>
      <c r="E218" s="31"/>
      <c r="F218" s="31"/>
      <c r="G218" s="31"/>
      <c r="H218" s="31"/>
      <c r="I218" s="31"/>
      <c r="J218" s="31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36"/>
      <c r="B219" s="37"/>
      <c r="C219" s="37"/>
      <c r="D219" s="44"/>
      <c r="E219" s="31"/>
      <c r="F219" s="31"/>
      <c r="G219" s="31"/>
      <c r="H219" s="31"/>
      <c r="I219" s="31"/>
      <c r="J219" s="31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36"/>
      <c r="B220" s="37"/>
      <c r="C220" s="37"/>
      <c r="D220" s="44"/>
      <c r="E220" s="31"/>
      <c r="F220" s="31"/>
      <c r="G220" s="31"/>
      <c r="H220" s="31"/>
      <c r="I220" s="31"/>
      <c r="J220" s="31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36"/>
      <c r="B221" s="37"/>
      <c r="C221" s="37"/>
      <c r="D221" s="44"/>
      <c r="E221" s="31"/>
      <c r="F221" s="31"/>
      <c r="G221" s="31"/>
      <c r="H221" s="31"/>
      <c r="I221" s="31"/>
      <c r="J221" s="31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36"/>
      <c r="B222" s="37"/>
      <c r="C222" s="37"/>
      <c r="D222" s="44"/>
      <c r="E222" s="31"/>
      <c r="F222" s="31"/>
      <c r="G222" s="31"/>
      <c r="H222" s="31"/>
      <c r="I222" s="31"/>
      <c r="J222" s="31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36"/>
      <c r="B223" s="37"/>
      <c r="C223" s="37"/>
      <c r="D223" s="44"/>
      <c r="E223" s="31"/>
      <c r="F223" s="31"/>
      <c r="G223" s="31"/>
      <c r="H223" s="31"/>
      <c r="I223" s="31"/>
      <c r="J223" s="31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36"/>
      <c r="B224" s="37"/>
      <c r="C224" s="37"/>
      <c r="D224" s="44"/>
      <c r="E224" s="31"/>
      <c r="F224" s="31"/>
      <c r="G224" s="31"/>
      <c r="H224" s="31"/>
      <c r="I224" s="31"/>
      <c r="J224" s="31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36"/>
      <c r="B225" s="37"/>
      <c r="C225" s="37"/>
      <c r="D225" s="44"/>
      <c r="E225" s="31"/>
      <c r="F225" s="31"/>
      <c r="G225" s="31"/>
      <c r="H225" s="31"/>
      <c r="I225" s="31"/>
      <c r="J225" s="31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36"/>
      <c r="B226" s="37"/>
      <c r="C226" s="37"/>
      <c r="D226" s="44"/>
      <c r="E226" s="31"/>
      <c r="F226" s="31"/>
      <c r="G226" s="31"/>
      <c r="H226" s="31"/>
      <c r="I226" s="31"/>
      <c r="J226" s="31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3.29"/>
    <col customWidth="1" min="3" max="3" width="9.86"/>
    <col customWidth="1" min="4" max="4" width="137.14"/>
    <col customWidth="1" min="5" max="10" width="8.86"/>
    <col customWidth="1" min="11" max="25" width="9.0"/>
  </cols>
  <sheetData>
    <row r="1" ht="14.25" customHeight="1">
      <c r="A1" s="45" t="s">
        <v>0</v>
      </c>
      <c r="B1" s="46" t="s">
        <v>1143</v>
      </c>
      <c r="C1" s="47" t="s">
        <v>1144</v>
      </c>
      <c r="D1" s="48" t="s">
        <v>1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4.25" customHeight="1">
      <c r="A2" s="50" t="s">
        <v>17</v>
      </c>
      <c r="B2" s="51" t="s">
        <v>1137</v>
      </c>
      <c r="C2" s="13" t="s">
        <v>1145</v>
      </c>
      <c r="D2" s="30" t="str">
        <f>IFERROR(__xludf.DUMMYFUNCTION("JOIN("","",FILTER(Disciplinas!A:A, regexmatch(Disciplinas!D:D, A2)))"),"RV.ADM05,RV.ADM06,RV.ADM07,RV.ADM08,RV.ADM405,RV.CON817,RV.EXA810")</f>
        <v>RV.ADM05,RV.ADM06,RV.ADM07,RV.ADM08,RV.ADM405,RV.CON817,RV.EXA810</v>
      </c>
      <c r="E2" s="31" t="str">
        <f t="shared" ref="E2:E80" si="1">ifs(C2 = "Manhã", "7-16", C2 = "Tarde", "1-6,13-16", C2 = "Noite", "1-12", C2 = "Integral", "13-16")</f>
        <v>1-12</v>
      </c>
      <c r="F2" s="31" t="str">
        <f t="shared" ref="F2:F80" si="2">ifs(C2 = "Manhã", "7-16", C2 = "Tarde", "1-6,13-16", C2 = "Noite", "1-12", C2 = "Integral", "13-16")</f>
        <v>1-12</v>
      </c>
      <c r="G2" s="31" t="str">
        <f t="shared" ref="G2:G80" si="3">ifs(C2 = "Manhã", "7-16", C2 = "Tarde", "1-6,13-16", C2 = "Noite", "1-12", C2 = "Integral", "13-16")</f>
        <v>1-12</v>
      </c>
      <c r="H2" s="31" t="str">
        <f t="shared" ref="H2:H80" si="4">ifs(C2 = "Manhã", "7-16", C2 = "Tarde", "1-6,13-16", C2 = "Noite", "1-12", C2 = "Integral", "13-16")</f>
        <v>1-12</v>
      </c>
      <c r="I2" s="31" t="str">
        <f t="shared" ref="I2:I80" si="5">ifs(C2 = "Manhã", "7-16", C2 = "Tarde", "1-6,13-16", C2 = "Noite", "1-12", C2 = "Integral", "13-16")</f>
        <v>1-12</v>
      </c>
      <c r="J2" s="31" t="str">
        <f t="shared" ref="J2:J80" si="6">ifs(C2 = "Manhã", "1-16", C2 = "Tarde", "1-16", C2 = "Noite", "12-16", C2 = "Integral", "1-16")</f>
        <v>12-16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14.25" customHeight="1">
      <c r="A3" s="52" t="s">
        <v>36</v>
      </c>
      <c r="B3" s="51" t="s">
        <v>1118</v>
      </c>
      <c r="C3" s="13" t="s">
        <v>1145</v>
      </c>
      <c r="D3" s="30" t="str">
        <f>IFERROR(__xludf.DUMMYFUNCTION("JOIN("","",FILTER(Disciplinas!A:A, regexmatch(Disciplinas!D:D, A3)))"),"RV.ADM407,RV.PRO13,RV.PRO14,RV.PRO33,RV.PRO61")</f>
        <v>RV.ADM407,RV.PRO13,RV.PRO14,RV.PRO33,RV.PRO61</v>
      </c>
      <c r="E3" s="31" t="str">
        <f t="shared" si="1"/>
        <v>1-12</v>
      </c>
      <c r="F3" s="31" t="str">
        <f t="shared" si="2"/>
        <v>1-12</v>
      </c>
      <c r="G3" s="31" t="str">
        <f t="shared" si="3"/>
        <v>1-12</v>
      </c>
      <c r="H3" s="31" t="str">
        <f t="shared" si="4"/>
        <v>1-12</v>
      </c>
      <c r="I3" s="31" t="str">
        <f t="shared" si="5"/>
        <v>1-12</v>
      </c>
      <c r="J3" s="31" t="str">
        <f t="shared" si="6"/>
        <v>12-16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ht="14.25" customHeight="1">
      <c r="A4" s="50" t="s">
        <v>51</v>
      </c>
      <c r="B4" s="51" t="s">
        <v>1086</v>
      </c>
      <c r="C4" s="13" t="s">
        <v>1145</v>
      </c>
      <c r="D4" s="30" t="str">
        <f>IFERROR(__xludf.DUMMYFUNCTION("JOIN("","",FILTER(Disciplinas!A:A, regexmatch(Disciplinas!D:D, A4)))"),"GRAD.ADM.ASI.07,GRAD.ADM.GP-I.08,GRAD.ADM.TGA-II.06,GRAD.EB.02,GRAD.MC.05")</f>
        <v>GRAD.ADM.ASI.07,GRAD.ADM.GP-I.08,GRAD.ADM.TGA-II.06,GRAD.EB.02,GRAD.MC.05</v>
      </c>
      <c r="E4" s="31" t="str">
        <f t="shared" si="1"/>
        <v>1-12</v>
      </c>
      <c r="F4" s="31" t="str">
        <f t="shared" si="2"/>
        <v>1-12</v>
      </c>
      <c r="G4" s="31" t="str">
        <f t="shared" si="3"/>
        <v>1-12</v>
      </c>
      <c r="H4" s="31" t="str">
        <f t="shared" si="4"/>
        <v>1-12</v>
      </c>
      <c r="I4" s="31" t="str">
        <f t="shared" si="5"/>
        <v>1-12</v>
      </c>
      <c r="J4" s="31" t="str">
        <f t="shared" si="6"/>
        <v>12-16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4.25" customHeight="1">
      <c r="A5" s="53" t="s">
        <v>65</v>
      </c>
      <c r="B5" s="51" t="s">
        <v>1086</v>
      </c>
      <c r="C5" s="13" t="s">
        <v>1145</v>
      </c>
      <c r="D5" s="30" t="str">
        <f>IFERROR(__xludf.DUMMYFUNCTION("JOIN("","",FILTER(Disciplinas!A:A, regexmatch(Disciplinas!D:D, A5)))"),"GRAD.ADM.AMP.16,GRAD.ADM.EAA.17,GRAD.ADM.GFO.15,GRAD.ADM.MARK-I.14,GRAD.ADM.OSM.13")</f>
        <v>GRAD.ADM.AMP.16,GRAD.ADM.EAA.17,GRAD.ADM.GFO.15,GRAD.ADM.MARK-I.14,GRAD.ADM.OSM.13</v>
      </c>
      <c r="E5" s="31" t="str">
        <f t="shared" si="1"/>
        <v>1-12</v>
      </c>
      <c r="F5" s="31" t="str">
        <f t="shared" si="2"/>
        <v>1-12</v>
      </c>
      <c r="G5" s="31" t="str">
        <f t="shared" si="3"/>
        <v>1-12</v>
      </c>
      <c r="H5" s="31" t="str">
        <f t="shared" si="4"/>
        <v>1-12</v>
      </c>
      <c r="I5" s="31" t="str">
        <f t="shared" si="5"/>
        <v>1-12</v>
      </c>
      <c r="J5" s="31" t="str">
        <f t="shared" si="6"/>
        <v>12-16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ht="14.25" customHeight="1">
      <c r="A6" s="54" t="s">
        <v>80</v>
      </c>
      <c r="B6" s="51" t="s">
        <v>1086</v>
      </c>
      <c r="C6" s="55" t="s">
        <v>1145</v>
      </c>
      <c r="D6" s="30" t="str">
        <f>IFERROR(__xludf.DUMMYFUNCTION("JOIN("","",FILTER(Disciplinas!A:A, regexmatch(Disciplinas!D:D, A6)))"),"GRAD.ADM.GC.22,GRAD.ADM.GQ.24,GRAD.ADM.PE.23,GRAD.ADM.RSA.25,GRAD.EMPREENDED.01")</f>
        <v>GRAD.ADM.GC.22,GRAD.ADM.GQ.24,GRAD.ADM.PE.23,GRAD.ADM.RSA.25,GRAD.EMPREENDED.01</v>
      </c>
      <c r="E6" s="31" t="str">
        <f t="shared" si="1"/>
        <v>1-12</v>
      </c>
      <c r="F6" s="31" t="str">
        <f t="shared" si="2"/>
        <v>1-12</v>
      </c>
      <c r="G6" s="31" t="str">
        <f t="shared" si="3"/>
        <v>1-12</v>
      </c>
      <c r="H6" s="31" t="str">
        <f t="shared" si="4"/>
        <v>1-12</v>
      </c>
      <c r="I6" s="31" t="str">
        <f t="shared" si="5"/>
        <v>1-12</v>
      </c>
      <c r="J6" s="31" t="str">
        <f t="shared" si="6"/>
        <v>12-16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4.25" customHeight="1">
      <c r="A7" s="50" t="s">
        <v>92</v>
      </c>
      <c r="B7" s="56" t="s">
        <v>1091</v>
      </c>
      <c r="C7" s="55" t="s">
        <v>1145</v>
      </c>
      <c r="D7" s="30" t="str">
        <f>IFERROR(__xludf.DUMMYFUNCTION("JOIN("","",FILTER(Disciplinas!A:A, regexmatch(Disciplinas!D:D, A7)))"),"RV.AGN225")</f>
        <v>RV.AGN225</v>
      </c>
      <c r="E7" s="31" t="str">
        <f t="shared" si="1"/>
        <v>1-12</v>
      </c>
      <c r="F7" s="31" t="str">
        <f t="shared" si="2"/>
        <v>1-12</v>
      </c>
      <c r="G7" s="31" t="str">
        <f t="shared" si="3"/>
        <v>1-12</v>
      </c>
      <c r="H7" s="31" t="str">
        <f t="shared" si="4"/>
        <v>1-12</v>
      </c>
      <c r="I7" s="31" t="str">
        <f t="shared" si="5"/>
        <v>1-12</v>
      </c>
      <c r="J7" s="31" t="str">
        <f t="shared" si="6"/>
        <v>12-16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ht="14.25" customHeight="1">
      <c r="A8" s="53" t="s">
        <v>96</v>
      </c>
      <c r="B8" s="56" t="s">
        <v>1121</v>
      </c>
      <c r="C8" s="55" t="s">
        <v>1146</v>
      </c>
      <c r="D8" s="30" t="str">
        <f>IFERROR(__xludf.DUMMYFUNCTION("JOIN("","",FILTER(Disciplinas!A:A, regexmatch(Disciplinas!D:D, A8)))"),"RAGROP-RV.1,RAGROP-RV.6,RV.TAG006,RV.TAG007,RV.TAG008")</f>
        <v>RAGROP-RV.1,RAGROP-RV.6,RV.TAG006,RV.TAG007,RV.TAG008</v>
      </c>
      <c r="E8" s="31" t="str">
        <f t="shared" si="1"/>
        <v>7-16</v>
      </c>
      <c r="F8" s="31" t="str">
        <f t="shared" si="2"/>
        <v>7-16</v>
      </c>
      <c r="G8" s="31" t="str">
        <f t="shared" si="3"/>
        <v>7-16</v>
      </c>
      <c r="H8" s="31" t="str">
        <f t="shared" si="4"/>
        <v>7-16</v>
      </c>
      <c r="I8" s="31" t="str">
        <f t="shared" si="5"/>
        <v>7-16</v>
      </c>
      <c r="J8" s="31" t="str">
        <f t="shared" si="6"/>
        <v>1-16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4.25" customHeight="1">
      <c r="A9" s="53" t="s">
        <v>112</v>
      </c>
      <c r="B9" s="56" t="s">
        <v>1121</v>
      </c>
      <c r="C9" s="55" t="s">
        <v>1146</v>
      </c>
      <c r="D9" s="30" t="str">
        <f>IFERROR(__xludf.DUMMYFUNCTION("JOIN("","",FILTER(Disciplinas!A:A, regexmatch(Disciplinas!D:D, A9)))"),"RAGROP-RV.4,RV.TAG013,RV.TAG014,RV.TAG015,RV.TAG517")</f>
        <v>RAGROP-RV.4,RV.TAG013,RV.TAG014,RV.TAG015,RV.TAG517</v>
      </c>
      <c r="E9" s="31" t="str">
        <f t="shared" si="1"/>
        <v>7-16</v>
      </c>
      <c r="F9" s="31" t="str">
        <f t="shared" si="2"/>
        <v>7-16</v>
      </c>
      <c r="G9" s="31" t="str">
        <f t="shared" si="3"/>
        <v>7-16</v>
      </c>
      <c r="H9" s="31" t="str">
        <f t="shared" si="4"/>
        <v>7-16</v>
      </c>
      <c r="I9" s="31" t="str">
        <f t="shared" si="5"/>
        <v>7-16</v>
      </c>
      <c r="J9" s="31" t="str">
        <f t="shared" si="6"/>
        <v>1-16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ht="14.25" customHeight="1">
      <c r="A10" s="53" t="s">
        <v>124</v>
      </c>
      <c r="B10" s="56" t="s">
        <v>1121</v>
      </c>
      <c r="C10" s="55" t="s">
        <v>1147</v>
      </c>
      <c r="D10" s="30" t="str">
        <f>IFERROR(__xludf.DUMMYFUNCTION("JOIN("","",FILTER(Disciplinas!A:A, regexmatch(Disciplinas!D:D, A10)))"),"RAGROP-RV.1,RAGROP-RV.6,RV.TAG006,RV.TAG007,RV.TAG008")</f>
        <v>RAGROP-RV.1,RAGROP-RV.6,RV.TAG006,RV.TAG007,RV.TAG008</v>
      </c>
      <c r="E10" s="31" t="str">
        <f t="shared" si="1"/>
        <v>1-6,13-16</v>
      </c>
      <c r="F10" s="31" t="str">
        <f t="shared" si="2"/>
        <v>1-6,13-16</v>
      </c>
      <c r="G10" s="31" t="str">
        <f t="shared" si="3"/>
        <v>1-6,13-16</v>
      </c>
      <c r="H10" s="31" t="str">
        <f t="shared" si="4"/>
        <v>1-6,13-16</v>
      </c>
      <c r="I10" s="31" t="str">
        <f t="shared" si="5"/>
        <v>1-6,13-16</v>
      </c>
      <c r="J10" s="31" t="str">
        <f t="shared" si="6"/>
        <v>1-16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4.25" customHeight="1">
      <c r="A11" s="54" t="s">
        <v>125</v>
      </c>
      <c r="B11" s="56" t="s">
        <v>1121</v>
      </c>
      <c r="C11" s="55" t="s">
        <v>1147</v>
      </c>
      <c r="D11" s="30" t="str">
        <f>IFERROR(__xludf.DUMMYFUNCTION("JOIN("","",FILTER(Disciplinas!A:A, regexmatch(Disciplinas!D:D, A11)))"),"RAGROP-RV.4,RV.TAG013,RV.TAG014,RV.TAG015,RV.TAG517")</f>
        <v>RAGROP-RV.4,RV.TAG013,RV.TAG014,RV.TAG015,RV.TAG517</v>
      </c>
      <c r="E11" s="31" t="str">
        <f t="shared" si="1"/>
        <v>1-6,13-16</v>
      </c>
      <c r="F11" s="31" t="str">
        <f t="shared" si="2"/>
        <v>1-6,13-16</v>
      </c>
      <c r="G11" s="31" t="str">
        <f t="shared" si="3"/>
        <v>1-6,13-16</v>
      </c>
      <c r="H11" s="31" t="str">
        <f t="shared" si="4"/>
        <v>1-6,13-16</v>
      </c>
      <c r="I11" s="31" t="str">
        <f t="shared" si="5"/>
        <v>1-6,13-16</v>
      </c>
      <c r="J11" s="31" t="str">
        <f t="shared" si="6"/>
        <v>1-16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ht="14.25" customHeight="1">
      <c r="A12" s="57" t="s">
        <v>131</v>
      </c>
      <c r="B12" s="22" t="s">
        <v>1095</v>
      </c>
      <c r="C12" s="58" t="s">
        <v>1146</v>
      </c>
      <c r="D12" s="30" t="str">
        <f>IFERROR(__xludf.DUMMYFUNCTION("JOIN("","",FILTER(Disciplinas!A:A, regexmatch(Disciplinas!D:D, A12)))"),"GRAD.AIA.01,GRAD.AP.02,GRAD.PNC.01,GRAD.RAD.01,GRAD.SA.01,GRAD.SAG.01")</f>
        <v>GRAD.AIA.01,GRAD.AP.02,GRAD.PNC.01,GRAD.RAD.01,GRAD.SA.01,GRAD.SAG.01</v>
      </c>
      <c r="E12" s="31" t="str">
        <f t="shared" si="1"/>
        <v>7-16</v>
      </c>
      <c r="F12" s="31" t="str">
        <f t="shared" si="2"/>
        <v>7-16</v>
      </c>
      <c r="G12" s="31" t="str">
        <f t="shared" si="3"/>
        <v>7-16</v>
      </c>
      <c r="H12" s="31" t="str">
        <f t="shared" si="4"/>
        <v>7-16</v>
      </c>
      <c r="I12" s="31" t="str">
        <f t="shared" si="5"/>
        <v>7-16</v>
      </c>
      <c r="J12" s="31" t="str">
        <f t="shared" si="6"/>
        <v>1-16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4.25" customHeight="1">
      <c r="A13" s="54" t="s">
        <v>148</v>
      </c>
      <c r="B13" s="22" t="s">
        <v>1095</v>
      </c>
      <c r="C13" s="58" t="s">
        <v>1146</v>
      </c>
      <c r="D13" s="30" t="str">
        <f>IFERROR(__xludf.DUMMYFUNCTION("JOIN("","",FILTER(Disciplinas!A:A, regexmatch(Disciplinas!D:D, A13)))"),"GRAD.BC.12,GRAD.CDI.01,GRAD.DT.01,GRAD.EG.07,GRAD.IA.07,GRAD.MC.01,GRAD.QG.01")</f>
        <v>GRAD.BC.12,GRAD.CDI.01,GRAD.DT.01,GRAD.EG.07,GRAD.IA.07,GRAD.MC.01,GRAD.QG.01</v>
      </c>
      <c r="E13" s="31" t="str">
        <f t="shared" si="1"/>
        <v>7-16</v>
      </c>
      <c r="F13" s="31" t="str">
        <f t="shared" si="2"/>
        <v>7-16</v>
      </c>
      <c r="G13" s="31" t="str">
        <f t="shared" si="3"/>
        <v>7-16</v>
      </c>
      <c r="H13" s="31" t="str">
        <f t="shared" si="4"/>
        <v>7-16</v>
      </c>
      <c r="I13" s="31" t="str">
        <f t="shared" si="5"/>
        <v>7-16</v>
      </c>
      <c r="J13" s="31" t="str">
        <f t="shared" si="6"/>
        <v>1-16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ht="14.25" customHeight="1">
      <c r="A14" s="57" t="s">
        <v>165</v>
      </c>
      <c r="B14" s="22" t="s">
        <v>1095</v>
      </c>
      <c r="C14" s="58" t="s">
        <v>1147</v>
      </c>
      <c r="D14" s="30" t="str">
        <f>IFERROR(__xludf.DUMMYFUNCTION("JOIN("","",FILTER(Disciplinas!A:A, regexmatch(Disciplinas!D:D, A14)))"),"GRAD.EB.01,GRAD.F.01,GRAD.GMS.01,GRAD.M.01,GRAD.OSV.01,GRAD.QO.01")</f>
        <v>GRAD.EB.01,GRAD.F.01,GRAD.GMS.01,GRAD.M.01,GRAD.OSV.01,GRAD.QO.01</v>
      </c>
      <c r="E14" s="31" t="str">
        <f t="shared" si="1"/>
        <v>1-6,13-16</v>
      </c>
      <c r="F14" s="31" t="str">
        <f t="shared" si="2"/>
        <v>1-6,13-16</v>
      </c>
      <c r="G14" s="31" t="str">
        <f t="shared" si="3"/>
        <v>1-6,13-16</v>
      </c>
      <c r="H14" s="31" t="str">
        <f t="shared" si="4"/>
        <v>1-6,13-16</v>
      </c>
      <c r="I14" s="31" t="str">
        <f t="shared" si="5"/>
        <v>1-6,13-16</v>
      </c>
      <c r="J14" s="31" t="str">
        <f t="shared" si="6"/>
        <v>1-16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4.25" customHeight="1">
      <c r="A15" s="57" t="s">
        <v>183</v>
      </c>
      <c r="B15" s="22" t="s">
        <v>1095</v>
      </c>
      <c r="C15" s="58" t="s">
        <v>1146</v>
      </c>
      <c r="D15" s="30" t="str">
        <f>IFERROR(__xludf.DUMMYFUNCTION("JOIN("","",FILTER(Disciplinas!A:A, regexmatch(Disciplinas!D:D, A15)))"),"GRAD.AV.1,GRAD.EE.01,GRAD.EG.05,GRAD.FS.01,GRAD.MA.1,GRAD.QA.01,GRAD.T.01")</f>
        <v>GRAD.AV.1,GRAD.EE.01,GRAD.EG.05,GRAD.FS.01,GRAD.MA.1,GRAD.QA.01,GRAD.T.01</v>
      </c>
      <c r="E15" s="31" t="str">
        <f t="shared" si="1"/>
        <v>7-16</v>
      </c>
      <c r="F15" s="31" t="str">
        <f t="shared" si="2"/>
        <v>7-16</v>
      </c>
      <c r="G15" s="31" t="str">
        <f t="shared" si="3"/>
        <v>7-16</v>
      </c>
      <c r="H15" s="31" t="str">
        <f t="shared" si="4"/>
        <v>7-16</v>
      </c>
      <c r="I15" s="31" t="str">
        <f t="shared" si="5"/>
        <v>7-16</v>
      </c>
      <c r="J15" s="31" t="str">
        <f t="shared" si="6"/>
        <v>1-16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ht="14.25" customHeight="1">
      <c r="A16" s="57" t="s">
        <v>205</v>
      </c>
      <c r="B16" s="22" t="s">
        <v>1095</v>
      </c>
      <c r="C16" s="58" t="s">
        <v>1147</v>
      </c>
      <c r="D16" s="30" t="str">
        <f>IFERROR(__xludf.DUMMYFUNCTION("JOIN("","",FILTER(Disciplinas!A:A, regexmatch(Disciplinas!D:D, A16)))"),"GRAD.BB.01,GRAD.CLS.01,GRAD.EA.31,GRAD.FS.02,GRAD.MMA.01,GRAD.T.02")</f>
        <v>GRAD.BB.01,GRAD.CLS.01,GRAD.EA.31,GRAD.FS.02,GRAD.MMA.01,GRAD.T.02</v>
      </c>
      <c r="E16" s="31" t="str">
        <f t="shared" si="1"/>
        <v>1-6,13-16</v>
      </c>
      <c r="F16" s="31" t="str">
        <f t="shared" si="2"/>
        <v>1-6,13-16</v>
      </c>
      <c r="G16" s="31" t="str">
        <f t="shared" si="3"/>
        <v>1-6,13-16</v>
      </c>
      <c r="H16" s="31" t="str">
        <f t="shared" si="4"/>
        <v>1-6,13-16</v>
      </c>
      <c r="I16" s="31" t="str">
        <f t="shared" si="5"/>
        <v>1-6,13-16</v>
      </c>
      <c r="J16" s="31" t="str">
        <f t="shared" si="6"/>
        <v>1-16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4.25" customHeight="1">
      <c r="A17" s="57" t="s">
        <v>219</v>
      </c>
      <c r="B17" s="22" t="s">
        <v>1095</v>
      </c>
      <c r="C17" s="58" t="s">
        <v>1146</v>
      </c>
      <c r="D17" s="30" t="str">
        <f>IFERROR(__xludf.DUMMYFUNCTION("JOIN("","",FILTER(Disciplinas!A:A, regexmatch(Disciplinas!D:D, A17)))"),"GRAD.CIR.01,GRAD.F.42,GRAD.HID.01,GRAD.MP.01,GRAD.NMP.04,GRAD.PD.01,GRAD.PP.39")</f>
        <v>GRAD.CIR.01,GRAD.F.42,GRAD.HID.01,GRAD.MP.01,GRAD.NMP.04,GRAD.PD.01,GRAD.PP.39</v>
      </c>
      <c r="E17" s="31" t="str">
        <f t="shared" si="1"/>
        <v>7-16</v>
      </c>
      <c r="F17" s="31" t="str">
        <f t="shared" si="2"/>
        <v>7-16</v>
      </c>
      <c r="G17" s="31" t="str">
        <f t="shared" si="3"/>
        <v>7-16</v>
      </c>
      <c r="H17" s="31" t="str">
        <f t="shared" si="4"/>
        <v>7-16</v>
      </c>
      <c r="I17" s="31" t="str">
        <f t="shared" si="5"/>
        <v>7-16</v>
      </c>
      <c r="J17" s="31" t="str">
        <f t="shared" si="6"/>
        <v>1-16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ht="14.25" customHeight="1">
      <c r="A18" s="57" t="s">
        <v>238</v>
      </c>
      <c r="B18" s="22" t="s">
        <v>1095</v>
      </c>
      <c r="C18" s="58" t="s">
        <v>1147</v>
      </c>
      <c r="D18" s="30" t="str">
        <f>IFERROR(__xludf.DUMMYFUNCTION("JOIN("","",FILTER(Disciplinas!A:A, regexmatch(Disciplinas!D:D, A18)))"),"GRAD.A.01,GRAD.AR.03,GRAD.B.57,GRAD.CSFGAM.01,GRAD.F.02,GRAD.SGA.01,GRAD.TPA.01")</f>
        <v>GRAD.A.01,GRAD.AR.03,GRAD.B.57,GRAD.CSFGAM.01,GRAD.F.02,GRAD.SGA.01,GRAD.TPA.01</v>
      </c>
      <c r="E18" s="31" t="str">
        <f t="shared" si="1"/>
        <v>1-6,13-16</v>
      </c>
      <c r="F18" s="31" t="str">
        <f t="shared" si="2"/>
        <v>1-6,13-16</v>
      </c>
      <c r="G18" s="31" t="str">
        <f t="shared" si="3"/>
        <v>1-6,13-16</v>
      </c>
      <c r="H18" s="31" t="str">
        <f t="shared" si="4"/>
        <v>1-6,13-16</v>
      </c>
      <c r="I18" s="31" t="str">
        <f t="shared" si="5"/>
        <v>1-6,13-16</v>
      </c>
      <c r="J18" s="31" t="str">
        <f t="shared" si="6"/>
        <v>1-16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4.25" customHeight="1">
      <c r="A19" s="57" t="s">
        <v>254</v>
      </c>
      <c r="B19" s="22" t="s">
        <v>1095</v>
      </c>
      <c r="C19" s="58" t="s">
        <v>1147</v>
      </c>
      <c r="D19" s="30" t="str">
        <f>IFERROR(__xludf.DUMMYFUNCTION("JOIN("","",FILTER(Disciplinas!A:A, regexmatch(Disciplinas!D:D, A19)))"),"RV.AGR238,RV.AGR239,RV.HUM206,RV.INF207,RV.BIO256,RV.ZOO234")</f>
        <v>RV.AGR238,RV.AGR239,RV.HUM206,RV.INF207,RV.BIO256,RV.ZOO234</v>
      </c>
      <c r="E19" s="31" t="str">
        <f t="shared" si="1"/>
        <v>1-6,13-16</v>
      </c>
      <c r="F19" s="31" t="str">
        <f t="shared" si="2"/>
        <v>1-6,13-16</v>
      </c>
      <c r="G19" s="31" t="str">
        <f t="shared" si="3"/>
        <v>1-6,13-16</v>
      </c>
      <c r="H19" s="31" t="str">
        <f t="shared" si="4"/>
        <v>1-6,13-16</v>
      </c>
      <c r="I19" s="31" t="str">
        <f t="shared" si="5"/>
        <v>1-6,13-16</v>
      </c>
      <c r="J19" s="31" t="str">
        <f t="shared" si="6"/>
        <v>1-16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ht="14.25" customHeight="1">
      <c r="A20" s="57" t="s">
        <v>265</v>
      </c>
      <c r="B20" s="22" t="s">
        <v>1095</v>
      </c>
      <c r="C20" s="58" t="s">
        <v>1147</v>
      </c>
      <c r="D20" s="30" t="str">
        <f>IFERROR(__xludf.DUMMYFUNCTION("JOIN("","",FILTER(Disciplinas!A:A, regexmatch(Disciplinas!D:D, A20)))"),"RV.BIO256")</f>
        <v>RV.BIO256</v>
      </c>
      <c r="E20" s="31" t="str">
        <f t="shared" si="1"/>
        <v>1-6,13-16</v>
      </c>
      <c r="F20" s="31" t="str">
        <f t="shared" si="2"/>
        <v>1-6,13-16</v>
      </c>
      <c r="G20" s="31" t="str">
        <f t="shared" si="3"/>
        <v>1-6,13-16</v>
      </c>
      <c r="H20" s="31" t="str">
        <f t="shared" si="4"/>
        <v>1-6,13-16</v>
      </c>
      <c r="I20" s="31" t="str">
        <f t="shared" si="5"/>
        <v>1-6,13-16</v>
      </c>
      <c r="J20" s="31" t="str">
        <f t="shared" si="6"/>
        <v>1-16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4.25" customHeight="1">
      <c r="A21" s="57" t="s">
        <v>269</v>
      </c>
      <c r="B21" s="22" t="s">
        <v>1095</v>
      </c>
      <c r="C21" s="58" t="s">
        <v>1147</v>
      </c>
      <c r="D21" s="30" t="str">
        <f>IFERROR(__xludf.DUMMYFUNCTION("JOIN("","",FILTER(Disciplinas!A:A, regexmatch(Disciplinas!D:D, A21)))"),"RV.ZOO234")</f>
        <v>RV.ZOO234</v>
      </c>
      <c r="E21" s="31" t="str">
        <f t="shared" si="1"/>
        <v>1-6,13-16</v>
      </c>
      <c r="F21" s="31" t="str">
        <f t="shared" si="2"/>
        <v>1-6,13-16</v>
      </c>
      <c r="G21" s="31" t="str">
        <f t="shared" si="3"/>
        <v>1-6,13-16</v>
      </c>
      <c r="H21" s="31" t="str">
        <f t="shared" si="4"/>
        <v>1-6,13-16</v>
      </c>
      <c r="I21" s="31" t="str">
        <f t="shared" si="5"/>
        <v>1-6,13-16</v>
      </c>
      <c r="J21" s="31" t="str">
        <f t="shared" si="6"/>
        <v>1-16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ht="14.25" customHeight="1">
      <c r="A22" s="57" t="s">
        <v>270</v>
      </c>
      <c r="B22" s="22" t="s">
        <v>1123</v>
      </c>
      <c r="C22" s="58" t="s">
        <v>1145</v>
      </c>
      <c r="D22" s="30" t="str">
        <f>IFERROR(__xludf.DUMMYFUNCTION("JOIN("","",FILTER(Disciplinas!A:A, regexmatch(Disciplinas!D:D, A22)))"),"RV.EXA810,RV.TAL10,RV.TAL11,RV.TAL12,RV.TAL712,RVTAL.82")</f>
        <v>RV.EXA810,RV.TAL10,RV.TAL11,RV.TAL12,RV.TAL712,RVTAL.82</v>
      </c>
      <c r="E22" s="31" t="str">
        <f t="shared" si="1"/>
        <v>1-12</v>
      </c>
      <c r="F22" s="31" t="str">
        <f t="shared" si="2"/>
        <v>1-12</v>
      </c>
      <c r="G22" s="31" t="str">
        <f t="shared" si="3"/>
        <v>1-12</v>
      </c>
      <c r="H22" s="31" t="str">
        <f t="shared" si="4"/>
        <v>1-12</v>
      </c>
      <c r="I22" s="31" t="str">
        <f t="shared" si="5"/>
        <v>1-12</v>
      </c>
      <c r="J22" s="31" t="str">
        <f t="shared" si="6"/>
        <v>12-16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4.25" customHeight="1">
      <c r="A23" s="57" t="s">
        <v>287</v>
      </c>
      <c r="B23" s="22" t="s">
        <v>1123</v>
      </c>
      <c r="C23" s="58" t="s">
        <v>1145</v>
      </c>
      <c r="D23" s="30" t="str">
        <f>IFERROR(__xludf.DUMMYFUNCTION("JOIN("","",FILTER(Disciplinas!A:A, regexmatch(Disciplinas!D:D, A23)))"),"RV.TAL13,RV.TAL14,RV.TAL15,RV.TAL16,RV.TAL17,RV.TAL717")</f>
        <v>RV.TAL13,RV.TAL14,RV.TAL15,RV.TAL16,RV.TAL17,RV.TAL717</v>
      </c>
      <c r="E23" s="31" t="str">
        <f t="shared" si="1"/>
        <v>1-12</v>
      </c>
      <c r="F23" s="31" t="str">
        <f t="shared" si="2"/>
        <v>1-12</v>
      </c>
      <c r="G23" s="31" t="str">
        <f t="shared" si="3"/>
        <v>1-12</v>
      </c>
      <c r="H23" s="31" t="str">
        <f t="shared" si="4"/>
        <v>1-12</v>
      </c>
      <c r="I23" s="31" t="str">
        <f t="shared" si="5"/>
        <v>1-12</v>
      </c>
      <c r="J23" s="31" t="str">
        <f t="shared" si="6"/>
        <v>12-16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4.25" customHeight="1">
      <c r="A24" s="57" t="s">
        <v>301</v>
      </c>
      <c r="B24" s="22" t="s">
        <v>1123</v>
      </c>
      <c r="C24" s="58" t="s">
        <v>1145</v>
      </c>
      <c r="D24" s="30" t="str">
        <f>IFERROR(__xludf.DUMMYFUNCTION("JOIN("","",FILTER(Disciplinas!A:A, regexmatch(Disciplinas!D:D, A24)))"),"RV.QAP428")</f>
        <v>RV.QAP428</v>
      </c>
      <c r="E24" s="31" t="str">
        <f t="shared" si="1"/>
        <v>1-12</v>
      </c>
      <c r="F24" s="31" t="str">
        <f t="shared" si="2"/>
        <v>1-12</v>
      </c>
      <c r="G24" s="31" t="str">
        <f t="shared" si="3"/>
        <v>1-12</v>
      </c>
      <c r="H24" s="31" t="str">
        <f t="shared" si="4"/>
        <v>1-12</v>
      </c>
      <c r="I24" s="31" t="str">
        <f t="shared" si="5"/>
        <v>1-12</v>
      </c>
      <c r="J24" s="31" t="str">
        <f t="shared" si="6"/>
        <v>12-16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4.25" customHeight="1">
      <c r="A25" s="57" t="s">
        <v>305</v>
      </c>
      <c r="B25" s="22" t="s">
        <v>1106</v>
      </c>
      <c r="C25" s="58" t="s">
        <v>1146</v>
      </c>
      <c r="D25" s="30" t="str">
        <f>IFERROR(__xludf.DUMMYFUNCTION("JOIN("","",FILTER(Disciplinas!A:A, regexmatch(Disciplinas!D:D, A25)))"),"GRAD.CDI.04,GRAD.DT.02,GRAD.EB.02,GRAD.FOTB.01,GRAD.QA.02,GRAD.QO.02")</f>
        <v>GRAD.CDI.04,GRAD.DT.02,GRAD.EB.02,GRAD.FOTB.01,GRAD.QA.02,GRAD.QO.02</v>
      </c>
      <c r="E25" s="31" t="str">
        <f t="shared" si="1"/>
        <v>7-16</v>
      </c>
      <c r="F25" s="31" t="str">
        <f t="shared" si="2"/>
        <v>7-16</v>
      </c>
      <c r="G25" s="31" t="str">
        <f t="shared" si="3"/>
        <v>7-16</v>
      </c>
      <c r="H25" s="31" t="str">
        <f t="shared" si="4"/>
        <v>7-16</v>
      </c>
      <c r="I25" s="31" t="str">
        <f t="shared" si="5"/>
        <v>7-16</v>
      </c>
      <c r="J25" s="31" t="str">
        <f t="shared" si="6"/>
        <v>1-16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4.25" customHeight="1">
      <c r="A26" s="57" t="s">
        <v>314</v>
      </c>
      <c r="B26" s="22" t="s">
        <v>1106</v>
      </c>
      <c r="C26" s="58" t="s">
        <v>1147</v>
      </c>
      <c r="D26" s="30" t="str">
        <f>IFERROR(__xludf.DUMMYFUNCTION("JOIN("","",FILTER(Disciplinas!A:A, regexmatch(Disciplinas!D:D, A26)))"),"GRAD.BA.01,GRAD.CN.01,GRAD.FQ.02,GRAD.FT.01,GRAD.MICROBIOL.01,GRAD.QA.03")</f>
        <v>GRAD.BA.01,GRAD.CN.01,GRAD.FQ.02,GRAD.FT.01,GRAD.MICROBIOL.01,GRAD.QA.03</v>
      </c>
      <c r="E26" s="31" t="str">
        <f t="shared" si="1"/>
        <v>1-6,13-16</v>
      </c>
      <c r="F26" s="31" t="str">
        <f t="shared" si="2"/>
        <v>1-6,13-16</v>
      </c>
      <c r="G26" s="31" t="str">
        <f t="shared" si="3"/>
        <v>1-6,13-16</v>
      </c>
      <c r="H26" s="31" t="str">
        <f t="shared" si="4"/>
        <v>1-6,13-16</v>
      </c>
      <c r="I26" s="31" t="str">
        <f t="shared" si="5"/>
        <v>1-6,13-16</v>
      </c>
      <c r="J26" s="31" t="str">
        <f t="shared" si="6"/>
        <v>1-16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4.25" customHeight="1">
      <c r="A27" s="57" t="s">
        <v>330</v>
      </c>
      <c r="B27" s="22" t="s">
        <v>1106</v>
      </c>
      <c r="C27" s="58" t="s">
        <v>1146</v>
      </c>
      <c r="D27" s="30" t="str">
        <f>IFERROR(__xludf.DUMMYFUNCTION("JOIN("","",FILTER(Disciplinas!A:A, regexmatch(Disciplinas!D:D, A27)))"),"GRAD.AS.02,GRAD.FT.03,GRAD.HIL.01,GRAD.II.01,GRAD.MC.03,GRAD.RM.01")</f>
        <v>GRAD.AS.02,GRAD.FT.03,GRAD.HIL.01,GRAD.II.01,GRAD.MC.03,GRAD.RM.01</v>
      </c>
      <c r="E27" s="31" t="str">
        <f t="shared" si="1"/>
        <v>7-16</v>
      </c>
      <c r="F27" s="31" t="str">
        <f t="shared" si="2"/>
        <v>7-16</v>
      </c>
      <c r="G27" s="31" t="str">
        <f t="shared" si="3"/>
        <v>7-16</v>
      </c>
      <c r="H27" s="31" t="str">
        <f t="shared" si="4"/>
        <v>7-16</v>
      </c>
      <c r="I27" s="31" t="str">
        <f t="shared" si="5"/>
        <v>7-16</v>
      </c>
      <c r="J27" s="31" t="str">
        <f t="shared" si="6"/>
        <v>1-16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4.25" customHeight="1">
      <c r="A28" s="57" t="s">
        <v>346</v>
      </c>
      <c r="B28" s="22" t="s">
        <v>1106</v>
      </c>
      <c r="C28" s="58" t="s">
        <v>1147</v>
      </c>
      <c r="D28" s="30" t="str">
        <f>IFERROR(__xludf.DUMMYFUNCTION("JOIN("","",FILTER(Disciplinas!A:A, regexmatch(Disciplinas!D:D, A28)))"),"GRAD.ASC.01,GRAD.BIOENG.01,GRAD.OU.02,GRAD.TFH.01,GRAD.TLD.01")</f>
        <v>GRAD.ASC.01,GRAD.BIOENG.01,GRAD.OU.02,GRAD.TFH.01,GRAD.TLD.01</v>
      </c>
      <c r="E28" s="31" t="str">
        <f t="shared" si="1"/>
        <v>1-6,13-16</v>
      </c>
      <c r="F28" s="31" t="str">
        <f t="shared" si="2"/>
        <v>1-6,13-16</v>
      </c>
      <c r="G28" s="31" t="str">
        <f t="shared" si="3"/>
        <v>1-6,13-16</v>
      </c>
      <c r="H28" s="31" t="str">
        <f t="shared" si="4"/>
        <v>1-6,13-16</v>
      </c>
      <c r="I28" s="31" t="str">
        <f t="shared" si="5"/>
        <v>1-6,13-16</v>
      </c>
      <c r="J28" s="31" t="str">
        <f t="shared" si="6"/>
        <v>1-16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4.25" customHeight="1">
      <c r="A29" s="57" t="s">
        <v>360</v>
      </c>
      <c r="B29" s="22" t="s">
        <v>1106</v>
      </c>
      <c r="C29" s="58" t="s">
        <v>1146</v>
      </c>
      <c r="D29" s="30" t="str">
        <f>IFERROR(__xludf.DUMMYFUNCTION("JOIN("","",FILTER(Disciplinas!A:A, regexmatch(Disciplinas!D:D, A29)))"),"RV.HUM223,SEALIM-RV.1")</f>
        <v>RV.HUM223,SEALIM-RV.1</v>
      </c>
      <c r="E29" s="31" t="str">
        <f t="shared" si="1"/>
        <v>7-16</v>
      </c>
      <c r="F29" s="31" t="str">
        <f t="shared" si="2"/>
        <v>7-16</v>
      </c>
      <c r="G29" s="31" t="str">
        <f t="shared" si="3"/>
        <v>7-16</v>
      </c>
      <c r="H29" s="31" t="str">
        <f t="shared" si="4"/>
        <v>7-16</v>
      </c>
      <c r="I29" s="31" t="str">
        <f t="shared" si="5"/>
        <v>7-16</v>
      </c>
      <c r="J29" s="31" t="str">
        <f t="shared" si="6"/>
        <v>1-16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4.25" customHeight="1">
      <c r="A30" s="57" t="s">
        <v>366</v>
      </c>
      <c r="B30" s="22" t="s">
        <v>1101</v>
      </c>
      <c r="C30" s="58" t="s">
        <v>1145</v>
      </c>
      <c r="D30" s="30" t="str">
        <f>IFERROR(__xludf.DUMMYFUNCTION("JOIN("","",FILTER(Disciplinas!A:A, regexmatch(Disciplinas!D:D, A30)))"),"GRAD.AV.03,GRAD.FSHE.01,GRAD.HISTOLOG.01,GRAD.QO.02,GRAD.ZI-I.01")</f>
        <v>GRAD.AV.03,GRAD.FSHE.01,GRAD.HISTOLOG.01,GRAD.QO.02,GRAD.ZI-I.01</v>
      </c>
      <c r="E30" s="31" t="str">
        <f t="shared" si="1"/>
        <v>1-12</v>
      </c>
      <c r="F30" s="31" t="str">
        <f t="shared" si="2"/>
        <v>1-12</v>
      </c>
      <c r="G30" s="31" t="str">
        <f t="shared" si="3"/>
        <v>1-12</v>
      </c>
      <c r="H30" s="31" t="str">
        <f t="shared" si="4"/>
        <v>1-12</v>
      </c>
      <c r="I30" s="31" t="str">
        <f t="shared" si="5"/>
        <v>1-12</v>
      </c>
      <c r="J30" s="31" t="str">
        <f t="shared" si="6"/>
        <v>12-16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4.25" customHeight="1">
      <c r="A31" s="57" t="s">
        <v>378</v>
      </c>
      <c r="B31" s="22" t="s">
        <v>1101</v>
      </c>
      <c r="C31" s="58" t="s">
        <v>1145</v>
      </c>
      <c r="D31" s="30" t="str">
        <f>IFERROR(__xludf.DUMMYFUNCTION("JOIN("","",FILTER(Disciplinas!A:A, regexmatch(Disciplinas!D:D, A31)))"),"GRAD. ZV.01,GRAD.BABP.01,GRAD.DIDáT.01,GRAD.EG.03,GRAD.FV.05")</f>
        <v>GRAD. ZV.01,GRAD.BABP.01,GRAD.DIDáT.01,GRAD.EG.03,GRAD.FV.05</v>
      </c>
      <c r="E31" s="31" t="str">
        <f t="shared" si="1"/>
        <v>1-12</v>
      </c>
      <c r="F31" s="31" t="str">
        <f t="shared" si="2"/>
        <v>1-12</v>
      </c>
      <c r="G31" s="31" t="str">
        <f t="shared" si="3"/>
        <v>1-12</v>
      </c>
      <c r="H31" s="31" t="str">
        <f t="shared" si="4"/>
        <v>1-12</v>
      </c>
      <c r="I31" s="31" t="str">
        <f t="shared" si="5"/>
        <v>1-12</v>
      </c>
      <c r="J31" s="31" t="str">
        <f t="shared" si="6"/>
        <v>12-16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4.25" customHeight="1">
      <c r="A32" s="57" t="s">
        <v>393</v>
      </c>
      <c r="B32" s="22" t="s">
        <v>1101</v>
      </c>
      <c r="C32" s="58" t="s">
        <v>1145</v>
      </c>
      <c r="D32" s="30" t="str">
        <f>IFERROR(__xludf.DUMMYFUNCTION("JOIN("","",FILTER(Disciplinas!A:A, regexmatch(Disciplinas!D:D, A32)))"),"GRAD.ACV.02,GRAD.BIOF.01,GRAD.GOTPD.01,GRAD.MG.02")</f>
        <v>GRAD.ACV.02,GRAD.BIOF.01,GRAD.GOTPD.01,GRAD.MG.02</v>
      </c>
      <c r="E32" s="31" t="str">
        <f t="shared" si="1"/>
        <v>1-12</v>
      </c>
      <c r="F32" s="31" t="str">
        <f t="shared" si="2"/>
        <v>1-12</v>
      </c>
      <c r="G32" s="31" t="str">
        <f t="shared" si="3"/>
        <v>1-12</v>
      </c>
      <c r="H32" s="31" t="str">
        <f t="shared" si="4"/>
        <v>1-12</v>
      </c>
      <c r="I32" s="31" t="str">
        <f t="shared" si="5"/>
        <v>1-12</v>
      </c>
      <c r="J32" s="31" t="str">
        <f t="shared" si="6"/>
        <v>12-16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4.25" customHeight="1">
      <c r="A33" s="57" t="s">
        <v>406</v>
      </c>
      <c r="B33" s="22" t="s">
        <v>1101</v>
      </c>
      <c r="C33" s="58" t="s">
        <v>1145</v>
      </c>
      <c r="D33" s="30" t="str">
        <f>IFERROR(__xludf.DUMMYFUNCTION("JOIN("","",FILTER(Disciplinas!A:A, regexmatch(Disciplinas!D:D, A33)))"),"GRAD.FCV.01,GRAD.GP.01,GRAD.PARASITOL.01,GRAD.PE.02")</f>
        <v>GRAD.FCV.01,GRAD.GP.01,GRAD.PARASITOL.01,GRAD.PE.02</v>
      </c>
      <c r="E33" s="31" t="str">
        <f t="shared" si="1"/>
        <v>1-12</v>
      </c>
      <c r="F33" s="31" t="str">
        <f t="shared" si="2"/>
        <v>1-12</v>
      </c>
      <c r="G33" s="31" t="str">
        <f t="shared" si="3"/>
        <v>1-12</v>
      </c>
      <c r="H33" s="31" t="str">
        <f t="shared" si="4"/>
        <v>1-12</v>
      </c>
      <c r="I33" s="31" t="str">
        <f t="shared" si="5"/>
        <v>1-12</v>
      </c>
      <c r="J33" s="31" t="str">
        <f t="shared" si="6"/>
        <v>12-16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4.25" customHeight="1">
      <c r="A34" s="57" t="s">
        <v>418</v>
      </c>
      <c r="B34" s="22" t="s">
        <v>1099</v>
      </c>
      <c r="C34" s="58" t="s">
        <v>1145</v>
      </c>
      <c r="D34" s="30" t="str">
        <f>IFERROR(__xludf.DUMMYFUNCTION("JOIN("","",FILTER(Disciplinas!A:A, regexmatch(Disciplinas!D:D, A34)))"),"RV.BIO354")</f>
        <v>RV.BIO354</v>
      </c>
      <c r="E34" s="31" t="str">
        <f t="shared" si="1"/>
        <v>1-12</v>
      </c>
      <c r="F34" s="31" t="str">
        <f t="shared" si="2"/>
        <v>1-12</v>
      </c>
      <c r="G34" s="31" t="str">
        <f t="shared" si="3"/>
        <v>1-12</v>
      </c>
      <c r="H34" s="31" t="str">
        <f t="shared" si="4"/>
        <v>1-12</v>
      </c>
      <c r="I34" s="31" t="str">
        <f t="shared" si="5"/>
        <v>1-12</v>
      </c>
      <c r="J34" s="31" t="str">
        <f t="shared" si="6"/>
        <v>12-16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4.25" customHeight="1">
      <c r="A35" s="57" t="s">
        <v>421</v>
      </c>
      <c r="B35" s="22" t="s">
        <v>1099</v>
      </c>
      <c r="C35" s="58" t="s">
        <v>1146</v>
      </c>
      <c r="D35" s="30" t="str">
        <f>IFERROR(__xludf.DUMMYFUNCTION("JOIN("","",FILTER(Disciplinas!A:A, regexmatch(Disciplinas!D:D, A35)))"),"GRAD.BB.02,GRAD.BIOESTAT.01,GRAD.EG.01,GRAD.GENéT.01,GRAD.HISTOL.01,GRAD.QO.02,GRAD.ZI.01")</f>
        <v>GRAD.BB.02,GRAD.BIOESTAT.01,GRAD.EG.01,GRAD.GENéT.01,GRAD.HISTOL.01,GRAD.QO.02,GRAD.ZI.01</v>
      </c>
      <c r="E35" s="31" t="str">
        <f t="shared" si="1"/>
        <v>7-16</v>
      </c>
      <c r="F35" s="31" t="str">
        <f t="shared" si="2"/>
        <v>7-16</v>
      </c>
      <c r="G35" s="31" t="str">
        <f t="shared" si="3"/>
        <v>7-16</v>
      </c>
      <c r="H35" s="31" t="str">
        <f t="shared" si="4"/>
        <v>7-16</v>
      </c>
      <c r="I35" s="31" t="str">
        <f t="shared" si="5"/>
        <v>7-16</v>
      </c>
      <c r="J35" s="31" t="str">
        <f t="shared" si="6"/>
        <v>1-16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4.25" customHeight="1">
      <c r="A36" s="57" t="s">
        <v>433</v>
      </c>
      <c r="B36" s="22" t="s">
        <v>1099</v>
      </c>
      <c r="C36" s="58" t="s">
        <v>1147</v>
      </c>
      <c r="D36" s="30" t="str">
        <f>IFERROR(__xludf.DUMMYFUNCTION("JOIN("","",FILTER(Disciplinas!A:A, regexmatch(Disciplinas!D:D, A36)))"),"GRAD.BABP.01,GRAD.BIOF.01,GRAD.EPC.01,GRAD.LA.01,GRAD.MOV.01,GRAD.ZV.01")</f>
        <v>GRAD.BABP.01,GRAD.BIOF.01,GRAD.EPC.01,GRAD.LA.01,GRAD.MOV.01,GRAD.ZV.01</v>
      </c>
      <c r="E36" s="31" t="str">
        <f t="shared" si="1"/>
        <v>1-6,13-16</v>
      </c>
      <c r="F36" s="31" t="str">
        <f t="shared" si="2"/>
        <v>1-6,13-16</v>
      </c>
      <c r="G36" s="31" t="str">
        <f t="shared" si="3"/>
        <v>1-6,13-16</v>
      </c>
      <c r="H36" s="31" t="str">
        <f t="shared" si="4"/>
        <v>1-6,13-16</v>
      </c>
      <c r="I36" s="31" t="str">
        <f t="shared" si="5"/>
        <v>1-6,13-16</v>
      </c>
      <c r="J36" s="31" t="str">
        <f t="shared" si="6"/>
        <v>1-16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4.25" customHeight="1">
      <c r="A37" s="57" t="s">
        <v>445</v>
      </c>
      <c r="B37" s="22" t="s">
        <v>1099</v>
      </c>
      <c r="C37" s="58" t="s">
        <v>1146</v>
      </c>
      <c r="D37" s="30" t="str">
        <f>IFERROR(__xludf.DUMMYFUNCTION("JOIN("","",FILTER(Disciplinas!A:A, regexmatch(Disciplinas!D:D, A37)))"),"GRAD.ACV.01,GRAD.CMB.01,GRAD.FV.02,GRAD.IIA.01,GRAD.IMUNOL.01,GRAD.MA.01")</f>
        <v>GRAD.ACV.01,GRAD.CMB.01,GRAD.FV.02,GRAD.IIA.01,GRAD.IMUNOL.01,GRAD.MA.01</v>
      </c>
      <c r="E37" s="31" t="str">
        <f t="shared" si="1"/>
        <v>7-16</v>
      </c>
      <c r="F37" s="31" t="str">
        <f t="shared" si="2"/>
        <v>7-16</v>
      </c>
      <c r="G37" s="31" t="str">
        <f t="shared" si="3"/>
        <v>7-16</v>
      </c>
      <c r="H37" s="31" t="str">
        <f t="shared" si="4"/>
        <v>7-16</v>
      </c>
      <c r="I37" s="31" t="str">
        <f t="shared" si="5"/>
        <v>7-16</v>
      </c>
      <c r="J37" s="31" t="str">
        <f t="shared" si="6"/>
        <v>1-16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4.25" customHeight="1">
      <c r="A38" s="57" t="s">
        <v>459</v>
      </c>
      <c r="B38" s="22" t="s">
        <v>1099</v>
      </c>
      <c r="C38" s="58" t="s">
        <v>1147</v>
      </c>
      <c r="D38" s="30" t="str">
        <f>IFERROR(__xludf.DUMMYFUNCTION("JOIN("","",FILTER(Disciplinas!A:A, regexmatch(Disciplinas!D:D, A38)))"),"GRAD.BIOGEOG.01,GRAD.BIOTECNOLOG.01,GRAD.EA.03,GRAD.LPB.01,GRAD.NMP.01,GRAD.SGAS.01,GRAD.SP.01")</f>
        <v>GRAD.BIOGEOG.01,GRAD.BIOTECNOLOG.01,GRAD.EA.03,GRAD.LPB.01,GRAD.NMP.01,GRAD.SGAS.01,GRAD.SP.01</v>
      </c>
      <c r="E38" s="31" t="str">
        <f t="shared" si="1"/>
        <v>1-6,13-16</v>
      </c>
      <c r="F38" s="31" t="str">
        <f t="shared" si="2"/>
        <v>1-6,13-16</v>
      </c>
      <c r="G38" s="31" t="str">
        <f t="shared" si="3"/>
        <v>1-6,13-16</v>
      </c>
      <c r="H38" s="31" t="str">
        <f t="shared" si="4"/>
        <v>1-6,13-16</v>
      </c>
      <c r="I38" s="31" t="str">
        <f t="shared" si="5"/>
        <v>1-6,13-16</v>
      </c>
      <c r="J38" s="31" t="str">
        <f t="shared" si="6"/>
        <v>1-16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4.25" customHeight="1">
      <c r="A39" s="57" t="s">
        <v>473</v>
      </c>
      <c r="B39" s="22" t="s">
        <v>1125</v>
      </c>
      <c r="C39" s="58" t="s">
        <v>1145</v>
      </c>
      <c r="D39" s="30" t="str">
        <f>IFERROR(__xludf.DUMMYFUNCTION("JOIN("","",FILTER(Disciplinas!A:A, regexmatch(Disciplinas!D:D, A39)))"),"CTBIOTRV.21,CTBIOTRV.22,CTBIOTRV.23,CTBIOTRV.26,RV.TAL607,RV.TAL727")</f>
        <v>CTBIOTRV.21,CTBIOTRV.22,CTBIOTRV.23,CTBIOTRV.26,RV.TAL607,RV.TAL727</v>
      </c>
      <c r="E39" s="31" t="str">
        <f t="shared" si="1"/>
        <v>1-12</v>
      </c>
      <c r="F39" s="31" t="str">
        <f t="shared" si="2"/>
        <v>1-12</v>
      </c>
      <c r="G39" s="31" t="str">
        <f t="shared" si="3"/>
        <v>1-12</v>
      </c>
      <c r="H39" s="31" t="str">
        <f t="shared" si="4"/>
        <v>1-12</v>
      </c>
      <c r="I39" s="31" t="str">
        <f t="shared" si="5"/>
        <v>1-12</v>
      </c>
      <c r="J39" s="31" t="str">
        <f t="shared" si="6"/>
        <v>12-16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4.25" customHeight="1">
      <c r="A40" s="57" t="s">
        <v>484</v>
      </c>
      <c r="B40" s="22" t="s">
        <v>1125</v>
      </c>
      <c r="C40" s="58" t="s">
        <v>1145</v>
      </c>
      <c r="D40" s="30" t="str">
        <f>IFERROR(__xludf.DUMMYFUNCTION("JOIN("","",FILTER(Disciplinas!A:A, regexmatch(Disciplinas!D:D, A40)))"),"CTBIOTRV.14,CTBIOTRV.15,CTBIOTRV.16,CTBIOTRV.17,RV.AGR424")</f>
        <v>CTBIOTRV.14,CTBIOTRV.15,CTBIOTRV.16,CTBIOTRV.17,RV.AGR424</v>
      </c>
      <c r="E40" s="31" t="str">
        <f t="shared" si="1"/>
        <v>1-12</v>
      </c>
      <c r="F40" s="31" t="str">
        <f t="shared" si="2"/>
        <v>1-12</v>
      </c>
      <c r="G40" s="31" t="str">
        <f t="shared" si="3"/>
        <v>1-12</v>
      </c>
      <c r="H40" s="31" t="str">
        <f t="shared" si="4"/>
        <v>1-12</v>
      </c>
      <c r="I40" s="31" t="str">
        <f t="shared" si="5"/>
        <v>1-12</v>
      </c>
      <c r="J40" s="31" t="str">
        <f t="shared" si="6"/>
        <v>12-16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4.25" customHeight="1">
      <c r="A41" s="57" t="s">
        <v>496</v>
      </c>
      <c r="B41" s="22" t="s">
        <v>1097</v>
      </c>
      <c r="C41" s="58" t="s">
        <v>1146</v>
      </c>
      <c r="D41" s="30" t="str">
        <f>IFERROR(__xludf.DUMMYFUNCTION("JOIN("","",FILTER(Disciplinas!A:A, regexmatch(Disciplinas!D:D, A41)))"),"GRAD.CDI.03,GRAD.GAAL.01,GRAD.LTP.01,GRAD.MCCC.01,GRAD.MD.01,GRAD.SD.01")</f>
        <v>GRAD.CDI.03,GRAD.GAAL.01,GRAD.LTP.01,GRAD.MCCC.01,GRAD.MD.01,GRAD.SD.01</v>
      </c>
      <c r="E41" s="31" t="str">
        <f t="shared" si="1"/>
        <v>7-16</v>
      </c>
      <c r="F41" s="31" t="str">
        <f t="shared" si="2"/>
        <v>7-16</v>
      </c>
      <c r="G41" s="31" t="str">
        <f t="shared" si="3"/>
        <v>7-16</v>
      </c>
      <c r="H41" s="31" t="str">
        <f t="shared" si="4"/>
        <v>7-16</v>
      </c>
      <c r="I41" s="31" t="str">
        <f t="shared" si="5"/>
        <v>7-16</v>
      </c>
      <c r="J41" s="31" t="str">
        <f t="shared" si="6"/>
        <v>1-16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4.25" customHeight="1">
      <c r="A42" s="57" t="s">
        <v>512</v>
      </c>
      <c r="B42" s="22" t="s">
        <v>1097</v>
      </c>
      <c r="C42" s="58" t="s">
        <v>1147</v>
      </c>
      <c r="D42" s="30" t="str">
        <f>IFERROR(__xludf.DUMMYFUNCTION("JOIN("","",FILTER(Disciplinas!A:A, regexmatch(Disciplinas!D:D, A42)))"),"GRAD.ANAPROJALG.01,GRAD.BD.01,GRAD.ED.02,GRAD.PLP.02,GRAD.PO.01,GRAD.RC.01")</f>
        <v>GRAD.ANAPROJALG.01,GRAD.BD.01,GRAD.ED.02,GRAD.PLP.02,GRAD.PO.01,GRAD.RC.01</v>
      </c>
      <c r="E42" s="31" t="str">
        <f t="shared" si="1"/>
        <v>1-6,13-16</v>
      </c>
      <c r="F42" s="31" t="str">
        <f t="shared" si="2"/>
        <v>1-6,13-16</v>
      </c>
      <c r="G42" s="31" t="str">
        <f t="shared" si="3"/>
        <v>1-6,13-16</v>
      </c>
      <c r="H42" s="31" t="str">
        <f t="shared" si="4"/>
        <v>1-6,13-16</v>
      </c>
      <c r="I42" s="31" t="str">
        <f t="shared" si="5"/>
        <v>1-6,13-16</v>
      </c>
      <c r="J42" s="31" t="str">
        <f t="shared" si="6"/>
        <v>1-16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4.25" customHeight="1">
      <c r="A43" s="57" t="s">
        <v>525</v>
      </c>
      <c r="B43" s="22" t="s">
        <v>1097</v>
      </c>
      <c r="C43" s="58" t="s">
        <v>1146</v>
      </c>
      <c r="D43" s="30" t="str">
        <f>IFERROR(__xludf.DUMMYFUNCTION("JOIN("","",FILTER(Disciplinas!A:A, regexmatch(Disciplinas!D:D, A43)))"),"GRAD.ASC.01,GRAD.CG.01,GRAD.COMPILAD.01,GRAD.PLP.04,GRAD.SO.01")</f>
        <v>GRAD.ASC.01,GRAD.CG.01,GRAD.COMPILAD.01,GRAD.PLP.04,GRAD.SO.01</v>
      </c>
      <c r="E43" s="31" t="str">
        <f t="shared" si="1"/>
        <v>7-16</v>
      </c>
      <c r="F43" s="31" t="str">
        <f t="shared" si="2"/>
        <v>7-16</v>
      </c>
      <c r="G43" s="31" t="str">
        <f t="shared" si="3"/>
        <v>7-16</v>
      </c>
      <c r="H43" s="31" t="str">
        <f t="shared" si="4"/>
        <v>7-16</v>
      </c>
      <c r="I43" s="31" t="str">
        <f t="shared" si="5"/>
        <v>7-16</v>
      </c>
      <c r="J43" s="31" t="str">
        <f t="shared" si="6"/>
        <v>1-16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4.25" customHeight="1">
      <c r="A44" s="57" t="s">
        <v>537</v>
      </c>
      <c r="B44" s="22" t="s">
        <v>1097</v>
      </c>
      <c r="C44" s="58" t="s">
        <v>1147</v>
      </c>
      <c r="D44" s="30" t="str">
        <f>IFERROR(__xludf.DUMMYFUNCTION("JOIN("","",FILTER(Disciplinas!A:A, regexmatch(Disciplinas!D:D, A44)))"),"GRAD.EE.02,GRAD.MASU.01,GRAD.PP.01,GRAD.RI.01,GRAD.SAS.01")</f>
        <v>GRAD.EE.02,GRAD.MASU.01,GRAD.PP.01,GRAD.RI.01,GRAD.SAS.01</v>
      </c>
      <c r="E44" s="31" t="str">
        <f t="shared" si="1"/>
        <v>1-6,13-16</v>
      </c>
      <c r="F44" s="31" t="str">
        <f t="shared" si="2"/>
        <v>1-6,13-16</v>
      </c>
      <c r="G44" s="31" t="str">
        <f t="shared" si="3"/>
        <v>1-6,13-16</v>
      </c>
      <c r="H44" s="31" t="str">
        <f t="shared" si="4"/>
        <v>1-6,13-16</v>
      </c>
      <c r="I44" s="31" t="str">
        <f t="shared" si="5"/>
        <v>1-6,13-16</v>
      </c>
      <c r="J44" s="31" t="str">
        <f t="shared" si="6"/>
        <v>1-16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4.25" customHeight="1">
      <c r="A45" s="57" t="s">
        <v>548</v>
      </c>
      <c r="B45" s="22" t="s">
        <v>1097</v>
      </c>
      <c r="C45" s="58" t="s">
        <v>1146</v>
      </c>
      <c r="D45" s="30" t="str">
        <f>IFERROR(__xludf.DUMMYFUNCTION("JOIN("","",FILTER(Disciplinas!A:A, regexmatch(Disciplinas!D:D, A45)))"),"GRAD.FC.01")</f>
        <v>GRAD.FC.01</v>
      </c>
      <c r="E45" s="31" t="str">
        <f t="shared" si="1"/>
        <v>7-16</v>
      </c>
      <c r="F45" s="31" t="str">
        <f t="shared" si="2"/>
        <v>7-16</v>
      </c>
      <c r="G45" s="31" t="str">
        <f t="shared" si="3"/>
        <v>7-16</v>
      </c>
      <c r="H45" s="31" t="str">
        <f t="shared" si="4"/>
        <v>7-16</v>
      </c>
      <c r="I45" s="31" t="str">
        <f t="shared" si="5"/>
        <v>7-16</v>
      </c>
      <c r="J45" s="31" t="str">
        <f t="shared" si="6"/>
        <v>1-16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4.25" customHeight="1">
      <c r="A46" s="57" t="s">
        <v>549</v>
      </c>
      <c r="B46" s="59" t="s">
        <v>1108</v>
      </c>
      <c r="C46" s="58" t="s">
        <v>1146</v>
      </c>
      <c r="D46" s="30" t="str">
        <f>IFERROR(__xludf.DUMMYFUNCTION("JOIN("","",FILTER(Disciplinas!A:A, regexmatch(Disciplinas!D:D, A46)))"),"GRAD.CDI.04,GRAD.CN.01,GRAD.EB.02,GRAD.FE-II.01,GRAD.FíSICA II.01,GRAD.PROJARQ.01,GRAD.TOPOG.01")</f>
        <v>GRAD.CDI.04,GRAD.CN.01,GRAD.EB.02,GRAD.FE-II.01,GRAD.FíSICA II.01,GRAD.PROJARQ.01,GRAD.TOPOG.01</v>
      </c>
      <c r="E46" s="31" t="str">
        <f t="shared" si="1"/>
        <v>7-16</v>
      </c>
      <c r="F46" s="31" t="str">
        <f t="shared" si="2"/>
        <v>7-16</v>
      </c>
      <c r="G46" s="31" t="str">
        <f t="shared" si="3"/>
        <v>7-16</v>
      </c>
      <c r="H46" s="31" t="str">
        <f t="shared" si="4"/>
        <v>7-16</v>
      </c>
      <c r="I46" s="31" t="str">
        <f t="shared" si="5"/>
        <v>7-16</v>
      </c>
      <c r="J46" s="31" t="str">
        <f t="shared" si="6"/>
        <v>1-16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4.25" customHeight="1">
      <c r="A47" s="57" t="s">
        <v>561</v>
      </c>
      <c r="B47" s="59" t="s">
        <v>1108</v>
      </c>
      <c r="C47" s="58" t="s">
        <v>1147</v>
      </c>
      <c r="D47" s="30" t="str">
        <f>IFERROR(__xludf.DUMMYFUNCTION("JOIN("","",FILTER(Disciplinas!A:A, regexmatch(Disciplinas!D:D, A47)))"),"GRAD..MV.01,GRAD.GEOLOG.01,GRAD.ICEM.01,GRAD.MC.02,GRAD.MCC- I.01,GRAD.METCOMP.01")</f>
        <v>GRAD..MV.01,GRAD.GEOLOG.01,GRAD.ICEM.01,GRAD.MC.02,GRAD.MCC- I.01,GRAD.METCOMP.01</v>
      </c>
      <c r="E47" s="31" t="str">
        <f t="shared" si="1"/>
        <v>1-6,13-16</v>
      </c>
      <c r="F47" s="31" t="str">
        <f t="shared" si="2"/>
        <v>1-6,13-16</v>
      </c>
      <c r="G47" s="31" t="str">
        <f t="shared" si="3"/>
        <v>1-6,13-16</v>
      </c>
      <c r="H47" s="31" t="str">
        <f t="shared" si="4"/>
        <v>1-6,13-16</v>
      </c>
      <c r="I47" s="31" t="str">
        <f t="shared" si="5"/>
        <v>1-6,13-16</v>
      </c>
      <c r="J47" s="31" t="str">
        <f t="shared" si="6"/>
        <v>1-16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4.25" customHeight="1">
      <c r="A48" s="57" t="s">
        <v>578</v>
      </c>
      <c r="B48" s="59" t="s">
        <v>1108</v>
      </c>
      <c r="C48" s="58" t="s">
        <v>1146</v>
      </c>
      <c r="D48" s="30" t="str">
        <f>IFERROR(__xludf.DUMMYFUNCTION("JOIN("","",FILTER(Disciplinas!A:A, regexmatch(Disciplinas!D:D, A48)))"),"GRAD.CC-I.01,GRAD.EM.01,GRAD.HIDRA.II.01,GRAD.IPH.02,GRAD.MS-II.01,GRAD.RM-II.01")</f>
        <v>GRAD.CC-I.01,GRAD.EM.01,GRAD.HIDRA.II.01,GRAD.IPH.02,GRAD.MS-II.01,GRAD.RM-II.01</v>
      </c>
      <c r="E48" s="31" t="str">
        <f t="shared" si="1"/>
        <v>7-16</v>
      </c>
      <c r="F48" s="31" t="str">
        <f t="shared" si="2"/>
        <v>7-16</v>
      </c>
      <c r="G48" s="31" t="str">
        <f t="shared" si="3"/>
        <v>7-16</v>
      </c>
      <c r="H48" s="31" t="str">
        <f t="shared" si="4"/>
        <v>7-16</v>
      </c>
      <c r="I48" s="31" t="str">
        <f t="shared" si="5"/>
        <v>7-16</v>
      </c>
      <c r="J48" s="31" t="str">
        <f t="shared" si="6"/>
        <v>1-16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4.25" customHeight="1">
      <c r="A49" s="57" t="s">
        <v>594</v>
      </c>
      <c r="B49" s="59" t="s">
        <v>1108</v>
      </c>
      <c r="C49" s="58" t="s">
        <v>1147</v>
      </c>
      <c r="D49" s="30" t="str">
        <f>IFERROR(__xludf.DUMMYFUNCTION("JOIN("","",FILTER(Disciplinas!A:A, regexmatch(Disciplinas!D:D, A49)))"),"GRAD.ECA-II.02,GRAD.ET.01,GRAD.FUNDAç.01,GRAD.MOT.01,GRAD.PAVIMENT.01,GRAD.PCP.01,GRAD.PORTAERO.01")</f>
        <v>GRAD.ECA-II.02,GRAD.ET.01,GRAD.FUNDAç.01,GRAD.MOT.01,GRAD.PAVIMENT.01,GRAD.PCP.01,GRAD.PORTAERO.01</v>
      </c>
      <c r="E49" s="31" t="str">
        <f t="shared" si="1"/>
        <v>1-6,13-16</v>
      </c>
      <c r="F49" s="31" t="str">
        <f t="shared" si="2"/>
        <v>1-6,13-16</v>
      </c>
      <c r="G49" s="31" t="str">
        <f t="shared" si="3"/>
        <v>1-6,13-16</v>
      </c>
      <c r="H49" s="31" t="str">
        <f t="shared" si="4"/>
        <v>1-6,13-16</v>
      </c>
      <c r="I49" s="31" t="str">
        <f t="shared" si="5"/>
        <v>1-6,13-16</v>
      </c>
      <c r="J49" s="31" t="str">
        <f t="shared" si="6"/>
        <v>1-16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4.25" customHeight="1">
      <c r="A50" s="57" t="s">
        <v>612</v>
      </c>
      <c r="B50" s="59" t="s">
        <v>1108</v>
      </c>
      <c r="C50" s="58" t="s">
        <v>1146</v>
      </c>
      <c r="D50" s="30" t="str">
        <f>IFERROR(__xludf.DUMMYFUNCTION("JOIN("","",FILTER(Disciplinas!A:A, regexmatch(Disciplinas!D:D, A50)))"),"RV.ENG240,RV.ENG243")</f>
        <v>RV.ENG240,RV.ENG243</v>
      </c>
      <c r="E50" s="31" t="str">
        <f t="shared" si="1"/>
        <v>7-16</v>
      </c>
      <c r="F50" s="31" t="str">
        <f t="shared" si="2"/>
        <v>7-16</v>
      </c>
      <c r="G50" s="31" t="str">
        <f t="shared" si="3"/>
        <v>7-16</v>
      </c>
      <c r="H50" s="31" t="str">
        <f t="shared" si="4"/>
        <v>7-16</v>
      </c>
      <c r="I50" s="31" t="str">
        <f t="shared" si="5"/>
        <v>7-16</v>
      </c>
      <c r="J50" s="31" t="str">
        <f t="shared" si="6"/>
        <v>1-16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4.25" customHeight="1">
      <c r="A51" s="57" t="s">
        <v>619</v>
      </c>
      <c r="B51" s="22" t="s">
        <v>1127</v>
      </c>
      <c r="C51" s="58" t="s">
        <v>1145</v>
      </c>
      <c r="D51" s="30" t="str">
        <f>IFERROR(__xludf.DUMMYFUNCTION("JOIN("","",FILTER(Disciplinas!A:A, regexmatch(Disciplinas!D:D, A51)))"),"RV.ADM12,RV.CON004,RV.CON005,RV.CON100,RV.CON107")</f>
        <v>RV.ADM12,RV.CON004,RV.CON005,RV.CON100,RV.CON107</v>
      </c>
      <c r="E51" s="31" t="str">
        <f t="shared" si="1"/>
        <v>1-12</v>
      </c>
      <c r="F51" s="31" t="str">
        <f t="shared" si="2"/>
        <v>1-12</v>
      </c>
      <c r="G51" s="31" t="str">
        <f t="shared" si="3"/>
        <v>1-12</v>
      </c>
      <c r="H51" s="31" t="str">
        <f t="shared" si="4"/>
        <v>1-12</v>
      </c>
      <c r="I51" s="31" t="str">
        <f t="shared" si="5"/>
        <v>1-12</v>
      </c>
      <c r="J51" s="31" t="str">
        <f t="shared" si="6"/>
        <v>12-16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4.25" customHeight="1">
      <c r="A52" s="57" t="s">
        <v>629</v>
      </c>
      <c r="B52" s="22" t="s">
        <v>1104</v>
      </c>
      <c r="C52" s="58" t="s">
        <v>1146</v>
      </c>
      <c r="D52" s="30" t="str">
        <f>IFERROR(__xludf.DUMMYFUNCTION("JOIN("","",FILTER(Disciplinas!A:A, regexmatch(Disciplinas!D:D, A52)))"),"GRAD.CDI.04,GRAD.DT.02,GRAD.EE.02,GRAD.PTUR.01,GRAD.QAAI.01")</f>
        <v>GRAD.CDI.04,GRAD.DT.02,GRAD.EE.02,GRAD.PTUR.01,GRAD.QAAI.01</v>
      </c>
      <c r="E52" s="31" t="str">
        <f t="shared" si="1"/>
        <v>7-16</v>
      </c>
      <c r="F52" s="31" t="str">
        <f t="shared" si="2"/>
        <v>7-16</v>
      </c>
      <c r="G52" s="31" t="str">
        <f t="shared" si="3"/>
        <v>7-16</v>
      </c>
      <c r="H52" s="31" t="str">
        <f t="shared" si="4"/>
        <v>7-16</v>
      </c>
      <c r="I52" s="31" t="str">
        <f t="shared" si="5"/>
        <v>7-16</v>
      </c>
      <c r="J52" s="31" t="str">
        <f t="shared" si="6"/>
        <v>1-16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4.25" customHeight="1">
      <c r="A53" s="57" t="s">
        <v>634</v>
      </c>
      <c r="B53" s="22" t="s">
        <v>1104</v>
      </c>
      <c r="C53" s="58" t="s">
        <v>1147</v>
      </c>
      <c r="D53" s="30" t="str">
        <f>IFERROR(__xludf.DUMMYFUNCTION("JOIN("","",FILTER(Disciplinas!A:A, regexmatch(Disciplinas!D:D, A53)))"),"GRAD.MA.01,GRAD.POLAGU.01,GRAD.PS.02,GRAD.SEDO.01,GRAD.TOPOG.01")</f>
        <v>GRAD.MA.01,GRAD.POLAGU.01,GRAD.PS.02,GRAD.SEDO.01,GRAD.TOPOG.01</v>
      </c>
      <c r="E53" s="31" t="str">
        <f t="shared" si="1"/>
        <v>1-6,13-16</v>
      </c>
      <c r="F53" s="31" t="str">
        <f t="shared" si="2"/>
        <v>1-6,13-16</v>
      </c>
      <c r="G53" s="31" t="str">
        <f t="shared" si="3"/>
        <v>1-6,13-16</v>
      </c>
      <c r="H53" s="31" t="str">
        <f t="shared" si="4"/>
        <v>1-6,13-16</v>
      </c>
      <c r="I53" s="31" t="str">
        <f t="shared" si="5"/>
        <v>1-6,13-16</v>
      </c>
      <c r="J53" s="31" t="str">
        <f t="shared" si="6"/>
        <v>1-16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4.25" customHeight="1">
      <c r="A54" s="57" t="s">
        <v>646</v>
      </c>
      <c r="B54" s="22" t="s">
        <v>1104</v>
      </c>
      <c r="C54" s="58" t="s">
        <v>1146</v>
      </c>
      <c r="D54" s="30" t="str">
        <f>IFERROR(__xludf.DUMMYFUNCTION("JOIN("","",FILTER(Disciplinas!A:A, regexmatch(Disciplinas!D:D, A54)))"),"GRAD.EIA.02,GRAD.FT.02,GRAD.G.01,GRAD.HIDRáUL.01,GRAD.TARI.01")</f>
        <v>GRAD.EIA.02,GRAD.FT.02,GRAD.G.01,GRAD.HIDRáUL.01,GRAD.TARI.01</v>
      </c>
      <c r="E54" s="31" t="str">
        <f t="shared" si="1"/>
        <v>7-16</v>
      </c>
      <c r="F54" s="31" t="str">
        <f t="shared" si="2"/>
        <v>7-16</v>
      </c>
      <c r="G54" s="31" t="str">
        <f t="shared" si="3"/>
        <v>7-16</v>
      </c>
      <c r="H54" s="31" t="str">
        <f t="shared" si="4"/>
        <v>7-16</v>
      </c>
      <c r="I54" s="31" t="str">
        <f t="shared" si="5"/>
        <v>7-16</v>
      </c>
      <c r="J54" s="31" t="str">
        <f t="shared" si="6"/>
        <v>1-16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4.25" customHeight="1">
      <c r="A55" s="57" t="s">
        <v>658</v>
      </c>
      <c r="B55" s="22" t="s">
        <v>1104</v>
      </c>
      <c r="C55" s="58" t="s">
        <v>1147</v>
      </c>
      <c r="D55" s="30" t="str">
        <f>IFERROR(__xludf.DUMMYFUNCTION("JOIN("","",FILTER(Disciplinas!A:A, regexmatch(Disciplinas!D:D, A55)))"),"GRAD.ELEE.01,GRAD.ER.03,GRAD.EVA.01,GRAD.MBH.01,GRAD.MRA.01,GRAD.TAA.01,GRAD.TES.01")</f>
        <v>GRAD.ELEE.01,GRAD.ER.03,GRAD.EVA.01,GRAD.MBH.01,GRAD.MRA.01,GRAD.TAA.01,GRAD.TES.01</v>
      </c>
      <c r="E55" s="31" t="str">
        <f t="shared" si="1"/>
        <v>1-6,13-16</v>
      </c>
      <c r="F55" s="31" t="str">
        <f t="shared" si="2"/>
        <v>1-6,13-16</v>
      </c>
      <c r="G55" s="31" t="str">
        <f t="shared" si="3"/>
        <v>1-6,13-16</v>
      </c>
      <c r="H55" s="31" t="str">
        <f t="shared" si="4"/>
        <v>1-6,13-16</v>
      </c>
      <c r="I55" s="31" t="str">
        <f t="shared" si="5"/>
        <v>1-6,13-16</v>
      </c>
      <c r="J55" s="31" t="str">
        <f t="shared" si="6"/>
        <v>1-16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4.25" customHeight="1">
      <c r="A56" s="57" t="s">
        <v>673</v>
      </c>
      <c r="B56" s="22" t="s">
        <v>1129</v>
      </c>
      <c r="C56" s="58" t="s">
        <v>1145</v>
      </c>
      <c r="D56" s="30" t="str">
        <f>IFERROR(__xludf.DUMMYFUNCTION("JOIN("","",FILTER(Disciplinas!A:A, regexmatch(Disciplinas!D:D, A56)))"),"RV.MCC001,RV.MSL001,RV.PAI001,RV.SE-I001,RV.T-AL001")</f>
        <v>RV.MCC001,RV.MSL001,RV.PAI001,RV.SE-I001,RV.T-AL001</v>
      </c>
      <c r="E56" s="31" t="str">
        <f t="shared" si="1"/>
        <v>1-12</v>
      </c>
      <c r="F56" s="31" t="str">
        <f t="shared" si="2"/>
        <v>1-12</v>
      </c>
      <c r="G56" s="31" t="str">
        <f t="shared" si="3"/>
        <v>1-12</v>
      </c>
      <c r="H56" s="31" t="str">
        <f t="shared" si="4"/>
        <v>1-12</v>
      </c>
      <c r="I56" s="31" t="str">
        <f t="shared" si="5"/>
        <v>1-12</v>
      </c>
      <c r="J56" s="31" t="str">
        <f t="shared" si="6"/>
        <v>12-16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4.25" customHeight="1">
      <c r="A57" s="57" t="s">
        <v>682</v>
      </c>
      <c r="B57" s="22" t="s">
        <v>1129</v>
      </c>
      <c r="C57" s="58" t="s">
        <v>1145</v>
      </c>
      <c r="D57" s="30" t="str">
        <f>IFERROR(__xludf.DUMMYFUNCTION("JOIN("","",FILTER(Disciplinas!A:A, regexmatch(Disciplinas!D:D, A57)))"),"RV.EPD002,RV.GOT001,RV.IEC001,RV.PFL001,RV.SOT001,RV.TC-II001")</f>
        <v>RV.EPD002,RV.GOT001,RV.IEC001,RV.PFL001,RV.SOT001,RV.TC-II001</v>
      </c>
      <c r="E57" s="31" t="str">
        <f t="shared" si="1"/>
        <v>1-12</v>
      </c>
      <c r="F57" s="31" t="str">
        <f t="shared" si="2"/>
        <v>1-12</v>
      </c>
      <c r="G57" s="31" t="str">
        <f t="shared" si="3"/>
        <v>1-12</v>
      </c>
      <c r="H57" s="31" t="str">
        <f t="shared" si="4"/>
        <v>1-12</v>
      </c>
      <c r="I57" s="31" t="str">
        <f t="shared" si="5"/>
        <v>1-12</v>
      </c>
      <c r="J57" s="31" t="str">
        <f t="shared" si="6"/>
        <v>12-16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4.25" customHeight="1">
      <c r="A58" s="57" t="s">
        <v>695</v>
      </c>
      <c r="B58" s="22" t="s">
        <v>1140</v>
      </c>
      <c r="C58" s="58" t="s">
        <v>1148</v>
      </c>
      <c r="D58" s="30" t="str">
        <f>IFERROR(__xludf.DUMMYFUNCTION("JOIN("","",FILTER(Disciplinas!A:A, regexmatch(Disciplinas!D:D, A58)))"),"RV.PRO41,RV.PRO50,RV.PRO60,RV.TADM12")</f>
        <v>RV.PRO41,RV.PRO50,RV.PRO60,RV.TADM12</v>
      </c>
      <c r="E58" s="31" t="str">
        <f t="shared" si="1"/>
        <v>13-16</v>
      </c>
      <c r="F58" s="31" t="str">
        <f t="shared" si="2"/>
        <v>13-16</v>
      </c>
      <c r="G58" s="31" t="str">
        <f t="shared" si="3"/>
        <v>13-16</v>
      </c>
      <c r="H58" s="31" t="str">
        <f t="shared" si="4"/>
        <v>13-16</v>
      </c>
      <c r="I58" s="31" t="str">
        <f t="shared" si="5"/>
        <v>13-16</v>
      </c>
      <c r="J58" s="31" t="str">
        <f t="shared" si="6"/>
        <v>1-16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4.25" customHeight="1">
      <c r="A59" s="57" t="s">
        <v>702</v>
      </c>
      <c r="B59" s="22" t="s">
        <v>1110</v>
      </c>
      <c r="C59" s="58" t="s">
        <v>1146</v>
      </c>
      <c r="D59" s="30" t="str">
        <f>IFERROR(__xludf.DUMMYFUNCTION("JOIN("","",FILTER(Disciplinas!A:A, regexmatch(Disciplinas!D:D, A59)))"),"GRAD.ENQ.CDI-II.08,GRAD.ENQ.EB.13,GRAD.ENQ.FE-II.10,GRAD.ENQ.FIS-II.09,GRAD.ENQ.QIE.12,GRAD.ENQ.QIE.12,GRAD.ENQ.QI-I.11,GRAD.ENQ.QO-I.14")</f>
        <v>GRAD.ENQ.CDI-II.08,GRAD.ENQ.EB.13,GRAD.ENQ.FE-II.10,GRAD.ENQ.FIS-II.09,GRAD.ENQ.QIE.12,GRAD.ENQ.QIE.12,GRAD.ENQ.QI-I.11,GRAD.ENQ.QO-I.14</v>
      </c>
      <c r="E59" s="31" t="str">
        <f t="shared" si="1"/>
        <v>7-16</v>
      </c>
      <c r="F59" s="31" t="str">
        <f t="shared" si="2"/>
        <v>7-16</v>
      </c>
      <c r="G59" s="31" t="str">
        <f t="shared" si="3"/>
        <v>7-16</v>
      </c>
      <c r="H59" s="31" t="str">
        <f t="shared" si="4"/>
        <v>7-16</v>
      </c>
      <c r="I59" s="31" t="str">
        <f t="shared" si="5"/>
        <v>7-16</v>
      </c>
      <c r="J59" s="31" t="str">
        <f t="shared" si="6"/>
        <v>1-16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4.25" customHeight="1">
      <c r="A60" s="57" t="s">
        <v>716</v>
      </c>
      <c r="B60" s="22" t="s">
        <v>1110</v>
      </c>
      <c r="C60" s="58" t="s">
        <v>1147</v>
      </c>
      <c r="D60" s="30" t="str">
        <f>IFERROR(__xludf.DUMMYFUNCTION("JOIN("","",FILTER(Disciplinas!A:A, regexmatch(Disciplinas!D:D, A60)))"),"GRAD.ENQ.FQ-I.16,GRAD.ENQ.FT-I.25,GRAD.ENQ.QAQ.26,GRAD.ENQ.QOE.24,GRAD.ENQ.QO-II.23,GRAD.ENQ.RM.22")</f>
        <v>GRAD.ENQ.FQ-I.16,GRAD.ENQ.FT-I.25,GRAD.ENQ.QAQ.26,GRAD.ENQ.QOE.24,GRAD.ENQ.QO-II.23,GRAD.ENQ.RM.22</v>
      </c>
      <c r="E60" s="31" t="str">
        <f t="shared" si="1"/>
        <v>1-6,13-16</v>
      </c>
      <c r="F60" s="31" t="str">
        <f t="shared" si="2"/>
        <v>1-6,13-16</v>
      </c>
      <c r="G60" s="31" t="str">
        <f t="shared" si="3"/>
        <v>1-6,13-16</v>
      </c>
      <c r="H60" s="31" t="str">
        <f t="shared" si="4"/>
        <v>1-6,13-16</v>
      </c>
      <c r="I60" s="31" t="str">
        <f t="shared" si="5"/>
        <v>1-6,13-16</v>
      </c>
      <c r="J60" s="31" t="str">
        <f t="shared" si="6"/>
        <v>1-16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4.25" customHeight="1">
      <c r="A61" s="57" t="s">
        <v>730</v>
      </c>
      <c r="B61" s="22" t="s">
        <v>1131</v>
      </c>
      <c r="C61" s="58" t="s">
        <v>1145</v>
      </c>
      <c r="D61" s="30" t="str">
        <f>IFERROR(__xludf.DUMMYFUNCTION("JOIN("","",FILTER(Disciplinas!A:A, regexmatch(Disciplinas!D:D, A61)))"),"RV.INF610,RV.INF618,RV.INF619")</f>
        <v>RV.INF610,RV.INF618,RV.INF619</v>
      </c>
      <c r="E61" s="31" t="str">
        <f t="shared" si="1"/>
        <v>1-12</v>
      </c>
      <c r="F61" s="31" t="str">
        <f t="shared" si="2"/>
        <v>1-12</v>
      </c>
      <c r="G61" s="31" t="str">
        <f t="shared" si="3"/>
        <v>1-12</v>
      </c>
      <c r="H61" s="31" t="str">
        <f t="shared" si="4"/>
        <v>1-12</v>
      </c>
      <c r="I61" s="31" t="str">
        <f t="shared" si="5"/>
        <v>1-12</v>
      </c>
      <c r="J61" s="31" t="str">
        <f t="shared" si="6"/>
        <v>12-16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4.25" customHeight="1">
      <c r="A62" s="57" t="s">
        <v>737</v>
      </c>
      <c r="B62" s="22" t="s">
        <v>1131</v>
      </c>
      <c r="C62" s="58" t="s">
        <v>1145</v>
      </c>
      <c r="D62" s="30" t="str">
        <f>IFERROR(__xludf.DUMMYFUNCTION("JOIN("","",FILTER(Disciplinas!A:A, regexmatch(Disciplinas!D:D, A62)))"),"RV.INF64,RV.INF97,RV.INF99")</f>
        <v>RV.INF64,RV.INF97,RV.INF99</v>
      </c>
      <c r="E62" s="31" t="str">
        <f t="shared" si="1"/>
        <v>1-12</v>
      </c>
      <c r="F62" s="31" t="str">
        <f t="shared" si="2"/>
        <v>1-12</v>
      </c>
      <c r="G62" s="31" t="str">
        <f t="shared" si="3"/>
        <v>1-12</v>
      </c>
      <c r="H62" s="31" t="str">
        <f t="shared" si="4"/>
        <v>1-12</v>
      </c>
      <c r="I62" s="31" t="str">
        <f t="shared" si="5"/>
        <v>1-12</v>
      </c>
      <c r="J62" s="31" t="str">
        <f t="shared" si="6"/>
        <v>12-16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4.25" customHeight="1">
      <c r="A63" s="57" t="s">
        <v>742</v>
      </c>
      <c r="B63" s="22" t="s">
        <v>1131</v>
      </c>
      <c r="C63" s="58" t="s">
        <v>1145</v>
      </c>
      <c r="D63" s="30" t="str">
        <f>IFERROR(__xludf.DUMMYFUNCTION("JOIN("","",FILTER(Disciplinas!A:A, regexmatch(Disciplinas!D:D, A63)))"),"RV.CON817,RV.INF61,RV.INF63,RV.INF85,RV.INF94")</f>
        <v>RV.CON817,RV.INF61,RV.INF63,RV.INF85,RV.INF94</v>
      </c>
      <c r="E63" s="31" t="str">
        <f t="shared" si="1"/>
        <v>1-12</v>
      </c>
      <c r="F63" s="31" t="str">
        <f t="shared" si="2"/>
        <v>1-12</v>
      </c>
      <c r="G63" s="31" t="str">
        <f t="shared" si="3"/>
        <v>1-12</v>
      </c>
      <c r="H63" s="31" t="str">
        <f t="shared" si="4"/>
        <v>1-12</v>
      </c>
      <c r="I63" s="31" t="str">
        <f t="shared" si="5"/>
        <v>1-12</v>
      </c>
      <c r="J63" s="31" t="str">
        <f t="shared" si="6"/>
        <v>12-16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4.25" customHeight="1">
      <c r="A64" s="57" t="s">
        <v>752</v>
      </c>
      <c r="B64" s="22" t="s">
        <v>1131</v>
      </c>
      <c r="C64" s="58" t="s">
        <v>1145</v>
      </c>
      <c r="D64" s="30" t="str">
        <f>IFERROR(__xludf.DUMMYFUNCTION("JOIN("","",FILTER(Disciplinas!A:A, regexmatch(Disciplinas!D:D, A64)))"),"RV.INF60,RV.INF88,RV.INF91")</f>
        <v>RV.INF60,RV.INF88,RV.INF91</v>
      </c>
      <c r="E64" s="31" t="str">
        <f t="shared" si="1"/>
        <v>1-12</v>
      </c>
      <c r="F64" s="31" t="str">
        <f t="shared" si="2"/>
        <v>1-12</v>
      </c>
      <c r="G64" s="31" t="str">
        <f t="shared" si="3"/>
        <v>1-12</v>
      </c>
      <c r="H64" s="31" t="str">
        <f t="shared" si="4"/>
        <v>1-12</v>
      </c>
      <c r="I64" s="31" t="str">
        <f t="shared" si="5"/>
        <v>1-12</v>
      </c>
      <c r="J64" s="31" t="str">
        <f t="shared" si="6"/>
        <v>12-16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4.25" customHeight="1">
      <c r="A65" s="57" t="s">
        <v>759</v>
      </c>
      <c r="B65" s="22" t="s">
        <v>1133</v>
      </c>
      <c r="C65" s="58" t="s">
        <v>1145</v>
      </c>
      <c r="D65" s="30" t="str">
        <f>IFERROR(__xludf.DUMMYFUNCTION("JOIN("","",FILTER(Disciplinas!A:A, regexmatch(Disciplinas!D:D, A65)))"),"RV.ING412,RV.QUI725,RV.QUI726,RV.QUI731,RV.QUI737,RV.TAL717")</f>
        <v>RV.ING412,RV.QUI725,RV.QUI726,RV.QUI731,RV.QUI737,RV.TAL717</v>
      </c>
      <c r="E65" s="31" t="str">
        <f t="shared" si="1"/>
        <v>1-12</v>
      </c>
      <c r="F65" s="31" t="str">
        <f t="shared" si="2"/>
        <v>1-12</v>
      </c>
      <c r="G65" s="31" t="str">
        <f t="shared" si="3"/>
        <v>1-12</v>
      </c>
      <c r="H65" s="31" t="str">
        <f t="shared" si="4"/>
        <v>1-12</v>
      </c>
      <c r="I65" s="31" t="str">
        <f t="shared" si="5"/>
        <v>1-12</v>
      </c>
      <c r="J65" s="31" t="str">
        <f t="shared" si="6"/>
        <v>12-16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4.25" customHeight="1">
      <c r="A66" s="57" t="s">
        <v>769</v>
      </c>
      <c r="B66" s="22" t="s">
        <v>1133</v>
      </c>
      <c r="C66" s="58" t="s">
        <v>1148</v>
      </c>
      <c r="D66" s="30" t="str">
        <f>IFERROR(__xludf.DUMMYFUNCTION("JOIN("","",FILTER(Disciplinas!A:A, regexmatch(Disciplinas!D:D, A66)))"),"RV.QUI124")</f>
        <v>RV.QUI124</v>
      </c>
      <c r="E66" s="31" t="str">
        <f t="shared" si="1"/>
        <v>13-16</v>
      </c>
      <c r="F66" s="31" t="str">
        <f t="shared" si="2"/>
        <v>13-16</v>
      </c>
      <c r="G66" s="31" t="str">
        <f t="shared" si="3"/>
        <v>13-16</v>
      </c>
      <c r="H66" s="31" t="str">
        <f t="shared" si="4"/>
        <v>13-16</v>
      </c>
      <c r="I66" s="31" t="str">
        <f t="shared" si="5"/>
        <v>13-16</v>
      </c>
      <c r="J66" s="31" t="str">
        <f t="shared" si="6"/>
        <v>1-16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4.25" customHeight="1">
      <c r="A67" s="57" t="s">
        <v>772</v>
      </c>
      <c r="B67" s="22" t="s">
        <v>1112</v>
      </c>
      <c r="C67" s="58" t="s">
        <v>1145</v>
      </c>
      <c r="D67" s="30" t="str">
        <f>IFERROR(__xludf.DUMMYFUNCTION("JOIN("","",FILTER(Disciplinas!A:A, regexmatch(Disciplinas!D:D, A67)))"),"GRAD.CáLCULO.01,GRAD.FQ.01,GRAD.FQIE.01,GRAD.FSHE.01,GRAD.PAQG.01,GRAD.QG-II.01")</f>
        <v>GRAD.CáLCULO.01,GRAD.FQ.01,GRAD.FQIE.01,GRAD.FSHE.01,GRAD.PAQG.01,GRAD.QG-II.01</v>
      </c>
      <c r="E67" s="31" t="str">
        <f t="shared" si="1"/>
        <v>1-12</v>
      </c>
      <c r="F67" s="31" t="str">
        <f t="shared" si="2"/>
        <v>1-12</v>
      </c>
      <c r="G67" s="31" t="str">
        <f t="shared" si="3"/>
        <v>1-12</v>
      </c>
      <c r="H67" s="31" t="str">
        <f t="shared" si="4"/>
        <v>1-12</v>
      </c>
      <c r="I67" s="31" t="str">
        <f t="shared" si="5"/>
        <v>1-12</v>
      </c>
      <c r="J67" s="31" t="str">
        <f t="shared" si="6"/>
        <v>12-16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4.25" customHeight="1">
      <c r="A68" s="57" t="s">
        <v>781</v>
      </c>
      <c r="B68" s="22" t="s">
        <v>1112</v>
      </c>
      <c r="C68" s="58" t="s">
        <v>1145</v>
      </c>
      <c r="D68" s="30" t="str">
        <f>IFERROR(__xludf.DUMMYFUNCTION("JOIN("","",FILTER(Disciplinas!A:A, regexmatch(Disciplinas!D:D, A68)))"),"GRAD.DIDáT.01,GRAD.EB.02,GRAD.FGE-II.01,GRAD.PAQAQ.01,GRAD.QAQ.03")</f>
        <v>GRAD.DIDáT.01,GRAD.EB.02,GRAD.FGE-II.01,GRAD.PAQAQ.01,GRAD.QAQ.03</v>
      </c>
      <c r="E68" s="31" t="str">
        <f t="shared" si="1"/>
        <v>1-12</v>
      </c>
      <c r="F68" s="31" t="str">
        <f t="shared" si="2"/>
        <v>1-12</v>
      </c>
      <c r="G68" s="31" t="str">
        <f t="shared" si="3"/>
        <v>1-12</v>
      </c>
      <c r="H68" s="31" t="str">
        <f t="shared" si="4"/>
        <v>1-12</v>
      </c>
      <c r="I68" s="31" t="str">
        <f t="shared" si="5"/>
        <v>1-12</v>
      </c>
      <c r="J68" s="31" t="str">
        <f t="shared" si="6"/>
        <v>12-16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4.25" customHeight="1">
      <c r="A69" s="57" t="s">
        <v>787</v>
      </c>
      <c r="B69" s="22" t="s">
        <v>1112</v>
      </c>
      <c r="C69" s="58" t="s">
        <v>1145</v>
      </c>
      <c r="D69" s="30" t="str">
        <f>IFERROR(__xludf.DUMMYFUNCTION("JOIN("","",FILTER(Disciplinas!A:A, regexmatch(Disciplinas!D:D, A69)))"),"GRAD.GOTPD.01,GRAD.PAQI.01,GRAD.QIE.02,GRAD.QI-II.01,GRAD.QO-I.01,GRAD.SCE.02")</f>
        <v>GRAD.GOTPD.01,GRAD.PAQI.01,GRAD.QIE.02,GRAD.QI-II.01,GRAD.QO-I.01,GRAD.SCE.02</v>
      </c>
      <c r="E69" s="31" t="str">
        <f t="shared" si="1"/>
        <v>1-12</v>
      </c>
      <c r="F69" s="31" t="str">
        <f t="shared" si="2"/>
        <v>1-12</v>
      </c>
      <c r="G69" s="31" t="str">
        <f t="shared" si="3"/>
        <v>1-12</v>
      </c>
      <c r="H69" s="31" t="str">
        <f t="shared" si="4"/>
        <v>1-12</v>
      </c>
      <c r="I69" s="31" t="str">
        <f t="shared" si="5"/>
        <v>1-12</v>
      </c>
      <c r="J69" s="31" t="str">
        <f t="shared" si="6"/>
        <v>12-16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4.25" customHeight="1">
      <c r="A70" s="57" t="s">
        <v>798</v>
      </c>
      <c r="B70" s="22" t="s">
        <v>1112</v>
      </c>
      <c r="C70" s="58" t="s">
        <v>1145</v>
      </c>
      <c r="D70" s="30" t="str">
        <f>IFERROR(__xludf.DUMMYFUNCTION("JOIN("","",FILTER(Disciplinas!A:A, regexmatch(Disciplinas!D:D, A70)))"),"GRAD.QOE.01")</f>
        <v>GRAD.QOE.01</v>
      </c>
      <c r="E70" s="31" t="str">
        <f t="shared" si="1"/>
        <v>1-12</v>
      </c>
      <c r="F70" s="31" t="str">
        <f t="shared" si="2"/>
        <v>1-12</v>
      </c>
      <c r="G70" s="31" t="str">
        <f t="shared" si="3"/>
        <v>1-12</v>
      </c>
      <c r="H70" s="31" t="str">
        <f t="shared" si="4"/>
        <v>1-12</v>
      </c>
      <c r="I70" s="31" t="str">
        <f t="shared" si="5"/>
        <v>1-12</v>
      </c>
      <c r="J70" s="31" t="str">
        <f t="shared" si="6"/>
        <v>12-16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4.25" customHeight="1">
      <c r="A71" s="57" t="s">
        <v>801</v>
      </c>
      <c r="B71" s="22" t="s">
        <v>1112</v>
      </c>
      <c r="C71" s="58" t="s">
        <v>1145</v>
      </c>
      <c r="D71" s="30" t="str">
        <f>IFERROR(__xludf.DUMMYFUNCTION("JOIN("","",FILTER(Disciplinas!A:A, regexmatch(Disciplinas!D:D, A71)))"),"GRAD.AO.02,GRAD.EA.03,GRAD.PAI.01,GRAD.PE.02,GRAD.QAI.01,GRAD.QUIAMB.01")</f>
        <v>GRAD.AO.02,GRAD.EA.03,GRAD.PAI.01,GRAD.PE.02,GRAD.QAI.01,GRAD.QUIAMB.01</v>
      </c>
      <c r="E71" s="31" t="str">
        <f t="shared" si="1"/>
        <v>1-12</v>
      </c>
      <c r="F71" s="31" t="str">
        <f t="shared" si="2"/>
        <v>1-12</v>
      </c>
      <c r="G71" s="31" t="str">
        <f t="shared" si="3"/>
        <v>1-12</v>
      </c>
      <c r="H71" s="31" t="str">
        <f t="shared" si="4"/>
        <v>1-12</v>
      </c>
      <c r="I71" s="31" t="str">
        <f t="shared" si="5"/>
        <v>1-12</v>
      </c>
      <c r="J71" s="31" t="str">
        <f t="shared" si="6"/>
        <v>12-16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4.25" customHeight="1">
      <c r="A72" s="57" t="s">
        <v>811</v>
      </c>
      <c r="B72" s="22" t="s">
        <v>1112</v>
      </c>
      <c r="C72" s="58" t="s">
        <v>1148</v>
      </c>
      <c r="D72" s="30" t="str">
        <f>IFERROR(__xludf.DUMMYFUNCTION("JOIN("","",FILTER(Disciplinas!A:A, regexmatch(Disciplinas!D:D, A72)))"),"RV.QUI239,RV.QUI241,RV.QUI254")</f>
        <v>RV.QUI239,RV.QUI241,RV.QUI254</v>
      </c>
      <c r="E72" s="31" t="str">
        <f t="shared" si="1"/>
        <v>13-16</v>
      </c>
      <c r="F72" s="31" t="str">
        <f t="shared" si="2"/>
        <v>13-16</v>
      </c>
      <c r="G72" s="31" t="str">
        <f t="shared" si="3"/>
        <v>13-16</v>
      </c>
      <c r="H72" s="31" t="str">
        <f t="shared" si="4"/>
        <v>13-16</v>
      </c>
      <c r="I72" s="31" t="str">
        <f t="shared" si="5"/>
        <v>13-16</v>
      </c>
      <c r="J72" s="31" t="str">
        <f t="shared" si="6"/>
        <v>1-16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4.25" customHeight="1">
      <c r="A73" s="57" t="s">
        <v>817</v>
      </c>
      <c r="B73" s="22" t="s">
        <v>1114</v>
      </c>
      <c r="C73" s="58" t="s">
        <v>1145</v>
      </c>
      <c r="D73" s="30" t="str">
        <f>IFERROR(__xludf.DUMMYFUNCTION("JOIN("","",FILTER(Disciplinas!A:A, regexmatch(Disciplinas!D:D, A73)))"),"GRAD.ER.01,GRAD.GAP.01,GRAD.GEOPROCESS.01,GRAD.GRS.02,GRAD.LA.01,GRAD.SP.02")</f>
        <v>GRAD.ER.01,GRAD.GAP.01,GRAD.GEOPROCESS.01,GRAD.GRS.02,GRAD.LA.01,GRAD.SP.02</v>
      </c>
      <c r="E73" s="31" t="str">
        <f t="shared" si="1"/>
        <v>1-12</v>
      </c>
      <c r="F73" s="31" t="str">
        <f t="shared" si="2"/>
        <v>1-12</v>
      </c>
      <c r="G73" s="31" t="str">
        <f t="shared" si="3"/>
        <v>1-12</v>
      </c>
      <c r="H73" s="31" t="str">
        <f t="shared" si="4"/>
        <v>1-12</v>
      </c>
      <c r="I73" s="31" t="str">
        <f t="shared" si="5"/>
        <v>1-12</v>
      </c>
      <c r="J73" s="31" t="str">
        <f t="shared" si="6"/>
        <v>12-16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4.25" customHeight="1">
      <c r="A74" s="57" t="s">
        <v>826</v>
      </c>
      <c r="B74" s="22" t="s">
        <v>1114</v>
      </c>
      <c r="C74" s="58" t="s">
        <v>1145</v>
      </c>
      <c r="D74" s="30" t="str">
        <f>IFERROR(__xludf.DUMMYFUNCTION("JOIN("","",FILTER(Disciplinas!A:A, regexmatch(Disciplinas!D:D, A74)))"),"GRAD.APA.02,GRAD.ECRER.01,GRAD.LIBRAS.01,GRAD.SGAS.01,GRAD.TAAA.01,GRAD.TAR-II.01,GRAD.TRSUI.01")</f>
        <v>GRAD.APA.02,GRAD.ECRER.01,GRAD.LIBRAS.01,GRAD.SGAS.01,GRAD.TAAA.01,GRAD.TAR-II.01,GRAD.TRSUI.01</v>
      </c>
      <c r="E74" s="31" t="str">
        <f t="shared" si="1"/>
        <v>1-12</v>
      </c>
      <c r="F74" s="31" t="str">
        <f t="shared" si="2"/>
        <v>1-12</v>
      </c>
      <c r="G74" s="31" t="str">
        <f t="shared" si="3"/>
        <v>1-12</v>
      </c>
      <c r="H74" s="31" t="str">
        <f t="shared" si="4"/>
        <v>1-12</v>
      </c>
      <c r="I74" s="31" t="str">
        <f t="shared" si="5"/>
        <v>1-12</v>
      </c>
      <c r="J74" s="31" t="str">
        <f t="shared" si="6"/>
        <v>12-16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4.25" customHeight="1">
      <c r="A75" s="57" t="s">
        <v>840</v>
      </c>
      <c r="B75" s="22" t="s">
        <v>1135</v>
      </c>
      <c r="C75" s="58" t="s">
        <v>1145</v>
      </c>
      <c r="D75" s="30" t="str">
        <f>IFERROR(__xludf.DUMMYFUNCTION("JOIN("","",FILTER(Disciplinas!A:A, regexmatch(Disciplinas!D:D, A75)))"),"CTSTRARV.32,CTSTRARV.33,CTSTRARV.34,CTSTRARV.35,CTSTRARV.36,CTSTRARV.37,TADMRV33")</f>
        <v>CTSTRARV.32,CTSTRARV.33,CTSTRARV.34,CTSTRARV.35,CTSTRARV.36,CTSTRARV.37,TADMRV33</v>
      </c>
      <c r="E75" s="31" t="str">
        <f t="shared" si="1"/>
        <v>1-12</v>
      </c>
      <c r="F75" s="31" t="str">
        <f t="shared" si="2"/>
        <v>1-12</v>
      </c>
      <c r="G75" s="31" t="str">
        <f t="shared" si="3"/>
        <v>1-12</v>
      </c>
      <c r="H75" s="31" t="str">
        <f t="shared" si="4"/>
        <v>1-12</v>
      </c>
      <c r="I75" s="31" t="str">
        <f t="shared" si="5"/>
        <v>1-12</v>
      </c>
      <c r="J75" s="31" t="str">
        <f t="shared" si="6"/>
        <v>12-16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4.25" customHeight="1">
      <c r="A76" s="57" t="s">
        <v>856</v>
      </c>
      <c r="B76" s="22" t="s">
        <v>1135</v>
      </c>
      <c r="C76" s="58" t="s">
        <v>1145</v>
      </c>
      <c r="D76" s="30" t="str">
        <f>IFERROR(__xludf.DUMMYFUNCTION("JOIN("","",FILTER(Disciplinas!A:A, regexmatch(Disciplinas!D:D, A76)))"),"CTSTRARV.23,CTSTRARV.44,CTSTRARV.45,CTSTRARV.46,CTSTRARV.47,CTSTRARV.48,CTSTRARV.49")</f>
        <v>CTSTRARV.23,CTSTRARV.44,CTSTRARV.45,CTSTRARV.46,CTSTRARV.47,CTSTRARV.48,CTSTRARV.49</v>
      </c>
      <c r="E76" s="31" t="str">
        <f t="shared" si="1"/>
        <v>1-12</v>
      </c>
      <c r="F76" s="31" t="str">
        <f t="shared" si="2"/>
        <v>1-12</v>
      </c>
      <c r="G76" s="31" t="str">
        <f t="shared" si="3"/>
        <v>1-12</v>
      </c>
      <c r="H76" s="31" t="str">
        <f t="shared" si="4"/>
        <v>1-12</v>
      </c>
      <c r="I76" s="31" t="str">
        <f t="shared" si="5"/>
        <v>1-12</v>
      </c>
      <c r="J76" s="31" t="str">
        <f t="shared" si="6"/>
        <v>12-16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4.25" customHeight="1">
      <c r="A77" s="57" t="s">
        <v>870</v>
      </c>
      <c r="B77" s="22" t="s">
        <v>1116</v>
      </c>
      <c r="C77" s="58" t="s">
        <v>1146</v>
      </c>
      <c r="D77" s="30" t="str">
        <f>IFERROR(__xludf.DUMMYFUNCTION("JOIN("","",FILTER(Disciplinas!A:A, regexmatch(Disciplinas!D:D, A77)))"),"GRAD.EG.01,GRAD.FMB.02,GRAD.GMS.02,GRAD.IBPZ.01,GRAD.MC.02,GRAD.QO.02,GRAD.ZOOLOGIA.01")</f>
        <v>GRAD.EG.01,GRAD.FMB.02,GRAD.GMS.02,GRAD.IBPZ.01,GRAD.MC.02,GRAD.QO.02,GRAD.ZOOLOGIA.01</v>
      </c>
      <c r="E77" s="31" t="str">
        <f t="shared" si="1"/>
        <v>7-16</v>
      </c>
      <c r="F77" s="31" t="str">
        <f t="shared" si="2"/>
        <v>7-16</v>
      </c>
      <c r="G77" s="31" t="str">
        <f t="shared" si="3"/>
        <v>7-16</v>
      </c>
      <c r="H77" s="31" t="str">
        <f t="shared" si="4"/>
        <v>7-16</v>
      </c>
      <c r="I77" s="31" t="str">
        <f t="shared" si="5"/>
        <v>7-16</v>
      </c>
      <c r="J77" s="31" t="str">
        <f t="shared" si="6"/>
        <v>1-16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4.25" customHeight="1">
      <c r="A78" s="57" t="s">
        <v>879</v>
      </c>
      <c r="B78" s="22" t="s">
        <v>1116</v>
      </c>
      <c r="C78" s="58" t="s">
        <v>1147</v>
      </c>
      <c r="D78" s="30" t="str">
        <f>IFERROR(__xludf.DUMMYFUNCTION("JOIN("","",FILTER(Disciplinas!A:A, regexmatch(Disciplinas!D:D, A78)))"),"GRAD.EE.02,GRAD.FA.02,GRAD.FS.03,GRAD.FV.03,GRAD.GENéTICA.01,GRAD.MIA.01")</f>
        <v>GRAD.EE.02,GRAD.FA.02,GRAD.FS.03,GRAD.FV.03,GRAD.GENéTICA.01,GRAD.MIA.01</v>
      </c>
      <c r="E78" s="31" t="str">
        <f t="shared" si="1"/>
        <v>1-6,13-16</v>
      </c>
      <c r="F78" s="31" t="str">
        <f t="shared" si="2"/>
        <v>1-6,13-16</v>
      </c>
      <c r="G78" s="31" t="str">
        <f t="shared" si="3"/>
        <v>1-6,13-16</v>
      </c>
      <c r="H78" s="31" t="str">
        <f t="shared" si="4"/>
        <v>1-6,13-16</v>
      </c>
      <c r="I78" s="31" t="str">
        <f t="shared" si="5"/>
        <v>1-6,13-16</v>
      </c>
      <c r="J78" s="31" t="str">
        <f t="shared" si="6"/>
        <v>1-16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4.25" customHeight="1">
      <c r="A79" s="57" t="s">
        <v>892</v>
      </c>
      <c r="B79" s="22" t="s">
        <v>1116</v>
      </c>
      <c r="C79" s="58" t="s">
        <v>1146</v>
      </c>
      <c r="D79" s="30" t="str">
        <f>IFERROR(__xludf.DUMMYFUNCTION("JOIN("","",FILTER(Disciplinas!A:A, regexmatch(Disciplinas!D:D, A79)))"),"GRAD.CBEA.01,GRAD.CIR.02,GRAD.ECORUR.01,GRAD.NNR.01,GRAD.NR.01,GRAD.PASTAGENS.01,GRAD.RA.01")</f>
        <v>GRAD.CBEA.01,GRAD.CIR.02,GRAD.ECORUR.01,GRAD.NNR.01,GRAD.NR.01,GRAD.PASTAGENS.01,GRAD.RA.01</v>
      </c>
      <c r="E79" s="31" t="str">
        <f t="shared" si="1"/>
        <v>7-16</v>
      </c>
      <c r="F79" s="31" t="str">
        <f t="shared" si="2"/>
        <v>7-16</v>
      </c>
      <c r="G79" s="31" t="str">
        <f t="shared" si="3"/>
        <v>7-16</v>
      </c>
      <c r="H79" s="31" t="str">
        <f t="shared" si="4"/>
        <v>7-16</v>
      </c>
      <c r="I79" s="31" t="str">
        <f t="shared" si="5"/>
        <v>7-16</v>
      </c>
      <c r="J79" s="31" t="str">
        <f t="shared" si="6"/>
        <v>1-16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4.25" customHeight="1">
      <c r="A80" s="57" t="s">
        <v>908</v>
      </c>
      <c r="B80" s="22" t="s">
        <v>1116</v>
      </c>
      <c r="C80" s="58" t="s">
        <v>1147</v>
      </c>
      <c r="D80" s="30" t="str">
        <f>IFERROR(__xludf.DUMMYFUNCTION("JOIN("","",FILTER(Disciplinas!A:A, regexmatch(Disciplinas!D:D, A80)))"),"GRAD.BCB.01,GRAD.CO.01,GRAD.FRA.01,GRAD.SER.01,GRAD.SUINOCULT.01")</f>
        <v>GRAD.BCB.01,GRAD.CO.01,GRAD.FRA.01,GRAD.SER.01,GRAD.SUINOCULT.01</v>
      </c>
      <c r="E80" s="31" t="str">
        <f t="shared" si="1"/>
        <v>1-6,13-16</v>
      </c>
      <c r="F80" s="31" t="str">
        <f t="shared" si="2"/>
        <v>1-6,13-16</v>
      </c>
      <c r="G80" s="31" t="str">
        <f t="shared" si="3"/>
        <v>1-6,13-16</v>
      </c>
      <c r="H80" s="31" t="str">
        <f t="shared" si="4"/>
        <v>1-6,13-16</v>
      </c>
      <c r="I80" s="31" t="str">
        <f t="shared" si="5"/>
        <v>1-6,13-16</v>
      </c>
      <c r="J80" s="31" t="str">
        <f t="shared" si="6"/>
        <v>1-16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</sheetData>
  <dataValidations>
    <dataValidation type="list" allowBlank="1" showErrorMessage="1" sqref="B2:B80">
      <formula1>Cursos!$B:$B</formula1>
    </dataValidation>
    <dataValidation type="list" allowBlank="1" sqref="A3">
      <formula1>Turmas!$A$2:$A$80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60" t="s">
        <v>0</v>
      </c>
      <c r="B1" s="61" t="s">
        <v>1149</v>
      </c>
      <c r="C1" s="47" t="s">
        <v>1150</v>
      </c>
      <c r="D1" s="61" t="s">
        <v>1151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ht="14.25" customHeight="1">
      <c r="A2" s="62" t="s">
        <v>1152</v>
      </c>
      <c r="B2" s="62" t="s">
        <v>1153</v>
      </c>
      <c r="C2" s="33">
        <v>50.0</v>
      </c>
      <c r="D2" s="13" t="s">
        <v>1154</v>
      </c>
      <c r="E2" s="31" t="s">
        <v>920</v>
      </c>
      <c r="F2" s="31" t="s">
        <v>920</v>
      </c>
      <c r="G2" s="31" t="s">
        <v>920</v>
      </c>
      <c r="H2" s="31" t="s">
        <v>920</v>
      </c>
      <c r="I2" s="31" t="s">
        <v>920</v>
      </c>
      <c r="J2" s="31" t="s">
        <v>920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ht="14.25" customHeight="1">
      <c r="A3" s="62" t="s">
        <v>1155</v>
      </c>
      <c r="B3" s="62" t="s">
        <v>1156</v>
      </c>
      <c r="C3" s="33">
        <v>50.0</v>
      </c>
      <c r="D3" s="13" t="s">
        <v>1154</v>
      </c>
      <c r="E3" s="31" t="s">
        <v>920</v>
      </c>
      <c r="F3" s="31" t="s">
        <v>920</v>
      </c>
      <c r="G3" s="31" t="s">
        <v>920</v>
      </c>
      <c r="H3" s="31" t="s">
        <v>920</v>
      </c>
      <c r="I3" s="31" t="s">
        <v>920</v>
      </c>
      <c r="J3" s="31" t="s">
        <v>920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ht="14.25" customHeight="1">
      <c r="A4" s="62" t="s">
        <v>1157</v>
      </c>
      <c r="B4" s="62" t="s">
        <v>1158</v>
      </c>
      <c r="C4" s="33">
        <v>50.0</v>
      </c>
      <c r="D4" s="13" t="s">
        <v>1154</v>
      </c>
      <c r="E4" s="31" t="s">
        <v>920</v>
      </c>
      <c r="F4" s="31" t="s">
        <v>920</v>
      </c>
      <c r="G4" s="31" t="s">
        <v>920</v>
      </c>
      <c r="H4" s="31" t="s">
        <v>920</v>
      </c>
      <c r="I4" s="31" t="s">
        <v>920</v>
      </c>
      <c r="J4" s="31" t="s">
        <v>920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ht="14.25" customHeight="1">
      <c r="A5" s="62" t="s">
        <v>1159</v>
      </c>
      <c r="B5" s="62" t="s">
        <v>1160</v>
      </c>
      <c r="C5" s="33">
        <v>50.0</v>
      </c>
      <c r="D5" s="13" t="s">
        <v>1154</v>
      </c>
      <c r="E5" s="31" t="s">
        <v>920</v>
      </c>
      <c r="F5" s="31" t="s">
        <v>920</v>
      </c>
      <c r="G5" s="31" t="s">
        <v>920</v>
      </c>
      <c r="H5" s="31" t="s">
        <v>920</v>
      </c>
      <c r="I5" s="31" t="s">
        <v>920</v>
      </c>
      <c r="J5" s="31" t="s">
        <v>920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ht="14.25" customHeight="1">
      <c r="A6" s="62" t="s">
        <v>1161</v>
      </c>
      <c r="B6" s="62" t="s">
        <v>1162</v>
      </c>
      <c r="C6" s="33">
        <v>50.0</v>
      </c>
      <c r="D6" s="13" t="s">
        <v>1154</v>
      </c>
      <c r="E6" s="31" t="s">
        <v>920</v>
      </c>
      <c r="F6" s="31" t="s">
        <v>920</v>
      </c>
      <c r="G6" s="31" t="s">
        <v>920</v>
      </c>
      <c r="H6" s="31" t="s">
        <v>920</v>
      </c>
      <c r="I6" s="31" t="s">
        <v>920</v>
      </c>
      <c r="J6" s="31" t="s">
        <v>920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ht="14.25" customHeight="1">
      <c r="A7" s="62" t="s">
        <v>1163</v>
      </c>
      <c r="B7" s="62" t="s">
        <v>1164</v>
      </c>
      <c r="C7" s="33">
        <v>50.0</v>
      </c>
      <c r="D7" s="13" t="s">
        <v>1154</v>
      </c>
      <c r="E7" s="31" t="s">
        <v>920</v>
      </c>
      <c r="F7" s="31" t="s">
        <v>920</v>
      </c>
      <c r="G7" s="31" t="s">
        <v>920</v>
      </c>
      <c r="H7" s="31" t="s">
        <v>920</v>
      </c>
      <c r="I7" s="31" t="s">
        <v>920</v>
      </c>
      <c r="J7" s="31" t="s">
        <v>920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ht="14.25" customHeight="1">
      <c r="A8" s="62" t="s">
        <v>1165</v>
      </c>
      <c r="B8" s="62" t="s">
        <v>1166</v>
      </c>
      <c r="C8" s="33">
        <v>50.0</v>
      </c>
      <c r="D8" s="13" t="s">
        <v>1154</v>
      </c>
      <c r="E8" s="31" t="s">
        <v>920</v>
      </c>
      <c r="F8" s="31" t="s">
        <v>920</v>
      </c>
      <c r="G8" s="31" t="s">
        <v>920</v>
      </c>
      <c r="H8" s="31" t="s">
        <v>920</v>
      </c>
      <c r="I8" s="31" t="s">
        <v>920</v>
      </c>
      <c r="J8" s="31" t="s">
        <v>920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ht="14.25" customHeight="1">
      <c r="A9" s="62" t="s">
        <v>1167</v>
      </c>
      <c r="B9" s="63" t="s">
        <v>1168</v>
      </c>
      <c r="C9" s="33">
        <v>50.0</v>
      </c>
      <c r="D9" s="13" t="s">
        <v>1154</v>
      </c>
      <c r="E9" s="31" t="s">
        <v>920</v>
      </c>
      <c r="F9" s="31" t="s">
        <v>920</v>
      </c>
      <c r="G9" s="31" t="s">
        <v>920</v>
      </c>
      <c r="H9" s="31" t="s">
        <v>920</v>
      </c>
      <c r="I9" s="31" t="s">
        <v>920</v>
      </c>
      <c r="J9" s="31" t="s">
        <v>920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ht="14.25" customHeight="1">
      <c r="A10" s="62" t="s">
        <v>1169</v>
      </c>
      <c r="B10" s="63" t="s">
        <v>1170</v>
      </c>
      <c r="C10" s="33">
        <v>50.0</v>
      </c>
      <c r="D10" s="13" t="s">
        <v>1154</v>
      </c>
      <c r="E10" s="31" t="s">
        <v>920</v>
      </c>
      <c r="F10" s="31" t="s">
        <v>920</v>
      </c>
      <c r="G10" s="31" t="s">
        <v>920</v>
      </c>
      <c r="H10" s="31" t="s">
        <v>920</v>
      </c>
      <c r="I10" s="31" t="s">
        <v>920</v>
      </c>
      <c r="J10" s="31" t="s">
        <v>920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ht="14.25" customHeight="1">
      <c r="A11" s="62" t="s">
        <v>1171</v>
      </c>
      <c r="B11" s="63" t="s">
        <v>1172</v>
      </c>
      <c r="C11" s="33">
        <v>50.0</v>
      </c>
      <c r="D11" s="13" t="s">
        <v>1154</v>
      </c>
      <c r="E11" s="31" t="s">
        <v>920</v>
      </c>
      <c r="F11" s="31" t="s">
        <v>920</v>
      </c>
      <c r="G11" s="31" t="s">
        <v>920</v>
      </c>
      <c r="H11" s="31" t="s">
        <v>920</v>
      </c>
      <c r="I11" s="31" t="s">
        <v>920</v>
      </c>
      <c r="J11" s="31" t="s">
        <v>920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ht="14.25" customHeight="1">
      <c r="A12" s="62" t="s">
        <v>1173</v>
      </c>
      <c r="B12" s="64" t="s">
        <v>1174</v>
      </c>
      <c r="C12" s="33">
        <v>50.0</v>
      </c>
      <c r="D12" s="13" t="s">
        <v>1154</v>
      </c>
      <c r="E12" s="31" t="s">
        <v>920</v>
      </c>
      <c r="F12" s="31" t="s">
        <v>920</v>
      </c>
      <c r="G12" s="31" t="s">
        <v>920</v>
      </c>
      <c r="H12" s="31" t="s">
        <v>920</v>
      </c>
      <c r="I12" s="31" t="s">
        <v>920</v>
      </c>
      <c r="J12" s="31" t="s">
        <v>920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ht="14.25" customHeight="1">
      <c r="A13" s="62" t="s">
        <v>1175</v>
      </c>
      <c r="B13" s="64" t="s">
        <v>1176</v>
      </c>
      <c r="C13" s="33">
        <v>50.0</v>
      </c>
      <c r="D13" s="13" t="s">
        <v>1154</v>
      </c>
      <c r="E13" s="31" t="s">
        <v>920</v>
      </c>
      <c r="F13" s="31" t="s">
        <v>920</v>
      </c>
      <c r="G13" s="31" t="s">
        <v>920</v>
      </c>
      <c r="H13" s="31" t="s">
        <v>920</v>
      </c>
      <c r="I13" s="31" t="s">
        <v>920</v>
      </c>
      <c r="J13" s="31" t="s">
        <v>920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 ht="14.25" customHeight="1">
      <c r="A14" s="62" t="s">
        <v>1177</v>
      </c>
      <c r="B14" s="63" t="s">
        <v>1178</v>
      </c>
      <c r="C14" s="33">
        <v>50.0</v>
      </c>
      <c r="D14" s="13" t="s">
        <v>1154</v>
      </c>
      <c r="E14" s="31" t="s">
        <v>920</v>
      </c>
      <c r="F14" s="31" t="s">
        <v>920</v>
      </c>
      <c r="G14" s="31" t="s">
        <v>920</v>
      </c>
      <c r="H14" s="31" t="s">
        <v>920</v>
      </c>
      <c r="I14" s="31" t="s">
        <v>920</v>
      </c>
      <c r="J14" s="31" t="s">
        <v>920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 ht="14.25" customHeight="1">
      <c r="A15" s="62" t="s">
        <v>1179</v>
      </c>
      <c r="B15" s="63" t="s">
        <v>1180</v>
      </c>
      <c r="C15" s="33">
        <v>50.0</v>
      </c>
      <c r="D15" s="13" t="s">
        <v>1154</v>
      </c>
      <c r="E15" s="31" t="s">
        <v>920</v>
      </c>
      <c r="F15" s="31" t="s">
        <v>920</v>
      </c>
      <c r="G15" s="31" t="s">
        <v>920</v>
      </c>
      <c r="H15" s="31" t="s">
        <v>920</v>
      </c>
      <c r="I15" s="31" t="s">
        <v>920</v>
      </c>
      <c r="J15" s="31" t="s">
        <v>920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ht="14.25" customHeight="1">
      <c r="A16" s="62" t="s">
        <v>1181</v>
      </c>
      <c r="B16" s="63" t="s">
        <v>1182</v>
      </c>
      <c r="C16" s="33">
        <v>50.0</v>
      </c>
      <c r="D16" s="13" t="s">
        <v>1154</v>
      </c>
      <c r="E16" s="31" t="s">
        <v>920</v>
      </c>
      <c r="F16" s="31" t="s">
        <v>920</v>
      </c>
      <c r="G16" s="31" t="s">
        <v>920</v>
      </c>
      <c r="H16" s="31" t="s">
        <v>920</v>
      </c>
      <c r="I16" s="31" t="s">
        <v>920</v>
      </c>
      <c r="J16" s="31" t="s">
        <v>920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 ht="14.25" customHeight="1">
      <c r="A17" s="62" t="s">
        <v>1183</v>
      </c>
      <c r="B17" s="63" t="s">
        <v>1184</v>
      </c>
      <c r="C17" s="33">
        <v>50.0</v>
      </c>
      <c r="D17" s="13" t="s">
        <v>1154</v>
      </c>
      <c r="E17" s="31" t="s">
        <v>920</v>
      </c>
      <c r="F17" s="31" t="s">
        <v>920</v>
      </c>
      <c r="G17" s="31" t="s">
        <v>920</v>
      </c>
      <c r="H17" s="31" t="s">
        <v>920</v>
      </c>
      <c r="I17" s="31" t="s">
        <v>920</v>
      </c>
      <c r="J17" s="31" t="s">
        <v>920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 ht="14.25" customHeight="1">
      <c r="A18" s="62" t="s">
        <v>1185</v>
      </c>
      <c r="B18" s="63" t="s">
        <v>1186</v>
      </c>
      <c r="C18" s="33">
        <v>50.0</v>
      </c>
      <c r="D18" s="13" t="s">
        <v>1154</v>
      </c>
      <c r="E18" s="31" t="s">
        <v>920</v>
      </c>
      <c r="F18" s="31" t="s">
        <v>920</v>
      </c>
      <c r="G18" s="31" t="s">
        <v>920</v>
      </c>
      <c r="H18" s="31" t="s">
        <v>920</v>
      </c>
      <c r="I18" s="31" t="s">
        <v>920</v>
      </c>
      <c r="J18" s="31" t="s">
        <v>920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ht="14.25" customHeight="1">
      <c r="A19" s="62" t="s">
        <v>1187</v>
      </c>
      <c r="B19" s="63" t="s">
        <v>1188</v>
      </c>
      <c r="C19" s="33">
        <v>50.0</v>
      </c>
      <c r="D19" s="13" t="s">
        <v>1154</v>
      </c>
      <c r="E19" s="31" t="s">
        <v>920</v>
      </c>
      <c r="F19" s="31" t="s">
        <v>920</v>
      </c>
      <c r="G19" s="31" t="s">
        <v>920</v>
      </c>
      <c r="H19" s="31" t="s">
        <v>920</v>
      </c>
      <c r="I19" s="31" t="s">
        <v>920</v>
      </c>
      <c r="J19" s="31" t="s">
        <v>920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ht="14.25" customHeight="1">
      <c r="A20" s="62" t="s">
        <v>1189</v>
      </c>
      <c r="B20" s="63" t="s">
        <v>1190</v>
      </c>
      <c r="C20" s="33">
        <v>50.0</v>
      </c>
      <c r="D20" s="13" t="s">
        <v>1154</v>
      </c>
      <c r="E20" s="31" t="s">
        <v>920</v>
      </c>
      <c r="F20" s="31" t="s">
        <v>920</v>
      </c>
      <c r="G20" s="31" t="s">
        <v>920</v>
      </c>
      <c r="H20" s="31" t="s">
        <v>920</v>
      </c>
      <c r="I20" s="31" t="s">
        <v>920</v>
      </c>
      <c r="J20" s="31" t="s">
        <v>920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ht="14.25" customHeight="1">
      <c r="A21" s="62" t="s">
        <v>1191</v>
      </c>
      <c r="B21" s="63" t="s">
        <v>1192</v>
      </c>
      <c r="C21" s="33">
        <v>50.0</v>
      </c>
      <c r="D21" s="13" t="s">
        <v>1154</v>
      </c>
      <c r="E21" s="31" t="s">
        <v>920</v>
      </c>
      <c r="F21" s="31" t="s">
        <v>920</v>
      </c>
      <c r="G21" s="31" t="s">
        <v>920</v>
      </c>
      <c r="H21" s="31" t="s">
        <v>920</v>
      </c>
      <c r="I21" s="31" t="s">
        <v>920</v>
      </c>
      <c r="J21" s="31" t="s">
        <v>920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 ht="14.25" customHeight="1">
      <c r="A22" s="62" t="s">
        <v>1193</v>
      </c>
      <c r="B22" s="63" t="s">
        <v>1194</v>
      </c>
      <c r="C22" s="33">
        <v>50.0</v>
      </c>
      <c r="D22" s="13" t="s">
        <v>1154</v>
      </c>
      <c r="E22" s="31" t="s">
        <v>920</v>
      </c>
      <c r="F22" s="31" t="s">
        <v>920</v>
      </c>
      <c r="G22" s="31" t="s">
        <v>920</v>
      </c>
      <c r="H22" s="31" t="s">
        <v>920</v>
      </c>
      <c r="I22" s="31" t="s">
        <v>920</v>
      </c>
      <c r="J22" s="31" t="s">
        <v>920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ht="14.25" customHeight="1">
      <c r="A23" s="62" t="s">
        <v>1195</v>
      </c>
      <c r="B23" s="63" t="s">
        <v>1196</v>
      </c>
      <c r="C23" s="33">
        <v>50.0</v>
      </c>
      <c r="D23" s="13" t="s">
        <v>1154</v>
      </c>
      <c r="E23" s="31" t="s">
        <v>920</v>
      </c>
      <c r="F23" s="31" t="s">
        <v>920</v>
      </c>
      <c r="G23" s="31" t="s">
        <v>920</v>
      </c>
      <c r="H23" s="31" t="s">
        <v>920</v>
      </c>
      <c r="I23" s="31" t="s">
        <v>920</v>
      </c>
      <c r="J23" s="31" t="s">
        <v>920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 ht="14.25" customHeight="1">
      <c r="A24" s="62" t="s">
        <v>1197</v>
      </c>
      <c r="B24" s="63" t="s">
        <v>1198</v>
      </c>
      <c r="C24" s="33">
        <v>50.0</v>
      </c>
      <c r="D24" s="13" t="s">
        <v>1154</v>
      </c>
      <c r="E24" s="31" t="s">
        <v>920</v>
      </c>
      <c r="F24" s="31" t="s">
        <v>920</v>
      </c>
      <c r="G24" s="31" t="s">
        <v>920</v>
      </c>
      <c r="H24" s="31" t="s">
        <v>920</v>
      </c>
      <c r="I24" s="31" t="s">
        <v>920</v>
      </c>
      <c r="J24" s="31" t="s">
        <v>920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ht="14.25" customHeight="1">
      <c r="A25" s="62" t="s">
        <v>1199</v>
      </c>
      <c r="B25" s="63" t="s">
        <v>1200</v>
      </c>
      <c r="C25" s="33">
        <v>50.0</v>
      </c>
      <c r="D25" s="13" t="s">
        <v>1154</v>
      </c>
      <c r="E25" s="31" t="s">
        <v>920</v>
      </c>
      <c r="F25" s="31" t="s">
        <v>920</v>
      </c>
      <c r="G25" s="31" t="s">
        <v>920</v>
      </c>
      <c r="H25" s="31" t="s">
        <v>920</v>
      </c>
      <c r="I25" s="31" t="s">
        <v>920</v>
      </c>
      <c r="J25" s="31" t="s">
        <v>920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 ht="14.25" customHeight="1">
      <c r="A26" s="62" t="s">
        <v>1201</v>
      </c>
      <c r="B26" s="63" t="s">
        <v>1202</v>
      </c>
      <c r="C26" s="33">
        <v>50.0</v>
      </c>
      <c r="D26" s="13" t="s">
        <v>1154</v>
      </c>
      <c r="E26" s="31" t="s">
        <v>920</v>
      </c>
      <c r="F26" s="31" t="s">
        <v>920</v>
      </c>
      <c r="G26" s="31" t="s">
        <v>920</v>
      </c>
      <c r="H26" s="31" t="s">
        <v>920</v>
      </c>
      <c r="I26" s="31" t="s">
        <v>920</v>
      </c>
      <c r="J26" s="31" t="s">
        <v>920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ht="14.25" customHeight="1">
      <c r="A27" s="62" t="s">
        <v>1203</v>
      </c>
      <c r="B27" s="63" t="s">
        <v>1204</v>
      </c>
      <c r="C27" s="33">
        <v>50.0</v>
      </c>
      <c r="D27" s="13" t="s">
        <v>1154</v>
      </c>
      <c r="E27" s="31" t="s">
        <v>920</v>
      </c>
      <c r="F27" s="31" t="s">
        <v>920</v>
      </c>
      <c r="G27" s="31" t="s">
        <v>920</v>
      </c>
      <c r="H27" s="31" t="s">
        <v>920</v>
      </c>
      <c r="I27" s="31" t="s">
        <v>920</v>
      </c>
      <c r="J27" s="31" t="s">
        <v>920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ht="14.25" customHeight="1">
      <c r="A28" s="62" t="s">
        <v>1205</v>
      </c>
      <c r="B28" s="63" t="s">
        <v>1206</v>
      </c>
      <c r="C28" s="33">
        <v>50.0</v>
      </c>
      <c r="D28" s="13" t="s">
        <v>1154</v>
      </c>
      <c r="E28" s="31" t="s">
        <v>920</v>
      </c>
      <c r="F28" s="31" t="s">
        <v>920</v>
      </c>
      <c r="G28" s="31" t="s">
        <v>920</v>
      </c>
      <c r="H28" s="31" t="s">
        <v>920</v>
      </c>
      <c r="I28" s="31" t="s">
        <v>920</v>
      </c>
      <c r="J28" s="31" t="s">
        <v>920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ht="14.25" customHeight="1">
      <c r="A29" s="62" t="s">
        <v>1207</v>
      </c>
      <c r="B29" s="63" t="s">
        <v>1208</v>
      </c>
      <c r="C29" s="33">
        <v>50.0</v>
      </c>
      <c r="D29" s="13" t="s">
        <v>1154</v>
      </c>
      <c r="E29" s="31" t="s">
        <v>920</v>
      </c>
      <c r="F29" s="31" t="s">
        <v>920</v>
      </c>
      <c r="G29" s="31" t="s">
        <v>920</v>
      </c>
      <c r="H29" s="31" t="s">
        <v>920</v>
      </c>
      <c r="I29" s="31" t="s">
        <v>920</v>
      </c>
      <c r="J29" s="31" t="s">
        <v>920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ht="14.25" customHeight="1">
      <c r="A30" s="62" t="s">
        <v>1209</v>
      </c>
      <c r="B30" s="63" t="s">
        <v>1210</v>
      </c>
      <c r="C30" s="33">
        <v>50.0</v>
      </c>
      <c r="D30" s="13" t="s">
        <v>1154</v>
      </c>
      <c r="E30" s="31" t="s">
        <v>920</v>
      </c>
      <c r="F30" s="31" t="s">
        <v>920</v>
      </c>
      <c r="G30" s="31" t="s">
        <v>920</v>
      </c>
      <c r="H30" s="31" t="s">
        <v>920</v>
      </c>
      <c r="I30" s="31" t="s">
        <v>920</v>
      </c>
      <c r="J30" s="31" t="s">
        <v>920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 ht="14.25" customHeight="1">
      <c r="A31" s="62" t="s">
        <v>1211</v>
      </c>
      <c r="B31" s="63" t="s">
        <v>1212</v>
      </c>
      <c r="C31" s="33">
        <v>50.0</v>
      </c>
      <c r="D31" s="13" t="s">
        <v>1154</v>
      </c>
      <c r="E31" s="31" t="s">
        <v>920</v>
      </c>
      <c r="F31" s="31" t="s">
        <v>920</v>
      </c>
      <c r="G31" s="31" t="s">
        <v>920</v>
      </c>
      <c r="H31" s="31" t="s">
        <v>920</v>
      </c>
      <c r="I31" s="31" t="s">
        <v>920</v>
      </c>
      <c r="J31" s="31" t="s">
        <v>920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 ht="14.25" customHeight="1">
      <c r="A32" s="62" t="s">
        <v>1213</v>
      </c>
      <c r="B32" s="63" t="s">
        <v>1214</v>
      </c>
      <c r="C32" s="33">
        <v>50.0</v>
      </c>
      <c r="D32" s="13" t="s">
        <v>1154</v>
      </c>
      <c r="E32" s="31" t="s">
        <v>920</v>
      </c>
      <c r="F32" s="31" t="s">
        <v>920</v>
      </c>
      <c r="G32" s="31" t="s">
        <v>920</v>
      </c>
      <c r="H32" s="31" t="s">
        <v>920</v>
      </c>
      <c r="I32" s="31" t="s">
        <v>920</v>
      </c>
      <c r="J32" s="31" t="s">
        <v>920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 ht="14.25" customHeight="1">
      <c r="A33" s="62" t="s">
        <v>1215</v>
      </c>
      <c r="B33" s="63" t="s">
        <v>1216</v>
      </c>
      <c r="C33" s="33">
        <v>50.0</v>
      </c>
      <c r="D33" s="13" t="s">
        <v>1154</v>
      </c>
      <c r="E33" s="31" t="s">
        <v>920</v>
      </c>
      <c r="F33" s="31" t="s">
        <v>920</v>
      </c>
      <c r="G33" s="31" t="s">
        <v>920</v>
      </c>
      <c r="H33" s="31" t="s">
        <v>920</v>
      </c>
      <c r="I33" s="31" t="s">
        <v>920</v>
      </c>
      <c r="J33" s="31" t="s">
        <v>920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ht="14.25" customHeight="1">
      <c r="A34" s="62" t="s">
        <v>1217</v>
      </c>
      <c r="B34" s="63" t="s">
        <v>1218</v>
      </c>
      <c r="C34" s="33">
        <v>50.0</v>
      </c>
      <c r="D34" s="13" t="s">
        <v>1154</v>
      </c>
      <c r="E34" s="31" t="s">
        <v>920</v>
      </c>
      <c r="F34" s="31" t="s">
        <v>920</v>
      </c>
      <c r="G34" s="31" t="s">
        <v>920</v>
      </c>
      <c r="H34" s="31" t="s">
        <v>920</v>
      </c>
      <c r="I34" s="31" t="s">
        <v>920</v>
      </c>
      <c r="J34" s="31" t="s">
        <v>920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 ht="14.25" customHeight="1">
      <c r="A35" s="62" t="s">
        <v>1219</v>
      </c>
      <c r="B35" s="63" t="s">
        <v>1220</v>
      </c>
      <c r="C35" s="33">
        <v>50.0</v>
      </c>
      <c r="D35" s="13" t="s">
        <v>1154</v>
      </c>
      <c r="E35" s="31" t="s">
        <v>920</v>
      </c>
      <c r="F35" s="31" t="s">
        <v>920</v>
      </c>
      <c r="G35" s="31" t="s">
        <v>920</v>
      </c>
      <c r="H35" s="31" t="s">
        <v>920</v>
      </c>
      <c r="I35" s="31" t="s">
        <v>920</v>
      </c>
      <c r="J35" s="31" t="s">
        <v>920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 ht="14.25" customHeight="1">
      <c r="A36" s="62" t="s">
        <v>1221</v>
      </c>
      <c r="B36" s="63" t="s">
        <v>1222</v>
      </c>
      <c r="C36" s="33">
        <v>50.0</v>
      </c>
      <c r="D36" s="13" t="s">
        <v>1154</v>
      </c>
      <c r="E36" s="31" t="s">
        <v>920</v>
      </c>
      <c r="F36" s="31" t="s">
        <v>920</v>
      </c>
      <c r="G36" s="31" t="s">
        <v>920</v>
      </c>
      <c r="H36" s="31" t="s">
        <v>920</v>
      </c>
      <c r="I36" s="31" t="s">
        <v>920</v>
      </c>
      <c r="J36" s="31" t="s">
        <v>920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 ht="14.25" customHeight="1">
      <c r="A37" s="62" t="s">
        <v>1223</v>
      </c>
      <c r="B37" s="63" t="s">
        <v>1224</v>
      </c>
      <c r="C37" s="33">
        <v>50.0</v>
      </c>
      <c r="D37" s="13" t="s">
        <v>1154</v>
      </c>
      <c r="E37" s="31" t="s">
        <v>920</v>
      </c>
      <c r="F37" s="31" t="s">
        <v>920</v>
      </c>
      <c r="G37" s="31" t="s">
        <v>920</v>
      </c>
      <c r="H37" s="31" t="s">
        <v>920</v>
      </c>
      <c r="I37" s="31" t="s">
        <v>920</v>
      </c>
      <c r="J37" s="31" t="s">
        <v>920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 ht="14.25" customHeight="1">
      <c r="A38" s="62" t="s">
        <v>1225</v>
      </c>
      <c r="B38" s="63" t="s">
        <v>1226</v>
      </c>
      <c r="C38" s="33">
        <v>50.0</v>
      </c>
      <c r="D38" s="13" t="s">
        <v>1154</v>
      </c>
      <c r="E38" s="31" t="s">
        <v>920</v>
      </c>
      <c r="F38" s="31" t="s">
        <v>920</v>
      </c>
      <c r="G38" s="31" t="s">
        <v>920</v>
      </c>
      <c r="H38" s="31" t="s">
        <v>920</v>
      </c>
      <c r="I38" s="31" t="s">
        <v>920</v>
      </c>
      <c r="J38" s="31" t="s">
        <v>920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ht="14.25" customHeight="1">
      <c r="A39" s="62" t="s">
        <v>1227</v>
      </c>
      <c r="B39" s="63" t="s">
        <v>1228</v>
      </c>
      <c r="C39" s="33">
        <v>50.0</v>
      </c>
      <c r="D39" s="13" t="s">
        <v>1154</v>
      </c>
      <c r="E39" s="31" t="s">
        <v>920</v>
      </c>
      <c r="F39" s="31" t="s">
        <v>920</v>
      </c>
      <c r="G39" s="31" t="s">
        <v>920</v>
      </c>
      <c r="H39" s="31" t="s">
        <v>920</v>
      </c>
      <c r="I39" s="31" t="s">
        <v>920</v>
      </c>
      <c r="J39" s="31" t="s">
        <v>920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ht="14.25" customHeight="1">
      <c r="A40" s="62" t="s">
        <v>1229</v>
      </c>
      <c r="B40" s="63" t="s">
        <v>1230</v>
      </c>
      <c r="C40" s="33">
        <v>50.0</v>
      </c>
      <c r="D40" s="13" t="s">
        <v>1154</v>
      </c>
      <c r="E40" s="31" t="s">
        <v>920</v>
      </c>
      <c r="F40" s="31" t="s">
        <v>920</v>
      </c>
      <c r="G40" s="31" t="s">
        <v>920</v>
      </c>
      <c r="H40" s="31" t="s">
        <v>920</v>
      </c>
      <c r="I40" s="31" t="s">
        <v>920</v>
      </c>
      <c r="J40" s="31" t="s">
        <v>920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ht="14.25" customHeight="1">
      <c r="A41" s="62" t="s">
        <v>1231</v>
      </c>
      <c r="B41" s="63" t="s">
        <v>1232</v>
      </c>
      <c r="C41" s="33">
        <v>50.0</v>
      </c>
      <c r="D41" s="13" t="s">
        <v>1154</v>
      </c>
      <c r="E41" s="31" t="s">
        <v>920</v>
      </c>
      <c r="F41" s="31" t="s">
        <v>920</v>
      </c>
      <c r="G41" s="31" t="s">
        <v>920</v>
      </c>
      <c r="H41" s="31" t="s">
        <v>920</v>
      </c>
      <c r="I41" s="31" t="s">
        <v>920</v>
      </c>
      <c r="J41" s="31" t="s">
        <v>920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ht="14.25" customHeight="1">
      <c r="A42" s="62" t="s">
        <v>1233</v>
      </c>
      <c r="B42" s="63" t="s">
        <v>1234</v>
      </c>
      <c r="C42" s="33">
        <v>50.0</v>
      </c>
      <c r="D42" s="13" t="s">
        <v>1154</v>
      </c>
      <c r="E42" s="31" t="s">
        <v>920</v>
      </c>
      <c r="F42" s="31" t="s">
        <v>920</v>
      </c>
      <c r="G42" s="31" t="s">
        <v>920</v>
      </c>
      <c r="H42" s="31" t="s">
        <v>920</v>
      </c>
      <c r="I42" s="31" t="s">
        <v>920</v>
      </c>
      <c r="J42" s="31" t="s">
        <v>920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ht="14.25" customHeight="1">
      <c r="A43" s="62" t="s">
        <v>1235</v>
      </c>
      <c r="B43" s="63" t="s">
        <v>1236</v>
      </c>
      <c r="C43" s="33">
        <v>50.0</v>
      </c>
      <c r="D43" s="13" t="s">
        <v>1154</v>
      </c>
      <c r="E43" s="31" t="s">
        <v>920</v>
      </c>
      <c r="F43" s="31" t="s">
        <v>920</v>
      </c>
      <c r="G43" s="31" t="s">
        <v>920</v>
      </c>
      <c r="H43" s="31" t="s">
        <v>920</v>
      </c>
      <c r="I43" s="31" t="s">
        <v>920</v>
      </c>
      <c r="J43" s="31" t="s">
        <v>920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ht="14.25" customHeight="1">
      <c r="A44" s="62" t="s">
        <v>1237</v>
      </c>
      <c r="B44" s="63" t="s">
        <v>1238</v>
      </c>
      <c r="C44" s="33">
        <v>50.0</v>
      </c>
      <c r="D44" s="13" t="s">
        <v>1154</v>
      </c>
      <c r="E44" s="31" t="s">
        <v>920</v>
      </c>
      <c r="F44" s="31" t="s">
        <v>920</v>
      </c>
      <c r="G44" s="31" t="s">
        <v>920</v>
      </c>
      <c r="H44" s="31" t="s">
        <v>920</v>
      </c>
      <c r="I44" s="31" t="s">
        <v>920</v>
      </c>
      <c r="J44" s="31" t="s">
        <v>920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ht="14.25" customHeight="1">
      <c r="A45" s="62" t="s">
        <v>1239</v>
      </c>
      <c r="B45" s="63" t="s">
        <v>1240</v>
      </c>
      <c r="C45" s="33">
        <v>50.0</v>
      </c>
      <c r="D45" s="13" t="s">
        <v>1154</v>
      </c>
      <c r="E45" s="31" t="s">
        <v>920</v>
      </c>
      <c r="F45" s="31" t="s">
        <v>920</v>
      </c>
      <c r="G45" s="31" t="s">
        <v>920</v>
      </c>
      <c r="H45" s="31" t="s">
        <v>920</v>
      </c>
      <c r="I45" s="31" t="s">
        <v>920</v>
      </c>
      <c r="J45" s="31" t="s">
        <v>920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ht="14.25" customHeight="1">
      <c r="A46" s="62" t="s">
        <v>1241</v>
      </c>
      <c r="B46" s="63" t="s">
        <v>1242</v>
      </c>
      <c r="C46" s="33">
        <v>50.0</v>
      </c>
      <c r="D46" s="13" t="s">
        <v>1154</v>
      </c>
      <c r="E46" s="31" t="s">
        <v>920</v>
      </c>
      <c r="F46" s="31" t="s">
        <v>920</v>
      </c>
      <c r="G46" s="31" t="s">
        <v>920</v>
      </c>
      <c r="H46" s="31" t="s">
        <v>920</v>
      </c>
      <c r="I46" s="31" t="s">
        <v>920</v>
      </c>
      <c r="J46" s="31" t="s">
        <v>920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ht="14.25" customHeight="1">
      <c r="A47" s="62" t="s">
        <v>1243</v>
      </c>
      <c r="B47" s="63" t="s">
        <v>1244</v>
      </c>
      <c r="C47" s="33">
        <v>50.0</v>
      </c>
      <c r="D47" s="13" t="s">
        <v>1154</v>
      </c>
      <c r="E47" s="31" t="s">
        <v>920</v>
      </c>
      <c r="F47" s="31" t="s">
        <v>920</v>
      </c>
      <c r="G47" s="31" t="s">
        <v>920</v>
      </c>
      <c r="H47" s="31" t="s">
        <v>920</v>
      </c>
      <c r="I47" s="31" t="s">
        <v>920</v>
      </c>
      <c r="J47" s="31" t="s">
        <v>920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ht="14.25" customHeight="1">
      <c r="A48" s="62" t="s">
        <v>1245</v>
      </c>
      <c r="B48" s="63" t="s">
        <v>1246</v>
      </c>
      <c r="C48" s="33">
        <v>50.0</v>
      </c>
      <c r="D48" s="13" t="s">
        <v>1154</v>
      </c>
      <c r="E48" s="31" t="s">
        <v>920</v>
      </c>
      <c r="F48" s="31" t="s">
        <v>920</v>
      </c>
      <c r="G48" s="31" t="s">
        <v>920</v>
      </c>
      <c r="H48" s="31" t="s">
        <v>920</v>
      </c>
      <c r="I48" s="31" t="s">
        <v>920</v>
      </c>
      <c r="J48" s="31" t="s">
        <v>920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ht="14.25" customHeight="1">
      <c r="A49" s="62" t="s">
        <v>1247</v>
      </c>
      <c r="B49" s="63" t="s">
        <v>1248</v>
      </c>
      <c r="C49" s="33">
        <v>50.0</v>
      </c>
      <c r="D49" s="13" t="s">
        <v>1154</v>
      </c>
      <c r="E49" s="31" t="s">
        <v>920</v>
      </c>
      <c r="F49" s="31" t="s">
        <v>920</v>
      </c>
      <c r="G49" s="31" t="s">
        <v>920</v>
      </c>
      <c r="H49" s="31" t="s">
        <v>920</v>
      </c>
      <c r="I49" s="31" t="s">
        <v>920</v>
      </c>
      <c r="J49" s="31" t="s">
        <v>920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ht="14.25" customHeight="1">
      <c r="A50" s="62" t="s">
        <v>1249</v>
      </c>
      <c r="B50" s="63" t="s">
        <v>1250</v>
      </c>
      <c r="C50" s="33">
        <v>50.0</v>
      </c>
      <c r="D50" s="13" t="s">
        <v>1154</v>
      </c>
      <c r="E50" s="31" t="s">
        <v>920</v>
      </c>
      <c r="F50" s="31" t="s">
        <v>920</v>
      </c>
      <c r="G50" s="31" t="s">
        <v>920</v>
      </c>
      <c r="H50" s="31" t="s">
        <v>920</v>
      </c>
      <c r="I50" s="31" t="s">
        <v>920</v>
      </c>
      <c r="J50" s="31" t="s">
        <v>920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ht="14.25" customHeight="1">
      <c r="A51" s="62" t="s">
        <v>1251</v>
      </c>
      <c r="B51" s="63" t="s">
        <v>1252</v>
      </c>
      <c r="C51" s="33">
        <v>50.0</v>
      </c>
      <c r="D51" s="13" t="s">
        <v>1154</v>
      </c>
      <c r="E51" s="31" t="s">
        <v>920</v>
      </c>
      <c r="F51" s="31" t="s">
        <v>920</v>
      </c>
      <c r="G51" s="31" t="s">
        <v>920</v>
      </c>
      <c r="H51" s="31" t="s">
        <v>920</v>
      </c>
      <c r="I51" s="31" t="s">
        <v>920</v>
      </c>
      <c r="J51" s="31" t="s">
        <v>920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ht="14.25" customHeight="1">
      <c r="A52" s="62" t="s">
        <v>1253</v>
      </c>
      <c r="B52" s="63" t="s">
        <v>1254</v>
      </c>
      <c r="C52" s="33">
        <v>50.0</v>
      </c>
      <c r="D52" s="13" t="s">
        <v>1154</v>
      </c>
      <c r="E52" s="31" t="s">
        <v>920</v>
      </c>
      <c r="F52" s="31" t="s">
        <v>920</v>
      </c>
      <c r="G52" s="31" t="s">
        <v>920</v>
      </c>
      <c r="H52" s="31" t="s">
        <v>920</v>
      </c>
      <c r="I52" s="31" t="s">
        <v>920</v>
      </c>
      <c r="J52" s="31" t="s">
        <v>920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ht="14.25" customHeight="1">
      <c r="A53" s="63" t="s">
        <v>1255</v>
      </c>
      <c r="B53" s="63" t="s">
        <v>1256</v>
      </c>
      <c r="C53" s="33">
        <v>30.0</v>
      </c>
      <c r="D53" s="58" t="s">
        <v>1257</v>
      </c>
      <c r="E53" s="31" t="s">
        <v>920</v>
      </c>
      <c r="F53" s="31" t="s">
        <v>920</v>
      </c>
      <c r="G53" s="31" t="s">
        <v>920</v>
      </c>
      <c r="H53" s="31" t="s">
        <v>920</v>
      </c>
      <c r="I53" s="31" t="s">
        <v>920</v>
      </c>
      <c r="J53" s="31" t="s">
        <v>920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ht="14.25" customHeight="1">
      <c r="A54" s="63" t="s">
        <v>1258</v>
      </c>
      <c r="B54" s="63" t="s">
        <v>1259</v>
      </c>
      <c r="C54" s="33">
        <v>30.0</v>
      </c>
      <c r="D54" s="58" t="s">
        <v>1257</v>
      </c>
      <c r="E54" s="31" t="s">
        <v>920</v>
      </c>
      <c r="F54" s="31" t="s">
        <v>920</v>
      </c>
      <c r="G54" s="31" t="s">
        <v>920</v>
      </c>
      <c r="H54" s="31" t="s">
        <v>920</v>
      </c>
      <c r="I54" s="31" t="s">
        <v>920</v>
      </c>
      <c r="J54" s="31" t="s">
        <v>920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ht="14.25" customHeight="1">
      <c r="A55" s="63" t="s">
        <v>1260</v>
      </c>
      <c r="B55" s="63" t="s">
        <v>1261</v>
      </c>
      <c r="C55" s="33">
        <v>30.0</v>
      </c>
      <c r="D55" s="58" t="s">
        <v>1257</v>
      </c>
      <c r="E55" s="31" t="s">
        <v>920</v>
      </c>
      <c r="F55" s="31" t="s">
        <v>920</v>
      </c>
      <c r="G55" s="31" t="s">
        <v>920</v>
      </c>
      <c r="H55" s="31" t="s">
        <v>920</v>
      </c>
      <c r="I55" s="31" t="s">
        <v>920</v>
      </c>
      <c r="J55" s="31" t="s">
        <v>920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ht="14.25" customHeight="1">
      <c r="A56" s="63" t="s">
        <v>1262</v>
      </c>
      <c r="B56" s="63" t="s">
        <v>1263</v>
      </c>
      <c r="C56" s="33">
        <v>30.0</v>
      </c>
      <c r="D56" s="58" t="s">
        <v>1257</v>
      </c>
      <c r="E56" s="31" t="s">
        <v>920</v>
      </c>
      <c r="F56" s="31" t="s">
        <v>920</v>
      </c>
      <c r="G56" s="31" t="s">
        <v>920</v>
      </c>
      <c r="H56" s="31" t="s">
        <v>920</v>
      </c>
      <c r="I56" s="31" t="s">
        <v>920</v>
      </c>
      <c r="J56" s="31" t="s">
        <v>920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ht="14.25" customHeight="1">
      <c r="A57" s="63" t="s">
        <v>1264</v>
      </c>
      <c r="B57" s="63" t="s">
        <v>1265</v>
      </c>
      <c r="C57" s="33">
        <v>30.0</v>
      </c>
      <c r="D57" s="58" t="s">
        <v>1257</v>
      </c>
      <c r="E57" s="31" t="s">
        <v>920</v>
      </c>
      <c r="F57" s="31" t="s">
        <v>920</v>
      </c>
      <c r="G57" s="31" t="s">
        <v>920</v>
      </c>
      <c r="H57" s="31" t="s">
        <v>920</v>
      </c>
      <c r="I57" s="31" t="s">
        <v>920</v>
      </c>
      <c r="J57" s="31" t="s">
        <v>920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ht="14.25" customHeight="1">
      <c r="A58" s="63" t="s">
        <v>1266</v>
      </c>
      <c r="B58" s="63" t="s">
        <v>1267</v>
      </c>
      <c r="C58" s="33">
        <v>30.0</v>
      </c>
      <c r="D58" s="58" t="s">
        <v>1257</v>
      </c>
      <c r="E58" s="31" t="s">
        <v>920</v>
      </c>
      <c r="F58" s="31" t="s">
        <v>920</v>
      </c>
      <c r="G58" s="31" t="s">
        <v>920</v>
      </c>
      <c r="H58" s="31" t="s">
        <v>920</v>
      </c>
      <c r="I58" s="31" t="s">
        <v>920</v>
      </c>
      <c r="J58" s="31" t="s">
        <v>920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ht="14.25" customHeight="1">
      <c r="A59" s="63" t="s">
        <v>1268</v>
      </c>
      <c r="B59" s="63" t="s">
        <v>1269</v>
      </c>
      <c r="C59" s="33">
        <v>30.0</v>
      </c>
      <c r="D59" s="58" t="s">
        <v>1257</v>
      </c>
      <c r="E59" s="31" t="s">
        <v>920</v>
      </c>
      <c r="F59" s="31" t="s">
        <v>920</v>
      </c>
      <c r="G59" s="31" t="s">
        <v>920</v>
      </c>
      <c r="H59" s="31" t="s">
        <v>920</v>
      </c>
      <c r="I59" s="31" t="s">
        <v>920</v>
      </c>
      <c r="J59" s="31" t="s">
        <v>920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ht="14.25" customHeight="1">
      <c r="A60" s="63" t="s">
        <v>1270</v>
      </c>
      <c r="B60" s="63" t="s">
        <v>1271</v>
      </c>
      <c r="C60" s="33">
        <v>10.0</v>
      </c>
      <c r="D60" s="58" t="s">
        <v>1257</v>
      </c>
      <c r="E60" s="31" t="s">
        <v>920</v>
      </c>
      <c r="F60" s="31" t="s">
        <v>920</v>
      </c>
      <c r="G60" s="31" t="s">
        <v>920</v>
      </c>
      <c r="H60" s="31" t="s">
        <v>920</v>
      </c>
      <c r="I60" s="31" t="s">
        <v>920</v>
      </c>
      <c r="J60" s="31" t="s">
        <v>920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ht="14.25" customHeight="1">
      <c r="A61" s="63"/>
      <c r="C61" s="33"/>
      <c r="D61" s="63"/>
      <c r="E61" s="31"/>
      <c r="F61" s="31"/>
      <c r="G61" s="31"/>
      <c r="H61" s="31"/>
      <c r="I61" s="31"/>
      <c r="J61" s="31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ht="14.25" customHeight="1">
      <c r="A62" s="63"/>
      <c r="B62" s="63"/>
      <c r="C62" s="33"/>
      <c r="D62" s="63"/>
      <c r="E62" s="31"/>
      <c r="F62" s="31"/>
      <c r="G62" s="31"/>
      <c r="H62" s="31"/>
      <c r="I62" s="31"/>
      <c r="J62" s="31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ht="14.25" customHeight="1">
      <c r="A63" s="63"/>
      <c r="B63" s="63"/>
      <c r="C63" s="33"/>
      <c r="D63" s="63"/>
      <c r="E63" s="31"/>
      <c r="F63" s="31"/>
      <c r="G63" s="31"/>
      <c r="H63" s="31"/>
      <c r="I63" s="31"/>
      <c r="J63" s="31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 ht="14.25" customHeight="1">
      <c r="A64" s="63"/>
      <c r="B64" s="63"/>
      <c r="C64" s="33"/>
      <c r="D64" s="63"/>
      <c r="E64" s="31"/>
      <c r="F64" s="31"/>
      <c r="G64" s="31"/>
      <c r="H64" s="31"/>
      <c r="I64" s="31"/>
      <c r="J64" s="31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ht="14.25" customHeight="1">
      <c r="A65" s="63"/>
      <c r="B65" s="63"/>
      <c r="C65" s="33"/>
      <c r="D65" s="63"/>
      <c r="E65" s="31"/>
      <c r="F65" s="31"/>
      <c r="G65" s="31"/>
      <c r="H65" s="31"/>
      <c r="I65" s="31"/>
      <c r="J65" s="31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 ht="14.25" customHeight="1">
      <c r="A66" s="63"/>
      <c r="B66" s="63"/>
      <c r="C66" s="33"/>
      <c r="D66" s="63"/>
      <c r="E66" s="31"/>
      <c r="F66" s="31"/>
      <c r="G66" s="31"/>
      <c r="H66" s="31"/>
      <c r="I66" s="31"/>
      <c r="J66" s="31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 ht="14.25" customHeight="1">
      <c r="A67" s="63"/>
      <c r="B67" s="63"/>
      <c r="C67" s="33"/>
      <c r="D67" s="63"/>
      <c r="E67" s="31"/>
      <c r="F67" s="31"/>
      <c r="G67" s="31"/>
      <c r="H67" s="31"/>
      <c r="I67" s="31"/>
      <c r="J67" s="31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 ht="14.25" customHeight="1">
      <c r="A68" s="63"/>
      <c r="B68" s="63"/>
      <c r="C68" s="33"/>
      <c r="D68" s="63"/>
      <c r="E68" s="31"/>
      <c r="F68" s="31"/>
      <c r="G68" s="31"/>
      <c r="H68" s="31"/>
      <c r="I68" s="31"/>
      <c r="J68" s="31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 ht="14.25" customHeight="1">
      <c r="A69" s="63"/>
      <c r="B69" s="63"/>
      <c r="C69" s="33"/>
      <c r="D69" s="63"/>
      <c r="E69" s="31"/>
      <c r="F69" s="31"/>
      <c r="G69" s="31"/>
      <c r="H69" s="31"/>
      <c r="I69" s="31"/>
      <c r="J69" s="31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 ht="14.25" customHeight="1">
      <c r="A70" s="63"/>
      <c r="B70" s="63"/>
      <c r="C70" s="33"/>
      <c r="D70" s="63"/>
      <c r="E70" s="31"/>
      <c r="F70" s="31"/>
      <c r="G70" s="31"/>
      <c r="H70" s="31"/>
      <c r="I70" s="31"/>
      <c r="J70" s="31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 ht="14.25" customHeight="1">
      <c r="A71" s="63"/>
      <c r="B71" s="63"/>
      <c r="C71" s="33"/>
      <c r="D71" s="63"/>
      <c r="E71" s="31"/>
      <c r="F71" s="31"/>
      <c r="G71" s="31"/>
      <c r="H71" s="31"/>
      <c r="I71" s="31"/>
      <c r="J71" s="31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 ht="14.25" customHeight="1">
      <c r="A72" s="63"/>
      <c r="B72" s="63"/>
      <c r="C72" s="33"/>
      <c r="D72" s="63"/>
      <c r="E72" s="31"/>
      <c r="F72" s="31"/>
      <c r="G72" s="31"/>
      <c r="H72" s="31"/>
      <c r="I72" s="31"/>
      <c r="J72" s="31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 ht="14.25" customHeight="1">
      <c r="A73" s="63"/>
      <c r="B73" s="63"/>
      <c r="C73" s="33"/>
      <c r="D73" s="63"/>
      <c r="E73" s="31"/>
      <c r="F73" s="31"/>
      <c r="G73" s="31"/>
      <c r="H73" s="31"/>
      <c r="I73" s="31"/>
      <c r="J73" s="31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 ht="14.25" customHeight="1">
      <c r="A74" s="63"/>
      <c r="B74" s="63"/>
      <c r="C74" s="33"/>
      <c r="D74" s="63"/>
      <c r="E74" s="31"/>
      <c r="F74" s="31"/>
      <c r="G74" s="31"/>
      <c r="H74" s="31"/>
      <c r="I74" s="31"/>
      <c r="J74" s="31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 ht="14.25" customHeight="1">
      <c r="A75" s="63"/>
      <c r="B75" s="63"/>
      <c r="C75" s="33"/>
      <c r="D75" s="63"/>
      <c r="E75" s="31"/>
      <c r="F75" s="31"/>
      <c r="G75" s="31"/>
      <c r="H75" s="31"/>
      <c r="I75" s="31"/>
      <c r="J75" s="31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ht="14.25" customHeight="1">
      <c r="A76" s="63"/>
      <c r="B76" s="63"/>
      <c r="C76" s="33"/>
      <c r="D76" s="63"/>
      <c r="E76" s="31"/>
      <c r="F76" s="31"/>
      <c r="G76" s="31"/>
      <c r="H76" s="31"/>
      <c r="I76" s="31"/>
      <c r="J76" s="31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ht="14.25" customHeight="1">
      <c r="A77" s="63"/>
      <c r="B77" s="63"/>
      <c r="C77" s="33"/>
      <c r="D77" s="63"/>
      <c r="E77" s="31"/>
      <c r="F77" s="31"/>
      <c r="G77" s="31"/>
      <c r="H77" s="31"/>
      <c r="I77" s="31"/>
      <c r="J77" s="31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 ht="14.25" customHeight="1">
      <c r="A78" s="63"/>
      <c r="B78" s="63"/>
      <c r="C78" s="33"/>
      <c r="D78" s="63"/>
      <c r="E78" s="31"/>
      <c r="F78" s="31"/>
      <c r="G78" s="31"/>
      <c r="H78" s="31"/>
      <c r="I78" s="31"/>
      <c r="J78" s="31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 ht="14.25" customHeight="1">
      <c r="A79" s="63"/>
      <c r="B79" s="63"/>
      <c r="C79" s="33"/>
      <c r="D79" s="63"/>
      <c r="E79" s="31"/>
      <c r="F79" s="31"/>
      <c r="G79" s="31"/>
      <c r="H79" s="31"/>
      <c r="I79" s="31"/>
      <c r="J79" s="31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 ht="14.25" customHeight="1">
      <c r="A80" s="63"/>
      <c r="B80" s="63"/>
      <c r="C80" s="33"/>
      <c r="D80" s="63"/>
      <c r="E80" s="31"/>
      <c r="F80" s="31"/>
      <c r="G80" s="31"/>
      <c r="H80" s="31"/>
      <c r="I80" s="31"/>
      <c r="J80" s="31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 ht="14.25" customHeight="1">
      <c r="A81" s="63"/>
      <c r="B81" s="63"/>
      <c r="C81" s="33"/>
      <c r="D81" s="63"/>
      <c r="E81" s="31"/>
      <c r="F81" s="31"/>
      <c r="G81" s="31"/>
      <c r="H81" s="31"/>
      <c r="I81" s="31"/>
      <c r="J81" s="31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 ht="14.25" customHeight="1">
      <c r="A82" s="63"/>
      <c r="B82" s="63"/>
      <c r="C82" s="33"/>
      <c r="D82" s="63"/>
      <c r="E82" s="31"/>
      <c r="F82" s="31"/>
      <c r="G82" s="31"/>
      <c r="H82" s="31"/>
      <c r="I82" s="31"/>
      <c r="J82" s="31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ht="14.25" customHeight="1">
      <c r="A83" s="63"/>
      <c r="B83" s="63"/>
      <c r="C83" s="33"/>
      <c r="D83" s="63"/>
      <c r="E83" s="31"/>
      <c r="F83" s="31"/>
      <c r="G83" s="31"/>
      <c r="H83" s="31"/>
      <c r="I83" s="31"/>
      <c r="J83" s="31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 ht="14.25" customHeight="1">
      <c r="A84" s="63"/>
      <c r="B84" s="63"/>
      <c r="C84" s="33"/>
      <c r="D84" s="63"/>
      <c r="E84" s="31"/>
      <c r="F84" s="31"/>
      <c r="G84" s="31"/>
      <c r="H84" s="31"/>
      <c r="I84" s="31"/>
      <c r="J84" s="31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 ht="14.25" customHeight="1">
      <c r="A85" s="63"/>
      <c r="B85" s="63"/>
      <c r="C85" s="33"/>
      <c r="D85" s="63"/>
      <c r="E85" s="31"/>
      <c r="F85" s="31"/>
      <c r="G85" s="31"/>
      <c r="H85" s="31"/>
      <c r="I85" s="31"/>
      <c r="J85" s="31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 ht="14.25" customHeight="1">
      <c r="A86" s="63"/>
      <c r="B86" s="63"/>
      <c r="C86" s="33"/>
      <c r="D86" s="63"/>
      <c r="E86" s="31"/>
      <c r="F86" s="31"/>
      <c r="G86" s="31"/>
      <c r="H86" s="31"/>
      <c r="I86" s="31"/>
      <c r="J86" s="31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ht="14.25" customHeight="1">
      <c r="A87" s="63"/>
      <c r="B87" s="63"/>
      <c r="C87" s="33"/>
      <c r="D87" s="63"/>
      <c r="E87" s="31"/>
      <c r="F87" s="31"/>
      <c r="G87" s="31"/>
      <c r="H87" s="31"/>
      <c r="I87" s="31"/>
      <c r="J87" s="31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 ht="14.25" customHeight="1">
      <c r="A88" s="63"/>
      <c r="B88" s="63"/>
      <c r="C88" s="33"/>
      <c r="D88" s="63"/>
      <c r="E88" s="31"/>
      <c r="F88" s="31"/>
      <c r="G88" s="31"/>
      <c r="H88" s="31"/>
      <c r="I88" s="31"/>
      <c r="J88" s="31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  <row r="89" ht="14.25" customHeight="1">
      <c r="A89" s="63"/>
      <c r="B89" s="63"/>
      <c r="C89" s="33"/>
      <c r="D89" s="63"/>
      <c r="E89" s="31"/>
      <c r="F89" s="31"/>
      <c r="G89" s="31"/>
      <c r="H89" s="31"/>
      <c r="I89" s="31"/>
      <c r="J89" s="31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</row>
    <row r="90" ht="14.25" customHeight="1">
      <c r="A90" s="63"/>
      <c r="B90" s="63"/>
      <c r="C90" s="33"/>
      <c r="D90" s="63"/>
      <c r="E90" s="31"/>
      <c r="F90" s="31"/>
      <c r="G90" s="31"/>
      <c r="H90" s="31"/>
      <c r="I90" s="31"/>
      <c r="J90" s="31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</row>
    <row r="91" ht="14.25" customHeight="1">
      <c r="A91" s="63"/>
      <c r="B91" s="63"/>
      <c r="C91" s="33"/>
      <c r="D91" s="63"/>
      <c r="E91" s="31"/>
      <c r="F91" s="31"/>
      <c r="G91" s="31"/>
      <c r="H91" s="31"/>
      <c r="I91" s="31"/>
      <c r="J91" s="31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</row>
    <row r="92" ht="14.25" customHeight="1">
      <c r="A92" s="63"/>
      <c r="B92" s="63"/>
      <c r="C92" s="33"/>
      <c r="D92" s="63"/>
      <c r="E92" s="31"/>
      <c r="F92" s="31"/>
      <c r="G92" s="31"/>
      <c r="H92" s="31"/>
      <c r="I92" s="31"/>
      <c r="J92" s="31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  <row r="93" ht="14.25" customHeight="1">
      <c r="A93" s="63"/>
      <c r="B93" s="63"/>
      <c r="C93" s="33"/>
      <c r="D93" s="63"/>
      <c r="E93" s="31"/>
      <c r="F93" s="31"/>
      <c r="G93" s="31"/>
      <c r="H93" s="31"/>
      <c r="I93" s="31"/>
      <c r="J93" s="31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</row>
    <row r="94" ht="14.25" customHeight="1">
      <c r="A94" s="63"/>
      <c r="B94" s="63"/>
      <c r="C94" s="33"/>
      <c r="D94" s="63"/>
      <c r="E94" s="31"/>
      <c r="F94" s="31"/>
      <c r="G94" s="31"/>
      <c r="H94" s="31"/>
      <c r="I94" s="31"/>
      <c r="J94" s="31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</row>
    <row r="95" ht="14.25" customHeight="1">
      <c r="A95" s="63"/>
      <c r="B95" s="63"/>
      <c r="C95" s="33"/>
      <c r="D95" s="63"/>
      <c r="E95" s="31"/>
      <c r="F95" s="31"/>
      <c r="G95" s="31"/>
      <c r="H95" s="31"/>
      <c r="I95" s="31"/>
      <c r="J95" s="31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</row>
    <row r="96" ht="14.25" customHeight="1">
      <c r="A96" s="63"/>
      <c r="B96" s="63"/>
      <c r="C96" s="33"/>
      <c r="D96" s="63"/>
      <c r="E96" s="31"/>
      <c r="F96" s="31"/>
      <c r="G96" s="31"/>
      <c r="H96" s="31"/>
      <c r="I96" s="31"/>
      <c r="J96" s="31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</row>
    <row r="97" ht="14.25" customHeight="1">
      <c r="A97" s="63"/>
      <c r="B97" s="63"/>
      <c r="C97" s="33"/>
      <c r="D97" s="63"/>
      <c r="E97" s="31"/>
      <c r="F97" s="31"/>
      <c r="G97" s="31"/>
      <c r="H97" s="31"/>
      <c r="I97" s="31"/>
      <c r="J97" s="31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</row>
    <row r="98" ht="14.25" customHeight="1">
      <c r="A98" s="63"/>
      <c r="B98" s="63"/>
      <c r="C98" s="33"/>
      <c r="D98" s="63"/>
      <c r="E98" s="31"/>
      <c r="F98" s="31"/>
      <c r="G98" s="31"/>
      <c r="H98" s="31"/>
      <c r="I98" s="31"/>
      <c r="J98" s="31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</row>
    <row r="99" ht="14.25" customHeight="1">
      <c r="A99" s="63"/>
      <c r="B99" s="63"/>
      <c r="C99" s="33"/>
      <c r="D99" s="63"/>
      <c r="E99" s="31"/>
      <c r="F99" s="31"/>
      <c r="G99" s="31"/>
      <c r="H99" s="31"/>
      <c r="I99" s="31"/>
      <c r="J99" s="31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</row>
    <row r="100" ht="14.25" customHeight="1">
      <c r="A100" s="63"/>
      <c r="B100" s="63"/>
      <c r="C100" s="33"/>
      <c r="D100" s="63"/>
      <c r="E100" s="31"/>
      <c r="F100" s="31"/>
      <c r="G100" s="31"/>
      <c r="H100" s="31"/>
      <c r="I100" s="31"/>
      <c r="J100" s="31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</row>
    <row r="101" ht="14.25" customHeight="1">
      <c r="A101" s="63"/>
      <c r="B101" s="63"/>
      <c r="C101" s="33"/>
      <c r="D101" s="63"/>
      <c r="E101" s="31"/>
      <c r="F101" s="31"/>
      <c r="G101" s="31"/>
      <c r="H101" s="31"/>
      <c r="I101" s="31"/>
      <c r="J101" s="31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</row>
    <row r="102" ht="14.25" customHeight="1">
      <c r="A102" s="63"/>
      <c r="B102" s="63"/>
      <c r="C102" s="33"/>
      <c r="D102" s="63"/>
      <c r="E102" s="31"/>
      <c r="F102" s="31"/>
      <c r="G102" s="31"/>
      <c r="H102" s="31"/>
      <c r="I102" s="31"/>
      <c r="J102" s="31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</row>
    <row r="103" ht="14.25" customHeight="1">
      <c r="A103" s="63"/>
      <c r="B103" s="63"/>
      <c r="C103" s="33"/>
      <c r="D103" s="63"/>
      <c r="E103" s="31"/>
      <c r="F103" s="31"/>
      <c r="G103" s="31"/>
      <c r="H103" s="31"/>
      <c r="I103" s="31"/>
      <c r="J103" s="31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</row>
    <row r="104" ht="14.25" customHeight="1">
      <c r="A104" s="63"/>
      <c r="B104" s="63"/>
      <c r="C104" s="33"/>
      <c r="D104" s="63"/>
      <c r="E104" s="31"/>
      <c r="F104" s="31"/>
      <c r="G104" s="31"/>
      <c r="H104" s="31"/>
      <c r="I104" s="31"/>
      <c r="J104" s="31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</row>
    <row r="105" ht="14.25" customHeight="1">
      <c r="A105" s="63"/>
      <c r="B105" s="63"/>
      <c r="C105" s="33"/>
      <c r="D105" s="63"/>
      <c r="E105" s="31"/>
      <c r="F105" s="31"/>
      <c r="G105" s="31"/>
      <c r="H105" s="31"/>
      <c r="I105" s="31"/>
      <c r="J105" s="31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</row>
    <row r="106" ht="14.25" customHeight="1">
      <c r="A106" s="63"/>
      <c r="B106" s="63"/>
      <c r="C106" s="33"/>
      <c r="D106" s="63"/>
      <c r="E106" s="31"/>
      <c r="F106" s="31"/>
      <c r="G106" s="31"/>
      <c r="H106" s="31"/>
      <c r="I106" s="31"/>
      <c r="J106" s="31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</row>
    <row r="107" ht="14.25" customHeight="1">
      <c r="A107" s="63"/>
      <c r="B107" s="63"/>
      <c r="C107" s="33"/>
      <c r="D107" s="63"/>
      <c r="E107" s="31"/>
      <c r="F107" s="31"/>
      <c r="G107" s="31"/>
      <c r="H107" s="31"/>
      <c r="I107" s="31"/>
      <c r="J107" s="31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</row>
    <row r="108" ht="14.25" customHeight="1">
      <c r="A108" s="63"/>
      <c r="B108" s="63"/>
      <c r="C108" s="33"/>
      <c r="D108" s="63"/>
      <c r="E108" s="31"/>
      <c r="F108" s="31"/>
      <c r="G108" s="31"/>
      <c r="H108" s="31"/>
      <c r="I108" s="31"/>
      <c r="J108" s="31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</row>
    <row r="109" ht="14.25" customHeight="1">
      <c r="A109" s="63"/>
      <c r="B109" s="63"/>
      <c r="C109" s="33"/>
      <c r="D109" s="63"/>
      <c r="E109" s="31"/>
      <c r="F109" s="31"/>
      <c r="G109" s="31"/>
      <c r="H109" s="31"/>
      <c r="I109" s="31"/>
      <c r="J109" s="31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</row>
    <row r="110" ht="14.25" customHeight="1">
      <c r="A110" s="63"/>
      <c r="B110" s="63"/>
      <c r="C110" s="33"/>
      <c r="D110" s="63"/>
      <c r="E110" s="31"/>
      <c r="F110" s="31"/>
      <c r="G110" s="31"/>
      <c r="H110" s="31"/>
      <c r="I110" s="31"/>
      <c r="J110" s="31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</row>
    <row r="111" ht="14.25" customHeight="1">
      <c r="A111" s="63"/>
      <c r="B111" s="63"/>
      <c r="C111" s="33"/>
      <c r="D111" s="63"/>
      <c r="E111" s="31"/>
      <c r="F111" s="31"/>
      <c r="G111" s="31"/>
      <c r="H111" s="31"/>
      <c r="I111" s="31"/>
      <c r="J111" s="31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</row>
    <row r="112" ht="14.25" customHeight="1">
      <c r="A112" s="63"/>
      <c r="B112" s="63"/>
      <c r="C112" s="33"/>
      <c r="D112" s="63"/>
      <c r="E112" s="31"/>
      <c r="F112" s="31"/>
      <c r="G112" s="31"/>
      <c r="H112" s="31"/>
      <c r="I112" s="31"/>
      <c r="J112" s="31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</row>
    <row r="113" ht="14.25" customHeight="1">
      <c r="A113" s="63"/>
      <c r="B113" s="63"/>
      <c r="C113" s="33"/>
      <c r="D113" s="63"/>
      <c r="E113" s="31"/>
      <c r="F113" s="31"/>
      <c r="G113" s="31"/>
      <c r="H113" s="31"/>
      <c r="I113" s="31"/>
      <c r="J113" s="31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ht="14.25" customHeight="1">
      <c r="A114" s="63"/>
      <c r="B114" s="63"/>
      <c r="C114" s="33"/>
      <c r="D114" s="63"/>
      <c r="E114" s="31"/>
      <c r="F114" s="31"/>
      <c r="G114" s="31"/>
      <c r="H114" s="31"/>
      <c r="I114" s="31"/>
      <c r="J114" s="31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</row>
    <row r="115" ht="14.25" customHeight="1">
      <c r="A115" s="63"/>
      <c r="B115" s="63"/>
      <c r="C115" s="33"/>
      <c r="D115" s="63"/>
      <c r="E115" s="31"/>
      <c r="F115" s="31"/>
      <c r="G115" s="31"/>
      <c r="H115" s="31"/>
      <c r="I115" s="31"/>
      <c r="J115" s="31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</row>
    <row r="116" ht="14.25" customHeight="1">
      <c r="A116" s="63"/>
      <c r="B116" s="63"/>
      <c r="C116" s="33"/>
      <c r="D116" s="63"/>
      <c r="E116" s="31"/>
      <c r="F116" s="31"/>
      <c r="G116" s="31"/>
      <c r="H116" s="31"/>
      <c r="I116" s="31"/>
      <c r="J116" s="31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</row>
    <row r="117" ht="14.25" customHeight="1">
      <c r="A117" s="63"/>
      <c r="B117" s="63"/>
      <c r="C117" s="33"/>
      <c r="D117" s="63"/>
      <c r="E117" s="31"/>
      <c r="F117" s="31"/>
      <c r="G117" s="31"/>
      <c r="H117" s="31"/>
      <c r="I117" s="31"/>
      <c r="J117" s="31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</row>
    <row r="118" ht="14.25" customHeight="1">
      <c r="A118" s="63"/>
      <c r="B118" s="63"/>
      <c r="C118" s="33"/>
      <c r="D118" s="63"/>
      <c r="E118" s="31"/>
      <c r="F118" s="31"/>
      <c r="G118" s="31"/>
      <c r="H118" s="31"/>
      <c r="I118" s="31"/>
      <c r="J118" s="31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</row>
    <row r="119" ht="14.25" customHeight="1">
      <c r="A119" s="63"/>
      <c r="B119" s="63"/>
      <c r="C119" s="33"/>
      <c r="D119" s="63"/>
      <c r="E119" s="31"/>
      <c r="F119" s="31"/>
      <c r="G119" s="31"/>
      <c r="H119" s="31"/>
      <c r="I119" s="31"/>
      <c r="J119" s="31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</row>
    <row r="120" ht="14.25" customHeight="1">
      <c r="A120" s="63"/>
      <c r="B120" s="63"/>
      <c r="C120" s="33"/>
      <c r="D120" s="63"/>
      <c r="E120" s="31"/>
      <c r="F120" s="31"/>
      <c r="G120" s="31"/>
      <c r="H120" s="31"/>
      <c r="I120" s="31"/>
      <c r="J120" s="31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</row>
    <row r="121" ht="14.25" customHeight="1">
      <c r="A121" s="63"/>
      <c r="B121" s="63"/>
      <c r="C121" s="33"/>
      <c r="D121" s="63"/>
      <c r="E121" s="31"/>
      <c r="F121" s="31"/>
      <c r="G121" s="31"/>
      <c r="H121" s="31"/>
      <c r="I121" s="31"/>
      <c r="J121" s="31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</row>
    <row r="122" ht="14.25" customHeight="1">
      <c r="A122" s="63"/>
      <c r="B122" s="63"/>
      <c r="C122" s="33"/>
      <c r="D122" s="63"/>
      <c r="E122" s="31"/>
      <c r="F122" s="31"/>
      <c r="G122" s="31"/>
      <c r="H122" s="31"/>
      <c r="I122" s="31"/>
      <c r="J122" s="31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</row>
    <row r="123" ht="14.25" customHeight="1">
      <c r="A123" s="63"/>
      <c r="B123" s="63"/>
      <c r="C123" s="33"/>
      <c r="D123" s="63"/>
      <c r="E123" s="31"/>
      <c r="F123" s="31"/>
      <c r="G123" s="31"/>
      <c r="H123" s="31"/>
      <c r="I123" s="31"/>
      <c r="J123" s="31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</row>
    <row r="124" ht="14.25" customHeight="1">
      <c r="A124" s="63"/>
      <c r="B124" s="63"/>
      <c r="C124" s="33"/>
      <c r="D124" s="63"/>
      <c r="E124" s="31"/>
      <c r="F124" s="31"/>
      <c r="G124" s="31"/>
      <c r="H124" s="31"/>
      <c r="I124" s="31"/>
      <c r="J124" s="31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</row>
    <row r="125" ht="14.25" customHeight="1">
      <c r="A125" s="63"/>
      <c r="B125" s="63"/>
      <c r="C125" s="33"/>
      <c r="D125" s="63"/>
      <c r="E125" s="31"/>
      <c r="F125" s="31"/>
      <c r="G125" s="31"/>
      <c r="H125" s="31"/>
      <c r="I125" s="31"/>
      <c r="J125" s="31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</row>
    <row r="126" ht="14.25" customHeight="1">
      <c r="A126" s="63"/>
      <c r="B126" s="63"/>
      <c r="C126" s="33"/>
      <c r="D126" s="63"/>
      <c r="E126" s="31"/>
      <c r="F126" s="31"/>
      <c r="G126" s="31"/>
      <c r="H126" s="31"/>
      <c r="I126" s="31"/>
      <c r="J126" s="31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</row>
    <row r="127" ht="14.25" customHeight="1">
      <c r="A127" s="63"/>
      <c r="B127" s="63"/>
      <c r="C127" s="33"/>
      <c r="D127" s="63"/>
      <c r="E127" s="31"/>
      <c r="F127" s="31"/>
      <c r="G127" s="31"/>
      <c r="H127" s="31"/>
      <c r="I127" s="31"/>
      <c r="J127" s="31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</row>
    <row r="128" ht="14.25" customHeight="1">
      <c r="A128" s="63"/>
      <c r="B128" s="63"/>
      <c r="C128" s="33"/>
      <c r="D128" s="63"/>
      <c r="E128" s="31"/>
      <c r="F128" s="31"/>
      <c r="G128" s="31"/>
      <c r="H128" s="31"/>
      <c r="I128" s="31"/>
      <c r="J128" s="31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</row>
    <row r="129" ht="14.25" customHeight="1">
      <c r="A129" s="63"/>
      <c r="B129" s="63"/>
      <c r="C129" s="33"/>
      <c r="D129" s="63"/>
      <c r="E129" s="31"/>
      <c r="F129" s="31"/>
      <c r="G129" s="31"/>
      <c r="H129" s="31"/>
      <c r="I129" s="31"/>
      <c r="J129" s="31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</row>
    <row r="130" ht="14.25" customHeight="1">
      <c r="A130" s="63"/>
      <c r="B130" s="63"/>
      <c r="C130" s="33"/>
      <c r="D130" s="63"/>
      <c r="E130" s="31"/>
      <c r="F130" s="31"/>
      <c r="G130" s="31"/>
      <c r="H130" s="31"/>
      <c r="I130" s="31"/>
      <c r="J130" s="31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</row>
    <row r="131" ht="14.25" customHeight="1">
      <c r="A131" s="63"/>
      <c r="B131" s="63"/>
      <c r="C131" s="33"/>
      <c r="D131" s="63"/>
      <c r="E131" s="31"/>
      <c r="F131" s="31"/>
      <c r="G131" s="31"/>
      <c r="H131" s="31"/>
      <c r="I131" s="31"/>
      <c r="J131" s="31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</row>
    <row r="132" ht="14.25" customHeight="1">
      <c r="A132" s="63"/>
      <c r="B132" s="63"/>
      <c r="C132" s="33"/>
      <c r="D132" s="63"/>
      <c r="E132" s="31"/>
      <c r="F132" s="31"/>
      <c r="G132" s="31"/>
      <c r="H132" s="31"/>
      <c r="I132" s="31"/>
      <c r="J132" s="31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</row>
    <row r="133" ht="14.25" customHeight="1">
      <c r="A133" s="63"/>
      <c r="B133" s="63"/>
      <c r="C133" s="33"/>
      <c r="D133" s="63"/>
      <c r="E133" s="31"/>
      <c r="F133" s="31"/>
      <c r="G133" s="31"/>
      <c r="H133" s="31"/>
      <c r="I133" s="31"/>
      <c r="J133" s="31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</row>
    <row r="134" ht="14.25" customHeight="1">
      <c r="A134" s="63"/>
      <c r="B134" s="63"/>
      <c r="C134" s="33"/>
      <c r="D134" s="63"/>
      <c r="E134" s="31"/>
      <c r="F134" s="31"/>
      <c r="G134" s="31"/>
      <c r="H134" s="31"/>
      <c r="I134" s="31"/>
      <c r="J134" s="31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</row>
    <row r="135" ht="14.25" customHeight="1">
      <c r="A135" s="63"/>
      <c r="B135" s="63"/>
      <c r="C135" s="33"/>
      <c r="D135" s="63"/>
      <c r="E135" s="31"/>
      <c r="F135" s="31"/>
      <c r="G135" s="31"/>
      <c r="H135" s="31"/>
      <c r="I135" s="31"/>
      <c r="J135" s="31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</row>
    <row r="136" ht="14.25" customHeight="1">
      <c r="A136" s="63"/>
      <c r="B136" s="63"/>
      <c r="C136" s="33"/>
      <c r="D136" s="63"/>
      <c r="E136" s="31"/>
      <c r="F136" s="31"/>
      <c r="G136" s="31"/>
      <c r="H136" s="31"/>
      <c r="I136" s="31"/>
      <c r="J136" s="31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</row>
    <row r="137" ht="14.25" customHeight="1">
      <c r="A137" s="63"/>
      <c r="B137" s="63"/>
      <c r="C137" s="33"/>
      <c r="D137" s="63"/>
      <c r="E137" s="31"/>
      <c r="F137" s="31"/>
      <c r="G137" s="31"/>
      <c r="H137" s="31"/>
      <c r="I137" s="31"/>
      <c r="J137" s="31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</row>
    <row r="138" ht="14.25" customHeight="1">
      <c r="A138" s="63"/>
      <c r="B138" s="63"/>
      <c r="C138" s="33"/>
      <c r="D138" s="63"/>
      <c r="E138" s="31"/>
      <c r="F138" s="31"/>
      <c r="G138" s="31"/>
      <c r="H138" s="31"/>
      <c r="I138" s="31"/>
      <c r="J138" s="31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</row>
    <row r="139" ht="14.25" customHeight="1">
      <c r="A139" s="63"/>
      <c r="B139" s="63"/>
      <c r="C139" s="33"/>
      <c r="D139" s="63"/>
      <c r="E139" s="31"/>
      <c r="F139" s="31"/>
      <c r="G139" s="31"/>
      <c r="H139" s="31"/>
      <c r="I139" s="31"/>
      <c r="J139" s="31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</row>
    <row r="140" ht="14.25" customHeight="1">
      <c r="A140" s="63"/>
      <c r="B140" s="63"/>
      <c r="C140" s="33"/>
      <c r="D140" s="63"/>
      <c r="E140" s="31"/>
      <c r="F140" s="31"/>
      <c r="G140" s="31"/>
      <c r="H140" s="31"/>
      <c r="I140" s="31"/>
      <c r="J140" s="31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</row>
    <row r="141" ht="14.25" customHeight="1">
      <c r="A141" s="63"/>
      <c r="B141" s="63"/>
      <c r="C141" s="33"/>
      <c r="D141" s="63"/>
      <c r="E141" s="31"/>
      <c r="F141" s="31"/>
      <c r="G141" s="31"/>
      <c r="H141" s="31"/>
      <c r="I141" s="31"/>
      <c r="J141" s="31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</row>
    <row r="142" ht="14.25" customHeight="1">
      <c r="A142" s="63"/>
      <c r="B142" s="63"/>
      <c r="C142" s="33"/>
      <c r="D142" s="63"/>
      <c r="E142" s="31"/>
      <c r="F142" s="31"/>
      <c r="G142" s="31"/>
      <c r="H142" s="31"/>
      <c r="I142" s="31"/>
      <c r="J142" s="31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ht="14.25" customHeight="1">
      <c r="A143" s="63"/>
      <c r="B143" s="63"/>
      <c r="C143" s="33"/>
      <c r="D143" s="63"/>
      <c r="E143" s="31"/>
      <c r="F143" s="31"/>
      <c r="G143" s="31"/>
      <c r="H143" s="31"/>
      <c r="I143" s="31"/>
      <c r="J143" s="31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ht="14.25" customHeight="1">
      <c r="A144" s="63"/>
      <c r="B144" s="63"/>
      <c r="C144" s="33"/>
      <c r="D144" s="63"/>
      <c r="E144" s="31"/>
      <c r="F144" s="31"/>
      <c r="G144" s="31"/>
      <c r="H144" s="31"/>
      <c r="I144" s="31"/>
      <c r="J144" s="31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ht="14.25" customHeight="1">
      <c r="A145" s="63"/>
      <c r="B145" s="63"/>
      <c r="C145" s="33"/>
      <c r="D145" s="63"/>
      <c r="E145" s="31"/>
      <c r="F145" s="31"/>
      <c r="G145" s="31"/>
      <c r="H145" s="31"/>
      <c r="I145" s="31"/>
      <c r="J145" s="31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ht="14.25" customHeight="1">
      <c r="A146" s="63"/>
      <c r="B146" s="63"/>
      <c r="C146" s="33"/>
      <c r="D146" s="63"/>
      <c r="E146" s="31"/>
      <c r="F146" s="31"/>
      <c r="G146" s="31"/>
      <c r="H146" s="31"/>
      <c r="I146" s="31"/>
      <c r="J146" s="31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ht="14.25" customHeight="1">
      <c r="A147" s="63"/>
      <c r="B147" s="63"/>
      <c r="C147" s="33"/>
      <c r="D147" s="63"/>
      <c r="E147" s="31"/>
      <c r="F147" s="31"/>
      <c r="G147" s="31"/>
      <c r="H147" s="31"/>
      <c r="I147" s="31"/>
      <c r="J147" s="31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ht="14.25" customHeight="1">
      <c r="A148" s="63"/>
      <c r="B148" s="63"/>
      <c r="C148" s="33"/>
      <c r="D148" s="63"/>
      <c r="E148" s="31"/>
      <c r="F148" s="31"/>
      <c r="G148" s="31"/>
      <c r="H148" s="31"/>
      <c r="I148" s="31"/>
      <c r="J148" s="31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</row>
    <row r="149" ht="14.25" customHeight="1">
      <c r="A149" s="63"/>
      <c r="B149" s="63"/>
      <c r="C149" s="33"/>
      <c r="D149" s="63"/>
      <c r="E149" s="31"/>
      <c r="F149" s="31"/>
      <c r="G149" s="31"/>
      <c r="H149" s="31"/>
      <c r="I149" s="31"/>
      <c r="J149" s="31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</row>
    <row r="150" ht="14.25" customHeight="1">
      <c r="A150" s="63"/>
      <c r="B150" s="63"/>
      <c r="C150" s="33"/>
      <c r="D150" s="63"/>
      <c r="E150" s="31"/>
      <c r="F150" s="31"/>
      <c r="G150" s="31"/>
      <c r="H150" s="31"/>
      <c r="I150" s="31"/>
      <c r="J150" s="31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</row>
    <row r="151" ht="14.25" customHeight="1">
      <c r="A151" s="63"/>
      <c r="B151" s="63"/>
      <c r="C151" s="33"/>
      <c r="D151" s="63"/>
      <c r="E151" s="31"/>
      <c r="F151" s="31"/>
      <c r="G151" s="31"/>
      <c r="H151" s="31"/>
      <c r="I151" s="31"/>
      <c r="J151" s="31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</row>
    <row r="152" ht="14.25" customHeight="1">
      <c r="A152" s="63"/>
      <c r="B152" s="63"/>
      <c r="C152" s="33"/>
      <c r="D152" s="63"/>
      <c r="E152" s="31"/>
      <c r="F152" s="31"/>
      <c r="G152" s="31"/>
      <c r="H152" s="31"/>
      <c r="I152" s="31"/>
      <c r="J152" s="31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</row>
    <row r="153" ht="14.25" customHeight="1">
      <c r="A153" s="63"/>
      <c r="B153" s="63"/>
      <c r="C153" s="33"/>
      <c r="D153" s="63"/>
      <c r="E153" s="31"/>
      <c r="F153" s="31"/>
      <c r="G153" s="31"/>
      <c r="H153" s="31"/>
      <c r="I153" s="31"/>
      <c r="J153" s="31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</row>
    <row r="154" ht="14.25" customHeight="1">
      <c r="A154" s="63"/>
      <c r="B154" s="63"/>
      <c r="C154" s="33"/>
      <c r="D154" s="63"/>
      <c r="E154" s="31"/>
      <c r="F154" s="31"/>
      <c r="G154" s="31"/>
      <c r="H154" s="31"/>
      <c r="I154" s="31"/>
      <c r="J154" s="31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 ht="14.25" customHeight="1">
      <c r="A155" s="63"/>
      <c r="B155" s="63"/>
      <c r="C155" s="33"/>
      <c r="D155" s="63"/>
      <c r="E155" s="31"/>
      <c r="F155" s="31"/>
      <c r="G155" s="31"/>
      <c r="H155" s="31"/>
      <c r="I155" s="31"/>
      <c r="J155" s="31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</row>
    <row r="156" ht="14.25" customHeight="1">
      <c r="A156" s="63"/>
      <c r="B156" s="63"/>
      <c r="C156" s="33"/>
      <c r="D156" s="63"/>
      <c r="E156" s="31"/>
      <c r="F156" s="31"/>
      <c r="G156" s="31"/>
      <c r="H156" s="31"/>
      <c r="I156" s="31"/>
      <c r="J156" s="31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</row>
    <row r="157" ht="14.25" customHeight="1">
      <c r="A157" s="63"/>
      <c r="B157" s="63"/>
      <c r="C157" s="33"/>
      <c r="D157" s="63"/>
      <c r="E157" s="31"/>
      <c r="F157" s="31"/>
      <c r="G157" s="31"/>
      <c r="H157" s="31"/>
      <c r="I157" s="31"/>
      <c r="J157" s="31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</row>
    <row r="158" ht="14.25" customHeight="1">
      <c r="A158" s="63"/>
      <c r="B158" s="63"/>
      <c r="C158" s="33"/>
      <c r="D158" s="63"/>
      <c r="E158" s="31"/>
      <c r="F158" s="31"/>
      <c r="G158" s="31"/>
      <c r="H158" s="31"/>
      <c r="I158" s="31"/>
      <c r="J158" s="31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</row>
    <row r="159" ht="14.25" customHeight="1">
      <c r="A159" s="63"/>
      <c r="B159" s="63"/>
      <c r="C159" s="33"/>
      <c r="D159" s="63"/>
      <c r="E159" s="31"/>
      <c r="F159" s="31"/>
      <c r="G159" s="31"/>
      <c r="H159" s="31"/>
      <c r="I159" s="31"/>
      <c r="J159" s="31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</row>
    <row r="160" ht="14.25" customHeight="1">
      <c r="A160" s="63"/>
      <c r="B160" s="63"/>
      <c r="C160" s="33"/>
      <c r="D160" s="63"/>
      <c r="E160" s="31"/>
      <c r="F160" s="31"/>
      <c r="G160" s="31"/>
      <c r="H160" s="31"/>
      <c r="I160" s="31"/>
      <c r="J160" s="31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</row>
    <row r="161" ht="14.25" customHeight="1">
      <c r="A161" s="63"/>
      <c r="B161" s="63"/>
      <c r="C161" s="33"/>
      <c r="D161" s="63"/>
      <c r="E161" s="31"/>
      <c r="F161" s="31"/>
      <c r="G161" s="31"/>
      <c r="H161" s="31"/>
      <c r="I161" s="31"/>
      <c r="J161" s="31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</row>
    <row r="162" ht="14.25" customHeight="1">
      <c r="A162" s="63"/>
      <c r="B162" s="63"/>
      <c r="C162" s="33"/>
      <c r="D162" s="63"/>
      <c r="E162" s="31"/>
      <c r="F162" s="31"/>
      <c r="G162" s="31"/>
      <c r="H162" s="31"/>
      <c r="I162" s="31"/>
      <c r="J162" s="31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</row>
    <row r="163" ht="14.25" customHeight="1">
      <c r="A163" s="63"/>
      <c r="B163" s="63"/>
      <c r="C163" s="33"/>
      <c r="D163" s="63"/>
      <c r="E163" s="31"/>
      <c r="F163" s="31"/>
      <c r="G163" s="31"/>
      <c r="H163" s="31"/>
      <c r="I163" s="31"/>
      <c r="J163" s="31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</row>
    <row r="164" ht="14.25" customHeight="1">
      <c r="A164" s="63"/>
      <c r="B164" s="63"/>
      <c r="C164" s="33"/>
      <c r="D164" s="63"/>
      <c r="E164" s="31"/>
      <c r="F164" s="31"/>
      <c r="G164" s="31"/>
      <c r="H164" s="31"/>
      <c r="I164" s="31"/>
      <c r="J164" s="31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</row>
    <row r="165" ht="14.25" customHeight="1">
      <c r="A165" s="63"/>
      <c r="B165" s="63"/>
      <c r="C165" s="33"/>
      <c r="D165" s="63"/>
      <c r="E165" s="31"/>
      <c r="F165" s="31"/>
      <c r="G165" s="31"/>
      <c r="H165" s="31"/>
      <c r="I165" s="31"/>
      <c r="J165" s="31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</row>
    <row r="166" ht="14.25" customHeight="1">
      <c r="A166" s="63"/>
      <c r="B166" s="63"/>
      <c r="C166" s="33"/>
      <c r="D166" s="63"/>
      <c r="E166" s="31"/>
      <c r="F166" s="31"/>
      <c r="G166" s="31"/>
      <c r="H166" s="31"/>
      <c r="I166" s="31"/>
      <c r="J166" s="31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</row>
    <row r="167" ht="14.25" customHeight="1">
      <c r="A167" s="63"/>
      <c r="B167" s="63"/>
      <c r="C167" s="33"/>
      <c r="D167" s="63"/>
      <c r="E167" s="31"/>
      <c r="F167" s="31"/>
      <c r="G167" s="31"/>
      <c r="H167" s="31"/>
      <c r="I167" s="31"/>
      <c r="J167" s="31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</row>
    <row r="168" ht="14.25" customHeight="1">
      <c r="A168" s="63"/>
      <c r="B168" s="63"/>
      <c r="C168" s="33"/>
      <c r="D168" s="63"/>
      <c r="E168" s="31"/>
      <c r="F168" s="31"/>
      <c r="G168" s="31"/>
      <c r="H168" s="31"/>
      <c r="I168" s="31"/>
      <c r="J168" s="31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</row>
    <row r="169" ht="14.25" customHeight="1">
      <c r="A169" s="63"/>
      <c r="B169" s="63"/>
      <c r="C169" s="33"/>
      <c r="D169" s="63"/>
      <c r="E169" s="31"/>
      <c r="F169" s="31"/>
      <c r="G169" s="31"/>
      <c r="H169" s="31"/>
      <c r="I169" s="31"/>
      <c r="J169" s="31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</row>
    <row r="170" ht="14.25" customHeight="1">
      <c r="A170" s="63"/>
      <c r="B170" s="63"/>
      <c r="C170" s="33"/>
      <c r="D170" s="63"/>
      <c r="E170" s="31"/>
      <c r="F170" s="31"/>
      <c r="G170" s="31"/>
      <c r="H170" s="31"/>
      <c r="I170" s="31"/>
      <c r="J170" s="31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</row>
    <row r="171" ht="14.25" customHeight="1">
      <c r="A171" s="63"/>
      <c r="B171" s="63"/>
      <c r="C171" s="33"/>
      <c r="D171" s="63"/>
      <c r="E171" s="31"/>
      <c r="F171" s="31"/>
      <c r="G171" s="31"/>
      <c r="H171" s="31"/>
      <c r="I171" s="31"/>
      <c r="J171" s="31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</row>
    <row r="172" ht="14.25" customHeight="1">
      <c r="A172" s="63"/>
      <c r="B172" s="63"/>
      <c r="C172" s="33"/>
      <c r="D172" s="63"/>
      <c r="E172" s="31"/>
      <c r="F172" s="31"/>
      <c r="G172" s="31"/>
      <c r="H172" s="31"/>
      <c r="I172" s="31"/>
      <c r="J172" s="31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</row>
    <row r="173" ht="14.25" customHeight="1">
      <c r="A173" s="63"/>
      <c r="B173" s="63"/>
      <c r="C173" s="33"/>
      <c r="D173" s="63"/>
      <c r="E173" s="31"/>
      <c r="F173" s="31"/>
      <c r="G173" s="31"/>
      <c r="H173" s="31"/>
      <c r="I173" s="31"/>
      <c r="J173" s="31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</row>
    <row r="174" ht="14.25" customHeight="1">
      <c r="A174" s="63"/>
      <c r="B174" s="63"/>
      <c r="C174" s="33"/>
      <c r="D174" s="63"/>
      <c r="E174" s="31"/>
      <c r="F174" s="31"/>
      <c r="G174" s="31"/>
      <c r="H174" s="31"/>
      <c r="I174" s="31"/>
      <c r="J174" s="31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</row>
    <row r="175" ht="14.25" customHeight="1">
      <c r="A175" s="63"/>
      <c r="B175" s="63"/>
      <c r="C175" s="33"/>
      <c r="D175" s="63"/>
      <c r="E175" s="31"/>
      <c r="F175" s="31"/>
      <c r="G175" s="31"/>
      <c r="H175" s="31"/>
      <c r="I175" s="31"/>
      <c r="J175" s="31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</row>
    <row r="176" ht="14.25" customHeight="1">
      <c r="A176" s="63"/>
      <c r="B176" s="63"/>
      <c r="C176" s="33"/>
      <c r="D176" s="63"/>
      <c r="E176" s="31"/>
      <c r="F176" s="31"/>
      <c r="G176" s="31"/>
      <c r="H176" s="31"/>
      <c r="I176" s="31"/>
      <c r="J176" s="31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</row>
    <row r="177" ht="14.25" customHeight="1">
      <c r="A177" s="63"/>
      <c r="B177" s="63"/>
      <c r="C177" s="33"/>
      <c r="D177" s="63"/>
      <c r="E177" s="31"/>
      <c r="F177" s="31"/>
      <c r="G177" s="31"/>
      <c r="H177" s="31"/>
      <c r="I177" s="31"/>
      <c r="J177" s="31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</row>
    <row r="178" ht="14.25" customHeight="1">
      <c r="A178" s="63"/>
      <c r="B178" s="63"/>
      <c r="C178" s="33"/>
      <c r="D178" s="63"/>
      <c r="E178" s="31"/>
      <c r="F178" s="31"/>
      <c r="G178" s="31"/>
      <c r="H178" s="31"/>
      <c r="I178" s="31"/>
      <c r="J178" s="31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</row>
    <row r="179" ht="14.25" customHeight="1">
      <c r="A179" s="63"/>
      <c r="B179" s="63"/>
      <c r="C179" s="33"/>
      <c r="D179" s="63"/>
      <c r="E179" s="31"/>
      <c r="F179" s="31"/>
      <c r="G179" s="31"/>
      <c r="H179" s="31"/>
      <c r="I179" s="31"/>
      <c r="J179" s="31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</row>
    <row r="180" ht="14.25" customHeight="1">
      <c r="A180" s="63"/>
      <c r="B180" s="63"/>
      <c r="C180" s="33"/>
      <c r="D180" s="63"/>
      <c r="E180" s="31"/>
      <c r="F180" s="31"/>
      <c r="G180" s="31"/>
      <c r="H180" s="31"/>
      <c r="I180" s="31"/>
      <c r="J180" s="31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</row>
    <row r="181" ht="14.25" customHeight="1">
      <c r="A181" s="63"/>
      <c r="B181" s="63"/>
      <c r="C181" s="33"/>
      <c r="D181" s="63"/>
      <c r="E181" s="31"/>
      <c r="F181" s="31"/>
      <c r="G181" s="31"/>
      <c r="H181" s="31"/>
      <c r="I181" s="31"/>
      <c r="J181" s="31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</row>
    <row r="182" ht="14.25" customHeight="1">
      <c r="A182" s="63"/>
      <c r="B182" s="63"/>
      <c r="C182" s="33"/>
      <c r="D182" s="63"/>
      <c r="E182" s="31"/>
      <c r="F182" s="31"/>
      <c r="G182" s="31"/>
      <c r="H182" s="31"/>
      <c r="I182" s="31"/>
      <c r="J182" s="31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</row>
    <row r="183" ht="14.25" customHeight="1">
      <c r="A183" s="63"/>
      <c r="B183" s="63"/>
      <c r="C183" s="33"/>
      <c r="D183" s="63"/>
      <c r="E183" s="31"/>
      <c r="F183" s="31"/>
      <c r="G183" s="31"/>
      <c r="H183" s="31"/>
      <c r="I183" s="31"/>
      <c r="J183" s="31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</row>
    <row r="184" ht="14.25" customHeight="1">
      <c r="A184" s="63"/>
      <c r="B184" s="63"/>
      <c r="C184" s="33"/>
      <c r="D184" s="63"/>
      <c r="E184" s="31"/>
      <c r="F184" s="31"/>
      <c r="G184" s="31"/>
      <c r="H184" s="31"/>
      <c r="I184" s="31"/>
      <c r="J184" s="31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</row>
    <row r="185" ht="14.25" customHeight="1">
      <c r="A185" s="63"/>
      <c r="B185" s="63"/>
      <c r="C185" s="33"/>
      <c r="D185" s="63"/>
      <c r="E185" s="31"/>
      <c r="F185" s="31"/>
      <c r="G185" s="31"/>
      <c r="H185" s="31"/>
      <c r="I185" s="31"/>
      <c r="J185" s="31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</row>
    <row r="186" ht="14.25" customHeight="1">
      <c r="A186" s="63"/>
      <c r="B186" s="63"/>
      <c r="C186" s="33"/>
      <c r="D186" s="63"/>
      <c r="E186" s="31"/>
      <c r="F186" s="31"/>
      <c r="G186" s="31"/>
      <c r="H186" s="31"/>
      <c r="I186" s="31"/>
      <c r="J186" s="31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</row>
    <row r="187" ht="14.25" customHeight="1">
      <c r="A187" s="63"/>
      <c r="B187" s="63"/>
      <c r="C187" s="33"/>
      <c r="D187" s="63"/>
      <c r="E187" s="31"/>
      <c r="F187" s="31"/>
      <c r="G187" s="31"/>
      <c r="H187" s="31"/>
      <c r="I187" s="31"/>
      <c r="J187" s="31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</row>
    <row r="188" ht="14.25" customHeight="1">
      <c r="A188" s="63"/>
      <c r="B188" s="63"/>
      <c r="C188" s="33"/>
      <c r="D188" s="63"/>
      <c r="E188" s="31"/>
      <c r="F188" s="31"/>
      <c r="G188" s="31"/>
      <c r="H188" s="31"/>
      <c r="I188" s="31"/>
      <c r="J188" s="31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</row>
    <row r="189" ht="14.25" customHeight="1">
      <c r="A189" s="63"/>
      <c r="B189" s="63"/>
      <c r="C189" s="33"/>
      <c r="D189" s="63"/>
      <c r="E189" s="31"/>
      <c r="F189" s="31"/>
      <c r="G189" s="31"/>
      <c r="H189" s="31"/>
      <c r="I189" s="31"/>
      <c r="J189" s="31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</row>
    <row r="190" ht="14.25" customHeight="1">
      <c r="A190" s="63"/>
      <c r="B190" s="63"/>
      <c r="C190" s="33"/>
      <c r="D190" s="63"/>
      <c r="E190" s="31"/>
      <c r="F190" s="31"/>
      <c r="G190" s="31"/>
      <c r="H190" s="31"/>
      <c r="I190" s="31"/>
      <c r="J190" s="31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</row>
    <row r="191" ht="14.25" customHeight="1">
      <c r="A191" s="63"/>
      <c r="B191" s="63"/>
      <c r="C191" s="33"/>
      <c r="D191" s="63"/>
      <c r="E191" s="31"/>
      <c r="F191" s="31"/>
      <c r="G191" s="31"/>
      <c r="H191" s="31"/>
      <c r="I191" s="31"/>
      <c r="J191" s="31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</row>
    <row r="192" ht="14.25" customHeight="1">
      <c r="A192" s="63"/>
      <c r="B192" s="63"/>
      <c r="C192" s="33"/>
      <c r="D192" s="63"/>
      <c r="E192" s="31"/>
      <c r="F192" s="31"/>
      <c r="G192" s="31"/>
      <c r="H192" s="31"/>
      <c r="I192" s="31"/>
      <c r="J192" s="31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</row>
    <row r="193" ht="14.25" customHeight="1">
      <c r="A193" s="63"/>
      <c r="B193" s="63"/>
      <c r="C193" s="33"/>
      <c r="D193" s="63"/>
      <c r="E193" s="31"/>
      <c r="F193" s="31"/>
      <c r="G193" s="31"/>
      <c r="H193" s="31"/>
      <c r="I193" s="31"/>
      <c r="J193" s="31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</row>
    <row r="194" ht="14.25" customHeight="1">
      <c r="A194" s="63"/>
      <c r="B194" s="63"/>
      <c r="C194" s="33"/>
      <c r="D194" s="63"/>
      <c r="E194" s="31"/>
      <c r="F194" s="31"/>
      <c r="G194" s="31"/>
      <c r="H194" s="31"/>
      <c r="I194" s="31"/>
      <c r="J194" s="31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</row>
    <row r="195" ht="14.25" customHeight="1">
      <c r="A195" s="63"/>
      <c r="B195" s="63"/>
      <c r="C195" s="33"/>
      <c r="D195" s="63"/>
      <c r="E195" s="31"/>
      <c r="F195" s="31"/>
      <c r="G195" s="31"/>
      <c r="H195" s="31"/>
      <c r="I195" s="31"/>
      <c r="J195" s="31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</row>
    <row r="196" ht="14.25" customHeight="1">
      <c r="A196" s="63"/>
      <c r="B196" s="63"/>
      <c r="C196" s="33"/>
      <c r="D196" s="63"/>
      <c r="E196" s="31"/>
      <c r="F196" s="31"/>
      <c r="G196" s="31"/>
      <c r="H196" s="31"/>
      <c r="I196" s="31"/>
      <c r="J196" s="31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</row>
    <row r="197" ht="14.25" customHeight="1">
      <c r="A197" s="63"/>
      <c r="B197" s="63"/>
      <c r="C197" s="33"/>
      <c r="D197" s="63"/>
      <c r="E197" s="31"/>
      <c r="F197" s="31"/>
      <c r="G197" s="31"/>
      <c r="H197" s="31"/>
      <c r="I197" s="31"/>
      <c r="J197" s="31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</row>
    <row r="198" ht="14.25" customHeight="1">
      <c r="A198" s="63"/>
      <c r="B198" s="63"/>
      <c r="C198" s="33"/>
      <c r="D198" s="63"/>
      <c r="E198" s="31"/>
      <c r="F198" s="31"/>
      <c r="G198" s="31"/>
      <c r="H198" s="31"/>
      <c r="I198" s="31"/>
      <c r="J198" s="31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</row>
    <row r="199" ht="14.25" customHeight="1">
      <c r="A199" s="63"/>
      <c r="B199" s="63"/>
      <c r="C199" s="33"/>
      <c r="D199" s="63"/>
      <c r="E199" s="31"/>
      <c r="F199" s="31"/>
      <c r="G199" s="31"/>
      <c r="H199" s="31"/>
      <c r="I199" s="31"/>
      <c r="J199" s="31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</row>
    <row r="200" ht="14.25" customHeight="1">
      <c r="A200" s="63"/>
      <c r="B200" s="63"/>
      <c r="C200" s="33"/>
      <c r="D200" s="63"/>
      <c r="E200" s="31"/>
      <c r="F200" s="31"/>
      <c r="G200" s="31"/>
      <c r="H200" s="31"/>
      <c r="I200" s="31"/>
      <c r="J200" s="31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</row>
    <row r="201" ht="14.25" customHeight="1">
      <c r="A201" s="63"/>
      <c r="B201" s="63"/>
      <c r="C201" s="33"/>
      <c r="D201" s="63"/>
      <c r="E201" s="31"/>
      <c r="F201" s="31"/>
      <c r="G201" s="31"/>
      <c r="H201" s="31"/>
      <c r="I201" s="31"/>
      <c r="J201" s="31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</row>
    <row r="202" ht="14.25" customHeight="1">
      <c r="A202" s="63"/>
      <c r="B202" s="63"/>
      <c r="C202" s="33"/>
      <c r="D202" s="63"/>
      <c r="E202" s="31"/>
      <c r="F202" s="31"/>
      <c r="G202" s="31"/>
      <c r="H202" s="31"/>
      <c r="I202" s="31"/>
      <c r="J202" s="31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</row>
    <row r="203" ht="14.25" customHeight="1">
      <c r="A203" s="63"/>
      <c r="B203" s="63"/>
      <c r="C203" s="33"/>
      <c r="D203" s="63"/>
      <c r="E203" s="31"/>
      <c r="F203" s="31"/>
      <c r="G203" s="31"/>
      <c r="H203" s="31"/>
      <c r="I203" s="31"/>
      <c r="J203" s="31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</row>
    <row r="204" ht="14.25" customHeight="1">
      <c r="A204" s="63"/>
      <c r="B204" s="63"/>
      <c r="C204" s="33"/>
      <c r="D204" s="63"/>
      <c r="E204" s="31"/>
      <c r="F204" s="31"/>
      <c r="G204" s="31"/>
      <c r="H204" s="31"/>
      <c r="I204" s="31"/>
      <c r="J204" s="31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</row>
    <row r="205" ht="14.25" customHeight="1">
      <c r="A205" s="63"/>
      <c r="B205" s="63"/>
      <c r="C205" s="33"/>
      <c r="D205" s="63"/>
      <c r="E205" s="31"/>
      <c r="F205" s="31"/>
      <c r="G205" s="31"/>
      <c r="H205" s="31"/>
      <c r="I205" s="31"/>
      <c r="J205" s="31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</row>
    <row r="206" ht="14.25" customHeight="1">
      <c r="A206" s="63"/>
      <c r="B206" s="63"/>
      <c r="C206" s="33"/>
      <c r="D206" s="63"/>
      <c r="E206" s="31"/>
      <c r="F206" s="31"/>
      <c r="G206" s="31"/>
      <c r="H206" s="31"/>
      <c r="I206" s="31"/>
      <c r="J206" s="31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</row>
    <row r="207" ht="14.25" customHeight="1">
      <c r="A207" s="63"/>
      <c r="B207" s="63"/>
      <c r="C207" s="33"/>
      <c r="D207" s="63"/>
      <c r="E207" s="31"/>
      <c r="F207" s="31"/>
      <c r="G207" s="31"/>
      <c r="H207" s="31"/>
      <c r="I207" s="31"/>
      <c r="J207" s="31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</row>
    <row r="208" ht="14.25" customHeight="1">
      <c r="A208" s="63"/>
      <c r="B208" s="63"/>
      <c r="C208" s="33"/>
      <c r="D208" s="63"/>
      <c r="E208" s="31"/>
      <c r="F208" s="31"/>
      <c r="G208" s="31"/>
      <c r="H208" s="31"/>
      <c r="I208" s="31"/>
      <c r="J208" s="31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</row>
    <row r="209" ht="14.25" customHeight="1">
      <c r="A209" s="63"/>
      <c r="B209" s="63"/>
      <c r="C209" s="33"/>
      <c r="D209" s="63"/>
      <c r="E209" s="31"/>
      <c r="F209" s="31"/>
      <c r="G209" s="31"/>
      <c r="H209" s="31"/>
      <c r="I209" s="31"/>
      <c r="J209" s="31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</row>
    <row r="210" ht="14.25" customHeight="1">
      <c r="A210" s="63"/>
      <c r="B210" s="63"/>
      <c r="C210" s="33"/>
      <c r="D210" s="63"/>
      <c r="E210" s="31"/>
      <c r="F210" s="31"/>
      <c r="G210" s="31"/>
      <c r="H210" s="31"/>
      <c r="I210" s="31"/>
      <c r="J210" s="31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ht="14.25" customHeight="1">
      <c r="A211" s="63"/>
      <c r="B211" s="63"/>
      <c r="C211" s="33"/>
      <c r="D211" s="63"/>
      <c r="E211" s="31"/>
      <c r="F211" s="31"/>
      <c r="G211" s="31"/>
      <c r="H211" s="31"/>
      <c r="I211" s="31"/>
      <c r="J211" s="31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</row>
    <row r="212" ht="14.25" customHeight="1">
      <c r="A212" s="63"/>
      <c r="B212" s="63"/>
      <c r="C212" s="33"/>
      <c r="D212" s="63"/>
      <c r="E212" s="31"/>
      <c r="F212" s="31"/>
      <c r="G212" s="31"/>
      <c r="H212" s="31"/>
      <c r="I212" s="31"/>
      <c r="J212" s="31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</row>
    <row r="213" ht="14.25" customHeight="1">
      <c r="A213" s="63"/>
      <c r="B213" s="63"/>
      <c r="C213" s="33"/>
      <c r="D213" s="63"/>
      <c r="E213" s="31"/>
      <c r="F213" s="31"/>
      <c r="G213" s="31"/>
      <c r="H213" s="31"/>
      <c r="I213" s="31"/>
      <c r="J213" s="31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</row>
    <row r="214" ht="14.25" customHeight="1">
      <c r="A214" s="63"/>
      <c r="B214" s="63"/>
      <c r="C214" s="33"/>
      <c r="D214" s="63"/>
      <c r="E214" s="31"/>
      <c r="F214" s="31"/>
      <c r="G214" s="31"/>
      <c r="H214" s="31"/>
      <c r="I214" s="31"/>
      <c r="J214" s="31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</row>
    <row r="215" ht="14.25" customHeight="1">
      <c r="A215" s="63"/>
      <c r="B215" s="63"/>
      <c r="C215" s="33"/>
      <c r="D215" s="63"/>
      <c r="E215" s="31"/>
      <c r="F215" s="31"/>
      <c r="G215" s="31"/>
      <c r="H215" s="31"/>
      <c r="I215" s="31"/>
      <c r="J215" s="31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</row>
    <row r="216" ht="14.25" customHeight="1">
      <c r="A216" s="63"/>
      <c r="B216" s="63"/>
      <c r="C216" s="33"/>
      <c r="D216" s="63"/>
      <c r="E216" s="31"/>
      <c r="F216" s="31"/>
      <c r="G216" s="31"/>
      <c r="H216" s="31"/>
      <c r="I216" s="31"/>
      <c r="J216" s="31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</row>
    <row r="217" ht="14.25" customHeight="1">
      <c r="A217" s="63"/>
      <c r="B217" s="63"/>
      <c r="C217" s="33"/>
      <c r="D217" s="63"/>
      <c r="E217" s="31"/>
      <c r="F217" s="31"/>
      <c r="G217" s="31"/>
      <c r="H217" s="31"/>
      <c r="I217" s="31"/>
      <c r="J217" s="31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</row>
    <row r="218" ht="14.25" customHeight="1">
      <c r="A218" s="63"/>
      <c r="B218" s="63"/>
      <c r="C218" s="33"/>
      <c r="D218" s="63"/>
      <c r="E218" s="31"/>
      <c r="F218" s="31"/>
      <c r="G218" s="31"/>
      <c r="H218" s="31"/>
      <c r="I218" s="31"/>
      <c r="J218" s="31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</row>
    <row r="219" ht="14.25" customHeight="1">
      <c r="A219" s="63"/>
      <c r="B219" s="63"/>
      <c r="C219" s="33"/>
      <c r="D219" s="63"/>
      <c r="E219" s="31"/>
      <c r="F219" s="31"/>
      <c r="G219" s="31"/>
      <c r="H219" s="31"/>
      <c r="I219" s="31"/>
      <c r="J219" s="31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</row>
    <row r="220" ht="14.25" customHeight="1">
      <c r="A220" s="63"/>
      <c r="B220" s="63"/>
      <c r="C220" s="33"/>
      <c r="D220" s="63"/>
      <c r="E220" s="31"/>
      <c r="F220" s="31"/>
      <c r="G220" s="31"/>
      <c r="H220" s="31"/>
      <c r="I220" s="31"/>
      <c r="J220" s="31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</row>
    <row r="221" ht="14.25" customHeight="1">
      <c r="A221" s="63"/>
      <c r="B221" s="63"/>
      <c r="C221" s="33"/>
      <c r="D221" s="63"/>
      <c r="E221" s="31"/>
      <c r="F221" s="31"/>
      <c r="G221" s="31"/>
      <c r="H221" s="31"/>
      <c r="I221" s="31"/>
      <c r="J221" s="31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</row>
    <row r="222" ht="14.25" customHeight="1">
      <c r="A222" s="63"/>
      <c r="B222" s="63"/>
      <c r="C222" s="33"/>
      <c r="D222" s="63"/>
      <c r="E222" s="31"/>
      <c r="F222" s="31"/>
      <c r="G222" s="31"/>
      <c r="H222" s="31"/>
      <c r="I222" s="31"/>
      <c r="J222" s="31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</row>
    <row r="223" ht="14.25" customHeight="1">
      <c r="A223" s="63"/>
      <c r="B223" s="63"/>
      <c r="C223" s="33"/>
      <c r="D223" s="63"/>
      <c r="E223" s="31"/>
      <c r="F223" s="31"/>
      <c r="G223" s="31"/>
      <c r="H223" s="31"/>
      <c r="I223" s="31"/>
      <c r="J223" s="31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</row>
    <row r="224" ht="14.25" customHeight="1">
      <c r="A224" s="63"/>
      <c r="B224" s="63"/>
      <c r="C224" s="33"/>
      <c r="D224" s="63"/>
      <c r="E224" s="31"/>
      <c r="F224" s="31"/>
      <c r="G224" s="31"/>
      <c r="H224" s="31"/>
      <c r="I224" s="31"/>
      <c r="J224" s="31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</row>
    <row r="225" ht="14.25" customHeight="1">
      <c r="A225" s="63"/>
      <c r="B225" s="63"/>
      <c r="C225" s="33"/>
      <c r="D225" s="63"/>
      <c r="E225" s="31"/>
      <c r="F225" s="31"/>
      <c r="G225" s="31"/>
      <c r="H225" s="31"/>
      <c r="I225" s="31"/>
      <c r="J225" s="31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</row>
    <row r="226" ht="14.25" customHeight="1">
      <c r="A226" s="63"/>
      <c r="B226" s="63"/>
      <c r="C226" s="33"/>
      <c r="D226" s="63"/>
      <c r="E226" s="31"/>
      <c r="F226" s="31"/>
      <c r="G226" s="31"/>
      <c r="H226" s="31"/>
      <c r="I226" s="31"/>
      <c r="J226" s="31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ht="14.25" customHeight="1">
      <c r="A227" s="63"/>
      <c r="B227" s="63"/>
      <c r="C227" s="33"/>
      <c r="D227" s="63"/>
      <c r="E227" s="31"/>
      <c r="F227" s="31"/>
      <c r="G227" s="31"/>
      <c r="H227" s="31"/>
      <c r="I227" s="31"/>
      <c r="J227" s="31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ht="14.25" customHeight="1">
      <c r="A228" s="63"/>
      <c r="B228" s="63"/>
      <c r="C228" s="33"/>
      <c r="D228" s="63"/>
      <c r="E228" s="31"/>
      <c r="F228" s="31"/>
      <c r="G228" s="31"/>
      <c r="H228" s="31"/>
      <c r="I228" s="31"/>
      <c r="J228" s="31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ht="14.25" customHeight="1">
      <c r="A229" s="63"/>
      <c r="B229" s="63"/>
      <c r="C229" s="33"/>
      <c r="D229" s="63"/>
      <c r="E229" s="31"/>
      <c r="F229" s="31"/>
      <c r="G229" s="31"/>
      <c r="H229" s="31"/>
      <c r="I229" s="31"/>
      <c r="J229" s="31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ht="14.25" customHeight="1">
      <c r="A230" s="63"/>
      <c r="B230" s="63"/>
      <c r="C230" s="33"/>
      <c r="D230" s="63"/>
      <c r="E230" s="31"/>
      <c r="F230" s="31"/>
      <c r="G230" s="31"/>
      <c r="H230" s="31"/>
      <c r="I230" s="31"/>
      <c r="J230" s="31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ht="14.25" customHeight="1">
      <c r="A231" s="63"/>
      <c r="B231" s="63"/>
      <c r="C231" s="33"/>
      <c r="D231" s="63"/>
      <c r="E231" s="31"/>
      <c r="F231" s="31"/>
      <c r="G231" s="31"/>
      <c r="H231" s="31"/>
      <c r="I231" s="31"/>
      <c r="J231" s="31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ht="14.25" customHeight="1">
      <c r="A232" s="63"/>
      <c r="B232" s="63"/>
      <c r="C232" s="33"/>
      <c r="D232" s="63"/>
      <c r="E232" s="31"/>
      <c r="F232" s="31"/>
      <c r="G232" s="31"/>
      <c r="H232" s="31"/>
      <c r="I232" s="31"/>
      <c r="J232" s="31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</row>
    <row r="233" ht="14.25" customHeight="1">
      <c r="A233" s="63"/>
      <c r="B233" s="63"/>
      <c r="C233" s="33"/>
      <c r="D233" s="63"/>
      <c r="E233" s="31"/>
      <c r="F233" s="31"/>
      <c r="G233" s="31"/>
      <c r="H233" s="31"/>
      <c r="I233" s="31"/>
      <c r="J233" s="31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</row>
    <row r="234" ht="14.25" customHeight="1">
      <c r="A234" s="63"/>
      <c r="B234" s="63"/>
      <c r="C234" s="33"/>
      <c r="D234" s="63"/>
      <c r="E234" s="31"/>
      <c r="F234" s="31"/>
      <c r="G234" s="31"/>
      <c r="H234" s="31"/>
      <c r="I234" s="31"/>
      <c r="J234" s="31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</row>
    <row r="235" ht="14.25" customHeight="1">
      <c r="A235" s="63"/>
      <c r="B235" s="63"/>
      <c r="C235" s="33"/>
      <c r="D235" s="63"/>
      <c r="E235" s="31"/>
      <c r="F235" s="31"/>
      <c r="G235" s="31"/>
      <c r="H235" s="31"/>
      <c r="I235" s="31"/>
      <c r="J235" s="31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</row>
    <row r="236" ht="14.25" customHeight="1">
      <c r="A236" s="63"/>
      <c r="B236" s="63"/>
      <c r="C236" s="33"/>
      <c r="D236" s="63"/>
      <c r="E236" s="31"/>
      <c r="F236" s="31"/>
      <c r="G236" s="31"/>
      <c r="H236" s="31"/>
      <c r="I236" s="31"/>
      <c r="J236" s="31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</row>
    <row r="237" ht="14.25" customHeight="1">
      <c r="A237" s="63"/>
      <c r="B237" s="63"/>
      <c r="C237" s="33"/>
      <c r="D237" s="63"/>
      <c r="E237" s="31"/>
      <c r="F237" s="31"/>
      <c r="G237" s="31"/>
      <c r="H237" s="31"/>
      <c r="I237" s="31"/>
      <c r="J237" s="31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</row>
    <row r="238" ht="14.25" customHeight="1">
      <c r="A238" s="63"/>
      <c r="B238" s="63"/>
      <c r="C238" s="33"/>
      <c r="D238" s="63"/>
      <c r="E238" s="31"/>
      <c r="F238" s="31"/>
      <c r="G238" s="31"/>
      <c r="H238" s="31"/>
      <c r="I238" s="31"/>
      <c r="J238" s="31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</row>
    <row r="239" ht="14.25" customHeight="1">
      <c r="A239" s="63"/>
      <c r="B239" s="63"/>
      <c r="C239" s="33"/>
      <c r="D239" s="63"/>
      <c r="E239" s="31"/>
      <c r="F239" s="31"/>
      <c r="G239" s="31"/>
      <c r="H239" s="31"/>
      <c r="I239" s="31"/>
      <c r="J239" s="31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</row>
    <row r="240" ht="14.25" customHeight="1">
      <c r="A240" s="63"/>
      <c r="B240" s="63"/>
      <c r="C240" s="33"/>
      <c r="D240" s="63"/>
      <c r="E240" s="31"/>
      <c r="F240" s="31"/>
      <c r="G240" s="31"/>
      <c r="H240" s="31"/>
      <c r="I240" s="31"/>
      <c r="J240" s="31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</row>
    <row r="241" ht="14.25" customHeight="1">
      <c r="A241" s="63"/>
      <c r="B241" s="63"/>
      <c r="C241" s="33"/>
      <c r="D241" s="63"/>
      <c r="E241" s="31"/>
      <c r="F241" s="31"/>
      <c r="G241" s="31"/>
      <c r="H241" s="31"/>
      <c r="I241" s="31"/>
      <c r="J241" s="31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</row>
    <row r="242" ht="14.25" customHeight="1">
      <c r="A242" s="63"/>
      <c r="B242" s="63"/>
      <c r="C242" s="33"/>
      <c r="D242" s="63"/>
      <c r="E242" s="31"/>
      <c r="F242" s="31"/>
      <c r="G242" s="31"/>
      <c r="H242" s="31"/>
      <c r="I242" s="31"/>
      <c r="J242" s="31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</row>
    <row r="243" ht="14.25" customHeight="1">
      <c r="A243" s="63"/>
      <c r="B243" s="63"/>
      <c r="C243" s="33"/>
      <c r="D243" s="63"/>
      <c r="E243" s="31"/>
      <c r="F243" s="31"/>
      <c r="G243" s="31"/>
      <c r="H243" s="31"/>
      <c r="I243" s="31"/>
      <c r="J243" s="31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</row>
    <row r="244" ht="14.25" customHeight="1">
      <c r="A244" s="63"/>
      <c r="B244" s="63"/>
      <c r="C244" s="33"/>
      <c r="D244" s="63"/>
      <c r="E244" s="31"/>
      <c r="F244" s="31"/>
      <c r="G244" s="31"/>
      <c r="H244" s="31"/>
      <c r="I244" s="31"/>
      <c r="J244" s="31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</row>
    <row r="245" ht="14.25" customHeight="1">
      <c r="A245" s="63"/>
      <c r="B245" s="63"/>
      <c r="C245" s="33"/>
      <c r="D245" s="63"/>
      <c r="E245" s="31"/>
      <c r="F245" s="31"/>
      <c r="G245" s="31"/>
      <c r="H245" s="31"/>
      <c r="I245" s="31"/>
      <c r="J245" s="31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</row>
    <row r="246" ht="14.25" customHeight="1">
      <c r="A246" s="63"/>
      <c r="B246" s="63"/>
      <c r="C246" s="33"/>
      <c r="D246" s="63"/>
      <c r="E246" s="31"/>
      <c r="F246" s="31"/>
      <c r="G246" s="31"/>
      <c r="H246" s="31"/>
      <c r="I246" s="31"/>
      <c r="J246" s="31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</row>
    <row r="247" ht="14.25" customHeight="1">
      <c r="A247" s="63"/>
      <c r="B247" s="63"/>
      <c r="C247" s="33"/>
      <c r="D247" s="63"/>
      <c r="E247" s="31"/>
      <c r="F247" s="31"/>
      <c r="G247" s="31"/>
      <c r="H247" s="31"/>
      <c r="I247" s="31"/>
      <c r="J247" s="31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</row>
    <row r="248" ht="14.25" customHeight="1">
      <c r="A248" s="63"/>
      <c r="B248" s="63"/>
      <c r="C248" s="33"/>
      <c r="D248" s="63"/>
      <c r="E248" s="31"/>
      <c r="F248" s="31"/>
      <c r="G248" s="31"/>
      <c r="H248" s="31"/>
      <c r="I248" s="31"/>
      <c r="J248" s="31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</row>
    <row r="249" ht="14.25" customHeight="1">
      <c r="A249" s="63"/>
      <c r="B249" s="63"/>
      <c r="C249" s="33"/>
      <c r="D249" s="63"/>
      <c r="E249" s="31"/>
      <c r="F249" s="31"/>
      <c r="G249" s="31"/>
      <c r="H249" s="31"/>
      <c r="I249" s="31"/>
      <c r="J249" s="31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</row>
    <row r="250" ht="14.25" customHeight="1">
      <c r="A250" s="63"/>
      <c r="B250" s="63"/>
      <c r="C250" s="33"/>
      <c r="D250" s="63"/>
      <c r="E250" s="31"/>
      <c r="F250" s="31"/>
      <c r="G250" s="31"/>
      <c r="H250" s="31"/>
      <c r="I250" s="31"/>
      <c r="J250" s="31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</row>
    <row r="251" ht="14.25" customHeight="1">
      <c r="A251" s="63"/>
      <c r="B251" s="63"/>
      <c r="C251" s="33"/>
      <c r="D251" s="63"/>
      <c r="E251" s="31"/>
      <c r="F251" s="31"/>
      <c r="G251" s="31"/>
      <c r="H251" s="31"/>
      <c r="I251" s="31"/>
      <c r="J251" s="31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</row>
    <row r="252" ht="14.25" customHeight="1">
      <c r="A252" s="63"/>
      <c r="B252" s="63"/>
      <c r="C252" s="33"/>
      <c r="D252" s="63"/>
      <c r="E252" s="31"/>
      <c r="F252" s="31"/>
      <c r="G252" s="31"/>
      <c r="H252" s="31"/>
      <c r="I252" s="31"/>
      <c r="J252" s="31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</row>
    <row r="253" ht="14.25" customHeight="1">
      <c r="A253" s="63"/>
      <c r="B253" s="63"/>
      <c r="C253" s="33"/>
      <c r="D253" s="63"/>
      <c r="E253" s="31"/>
      <c r="F253" s="31"/>
      <c r="G253" s="31"/>
      <c r="H253" s="31"/>
      <c r="I253" s="31"/>
      <c r="J253" s="31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</row>
    <row r="254" ht="14.25" customHeight="1">
      <c r="A254" s="63"/>
      <c r="B254" s="63"/>
      <c r="C254" s="33"/>
      <c r="D254" s="63"/>
      <c r="E254" s="31"/>
      <c r="F254" s="31"/>
      <c r="G254" s="31"/>
      <c r="H254" s="31"/>
      <c r="I254" s="31"/>
      <c r="J254" s="31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</row>
    <row r="255" ht="14.25" customHeight="1">
      <c r="A255" s="63"/>
      <c r="B255" s="63"/>
      <c r="C255" s="33"/>
      <c r="D255" s="63"/>
      <c r="E255" s="31"/>
      <c r="F255" s="31"/>
      <c r="G255" s="31"/>
      <c r="H255" s="31"/>
      <c r="I255" s="31"/>
      <c r="J255" s="31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</row>
    <row r="256" ht="14.25" customHeight="1">
      <c r="A256" s="63"/>
      <c r="B256" s="63"/>
      <c r="C256" s="33"/>
      <c r="D256" s="63"/>
      <c r="E256" s="31"/>
      <c r="F256" s="31"/>
      <c r="G256" s="31"/>
      <c r="H256" s="31"/>
      <c r="I256" s="31"/>
      <c r="J256" s="31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</row>
    <row r="257" ht="14.25" customHeight="1">
      <c r="A257" s="63"/>
      <c r="B257" s="63"/>
      <c r="C257" s="33"/>
      <c r="D257" s="63"/>
      <c r="E257" s="31"/>
      <c r="F257" s="31"/>
      <c r="G257" s="31"/>
      <c r="H257" s="31"/>
      <c r="I257" s="31"/>
      <c r="J257" s="31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</row>
    <row r="258" ht="14.25" customHeight="1">
      <c r="A258" s="63"/>
      <c r="B258" s="63"/>
      <c r="C258" s="33"/>
      <c r="D258" s="63"/>
      <c r="E258" s="31"/>
      <c r="F258" s="31"/>
      <c r="G258" s="31"/>
      <c r="H258" s="31"/>
      <c r="I258" s="31"/>
      <c r="J258" s="31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</row>
    <row r="259" ht="14.25" customHeight="1">
      <c r="A259" s="63"/>
      <c r="B259" s="63"/>
      <c r="C259" s="33"/>
      <c r="D259" s="63"/>
      <c r="E259" s="31"/>
      <c r="F259" s="31"/>
      <c r="G259" s="31"/>
      <c r="H259" s="31"/>
      <c r="I259" s="31"/>
      <c r="J259" s="31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</row>
    <row r="260" ht="14.25" customHeight="1">
      <c r="A260" s="63"/>
      <c r="B260" s="63"/>
      <c r="C260" s="33"/>
      <c r="D260" s="63"/>
      <c r="E260" s="31"/>
      <c r="F260" s="31"/>
      <c r="G260" s="31"/>
      <c r="H260" s="31"/>
      <c r="I260" s="31"/>
      <c r="J260" s="31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