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</definedNames>
  <calcPr/>
</workbook>
</file>

<file path=xl/sharedStrings.xml><?xml version="1.0" encoding="utf-8"?>
<sst xmlns="http://schemas.openxmlformats.org/spreadsheetml/2006/main" count="4212" uniqueCount="1384">
  <si>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</si>
  <si>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</si>
  <si>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</si>
  <si>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</si>
  <si>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</si>
  <si>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</si>
  <si>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</si>
  <si>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</si>
  <si>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</si>
  <si>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</si>
  <si>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</si>
  <si>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</si>
  <si>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</si>
  <si>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</si>
  <si>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</si>
  <si>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</si>
  <si>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SANDRA MARA SANTOS LEMOS</t>
  </si>
  <si>
    <t>20221.02ADM11N.1N</t>
  </si>
  <si>
    <t>RV.ADM02</t>
  </si>
  <si>
    <t>ÉTICA</t>
  </si>
  <si>
    <t>LORENA AZEVEDO LIMA</t>
  </si>
  <si>
    <t>RV.ADM03</t>
  </si>
  <si>
    <t>CENáRIOS ECONôMICOS E MERCADOS</t>
  </si>
  <si>
    <t>SAMANTHA REZENDE MENDES</t>
  </si>
  <si>
    <t>RV.ADM04</t>
  </si>
  <si>
    <t>SOCIOLOGIA APLICADA à ADMINISTRAçãO</t>
  </si>
  <si>
    <t>EMIVAL DA CUNHA RIBEIRO</t>
  </si>
  <si>
    <t>RV.ADM401</t>
  </si>
  <si>
    <t>GESTãO EMPRESARIAL</t>
  </si>
  <si>
    <t>KENNEDY DE ARAúJO BARBOSA</t>
  </si>
  <si>
    <t>RV.EXA808</t>
  </si>
  <si>
    <t>MATEMáTICA FINANCEIRA</t>
  </si>
  <si>
    <t>RENATO CRUVINEL DE OLIVEIRA</t>
  </si>
  <si>
    <t>RV.HUM824</t>
  </si>
  <si>
    <t>DIREITO</t>
  </si>
  <si>
    <t>RV.ADM09</t>
  </si>
  <si>
    <t>ANáLISE DE CUSTO E FORMAçãO DE PREçOS</t>
  </si>
  <si>
    <t>FLAVIA FARIA LOPES</t>
  </si>
  <si>
    <t>20221.02ADM11N.3N</t>
  </si>
  <si>
    <t>RV.ADM10</t>
  </si>
  <si>
    <t>GESTãO DE PESSOAS</t>
  </si>
  <si>
    <t>RV.ADM11</t>
  </si>
  <si>
    <t>COMéRCIO ELETRôNICO E AUTOMAçãO COMERCIAL</t>
  </si>
  <si>
    <t>JOSé AURELIO VAZQUEZ RUBIO</t>
  </si>
  <si>
    <t>RV.ADM405</t>
  </si>
  <si>
    <t>ADMINISTRAçãO DE RECURSOS MATERIAIS, PATRIMONIAIS E LOGíSTICA</t>
  </si>
  <si>
    <t>RV.ADM413</t>
  </si>
  <si>
    <t>PLANEJAMENTO ESTRATéGICO</t>
  </si>
  <si>
    <t>RV.ADM811</t>
  </si>
  <si>
    <t>ADMINISTRAçãO FINANCEIRA</t>
  </si>
  <si>
    <t>JEAN MARC NACIFE</t>
  </si>
  <si>
    <t>TADMRV33</t>
  </si>
  <si>
    <t>EMPREENDEDORISMO</t>
  </si>
  <si>
    <t>LUCIENE DE OLIVEIRA GUERRA</t>
  </si>
  <si>
    <t>RV.PRO001</t>
  </si>
  <si>
    <t>ARTES</t>
  </si>
  <si>
    <t>WILCIENE NUNES DO VALE</t>
  </si>
  <si>
    <t>20221.02ADM12N.1N</t>
  </si>
  <si>
    <t>RV.PRO003</t>
  </si>
  <si>
    <t>GEOGRAFIA I</t>
  </si>
  <si>
    <t>FERNANDO UHLMANN SOARES</t>
  </si>
  <si>
    <t>RV.PRO004</t>
  </si>
  <si>
    <t>HISTóRIA I</t>
  </si>
  <si>
    <t>RV.PRO025</t>
  </si>
  <si>
    <t>GEOGRAFIA IV</t>
  </si>
  <si>
    <t>20221.02ADM12N.4N</t>
  </si>
  <si>
    <t>RV.PRO14</t>
  </si>
  <si>
    <t>MATEMáTICA V</t>
  </si>
  <si>
    <t>PAULO CARDOZO CARVALHO DE ARAUJO</t>
  </si>
  <si>
    <t>20221.02ADM12N.5N</t>
  </si>
  <si>
    <t>RV.CON817</t>
  </si>
  <si>
    <t>CONTABILIDADE BáSICA</t>
  </si>
  <si>
    <t>20221.02ADM12N.6N</t>
  </si>
  <si>
    <t>RV.PRO031</t>
  </si>
  <si>
    <t>INGLêS II</t>
  </si>
  <si>
    <t>RV.PRO032</t>
  </si>
  <si>
    <t>QUíMICA II</t>
  </si>
  <si>
    <t>GEOVANY ALBINO DE SOUZA</t>
  </si>
  <si>
    <t>RV.PRO029</t>
  </si>
  <si>
    <t>QUíMICA III</t>
  </si>
  <si>
    <t>LUISMAR DE PAULA SOUZA</t>
  </si>
  <si>
    <t>20221.02ADM12N.7N</t>
  </si>
  <si>
    <t>RV.PRO030</t>
  </si>
  <si>
    <t>PORTUGUêS IV</t>
  </si>
  <si>
    <t>GRAD.ADM.CO.04</t>
  </si>
  <si>
    <t>COMPORTAMENTO ORGANIZACIONAL</t>
  </si>
  <si>
    <t>CARLOS ANTONIO CARDOSO SOBRINHO</t>
  </si>
  <si>
    <t>20221.02ADM20N.1N</t>
  </si>
  <si>
    <t>GRAD.ADM.EGP.03</t>
  </si>
  <si>
    <t>ÉTICA GERAL E PROFISSIONAL</t>
  </si>
  <si>
    <t>GRAD.ADM.LPCC.05</t>
  </si>
  <si>
    <t>LíNGUA PORTUGUESA E CORRESPONDêNCIA COMERCIAL</t>
  </si>
  <si>
    <t>GRAD.ADM.MCF.01</t>
  </si>
  <si>
    <t>MATEMáTICA COMERCIAL E FINANCEIRA</t>
  </si>
  <si>
    <t>IDALCI CRUVINEL DOS REIS</t>
  </si>
  <si>
    <t>GRAD.ADM.TGA-I.02</t>
  </si>
  <si>
    <t>TEORIA GERAL DA ADMINISTRAçãO I</t>
  </si>
  <si>
    <t>GRAD.ADM.CONT.11</t>
  </si>
  <si>
    <t>CONTABILIDADE</t>
  </si>
  <si>
    <t>20221.02ADM20N.3N</t>
  </si>
  <si>
    <t>GRAD.ADM.DLE.09</t>
  </si>
  <si>
    <t>DIREITO E LEGISLAçãO EMPRESARIAL</t>
  </si>
  <si>
    <t>MáRCIA CRISTINA PUYDINGER DE FAZIO</t>
  </si>
  <si>
    <t>GRAD.ADM.GP-II.10</t>
  </si>
  <si>
    <t>GESTãO DE PESSOAS II</t>
  </si>
  <si>
    <t>HAIHANI SILVA PASSOS</t>
  </si>
  <si>
    <t>GRAD.ADM.SO.12</t>
  </si>
  <si>
    <t>SOCIOLOGIA ORGANIZACIONAL</t>
  </si>
  <si>
    <t>GRAD.ECOBRAS.01</t>
  </si>
  <si>
    <t>ECONOMIA BRASILEIRA</t>
  </si>
  <si>
    <t>ROGéRIO ANTôNIO MAURO</t>
  </si>
  <si>
    <t>GRAD.ADM.AP.19</t>
  </si>
  <si>
    <t>ADMINISTRAçãO DA PRODUçãO</t>
  </si>
  <si>
    <t>WENDERSON SOUSA FERREIRA</t>
  </si>
  <si>
    <t>20221.02ADM20N.5N</t>
  </si>
  <si>
    <t>GRAD.ADM.DT.18</t>
  </si>
  <si>
    <t>DIREITO TRABALHISTA</t>
  </si>
  <si>
    <t>GRAD.ADM.LOGIST.21</t>
  </si>
  <si>
    <t>LOGíSTICA</t>
  </si>
  <si>
    <t>GRAD.ADM.MARK-II.20</t>
  </si>
  <si>
    <t>MARKETING II</t>
  </si>
  <si>
    <t>GRAD.GESTAGRO.01</t>
  </si>
  <si>
    <t>GESTãO AGROINDUSTRIAL</t>
  </si>
  <si>
    <t>GRAD.ADM.ADF.29</t>
  </si>
  <si>
    <t>ANáLISE DAS DEMONSTRAçõES FINANCEIRAS</t>
  </si>
  <si>
    <t>FRANKCIONE BORGES DE ALMEIDA</t>
  </si>
  <si>
    <t>20221.02ADM20N.7N</t>
  </si>
  <si>
    <t>GRAD.ADM.APME.27</t>
  </si>
  <si>
    <t>ADMINISTRAçãO DE PEQUENAS E MéDIAS EMPRESAS</t>
  </si>
  <si>
    <t>GRAD.ADM.EAP.26</t>
  </si>
  <si>
    <t>ELABORAçãO E ADMINISTRAçãO DE PROJETOS</t>
  </si>
  <si>
    <t>MARCO ANTONIO HARMS DIAS</t>
  </si>
  <si>
    <t>GRAD.ADM.JE.28</t>
  </si>
  <si>
    <t>JOGOS EMPRESARIAIS</t>
  </si>
  <si>
    <t>GRAD.MERCCAP.01</t>
  </si>
  <si>
    <t>MERCADO DE CAPITAIS</t>
  </si>
  <si>
    <t>RV.TCC212</t>
  </si>
  <si>
    <t>TRABALHO DE CURSO I</t>
  </si>
  <si>
    <t>20221.02AGN21N.6N</t>
  </si>
  <si>
    <t>RV.TCC213</t>
  </si>
  <si>
    <t>TRABALHO DE CURSO II</t>
  </si>
  <si>
    <t>RV.EXA224</t>
  </si>
  <si>
    <t>MATEMáTICA APLICADA</t>
  </si>
  <si>
    <t>LUCAS FRANCO DE ASSIS</t>
  </si>
  <si>
    <t>20221.02AGP11M.1M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</si>
  <si>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</si>
  <si>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</si>
  <si>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</si>
  <si>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</si>
  <si>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</si>
  <si>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</si>
  <si>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</si>
  <si>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</si>
  <si>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MILTON BERNARDES FERREIRA</t>
  </si>
  <si>
    <t>RV.TAG503</t>
  </si>
  <si>
    <t>MECANIZAçãO AGRíCOLA</t>
  </si>
  <si>
    <t>GILBERTO COLODRO</t>
  </si>
  <si>
    <t>RV.TAG001</t>
  </si>
  <si>
    <t>ARMAZENAMENTO DE GRãOS</t>
  </si>
  <si>
    <t>JOSé WESELLI DE Sá ANDRADE</t>
  </si>
  <si>
    <t>20221.02AGP11M.3M</t>
  </si>
  <si>
    <t>RV.TAG002</t>
  </si>
  <si>
    <t>CULTURAS ANUAIS I</t>
  </si>
  <si>
    <t>RV.TAG010</t>
  </si>
  <si>
    <t>FORRAGICULTURA</t>
  </si>
  <si>
    <t>DARLIANE DE CASTRO SANTOS</t>
  </si>
  <si>
    <t>RV.TAG011</t>
  </si>
  <si>
    <t>SUINOCULTURA</t>
  </si>
  <si>
    <t>TIAGO PEREIRA GUIMARãES</t>
  </si>
  <si>
    <t>RV.TAG012</t>
  </si>
  <si>
    <t>PROTEçãO DE PLANTAS</t>
  </si>
  <si>
    <t>RAFAEL MARQUES PEREIRA LEAL</t>
  </si>
  <si>
    <t>RV.TAG506</t>
  </si>
  <si>
    <t>TOPOGRAFIA</t>
  </si>
  <si>
    <t>DAVID VIEIRA LIMA</t>
  </si>
  <si>
    <t>20221.02AGP11V.1V</t>
  </si>
  <si>
    <t>20221.02AGP11V.3V</t>
  </si>
  <si>
    <t>LEONARDO DE CASTRO SANTOS</t>
  </si>
  <si>
    <t>GRAD.AA.01</t>
  </si>
  <si>
    <t>ADUBOS E ADUBAçãO</t>
  </si>
  <si>
    <t>CARLOS RIBEIRO RODRIGUES</t>
  </si>
  <si>
    <t>20221.02AGR20I.10MV</t>
  </si>
  <si>
    <t>GRAD.AP.02</t>
  </si>
  <si>
    <t>AGRICULTURA DE PRECISãO</t>
  </si>
  <si>
    <t>JOSé MILTON ALVES</t>
  </si>
  <si>
    <t>GRAD.FLORIC.01</t>
  </si>
  <si>
    <t>FLORICULTURA</t>
  </si>
  <si>
    <t>ANíSIO CORREA DA ROCHA</t>
  </si>
  <si>
    <t>GRAD.RAD.01</t>
  </si>
  <si>
    <t>RECUPERAçãO DE ÁREAS DEGRADADAS</t>
  </si>
  <si>
    <t>GRAD.BC.12</t>
  </si>
  <si>
    <t>BIOLOGIA CELULAR</t>
  </si>
  <si>
    <t>PABLO DIEGO SILVA CABRAL</t>
  </si>
  <si>
    <t>20221.02AGR20I.1MV</t>
  </si>
  <si>
    <t>GRAD.CDI.01</t>
  </si>
  <si>
    <t>CáLCULO DIFERENCIAL E INTEGRAL I</t>
  </si>
  <si>
    <t>GRAD.DT.01</t>
  </si>
  <si>
    <t>DESENHO TéCNICO</t>
  </si>
  <si>
    <t>GUILHERME GOMES OLIVEIRA</t>
  </si>
  <si>
    <t>GRAD.EG.07</t>
  </si>
  <si>
    <t>ECOLOGIA GERAL</t>
  </si>
  <si>
    <t>HIPóLITO TADEU FERREIRA DA SILVA</t>
  </si>
  <si>
    <t>GRAD.IA.07</t>
  </si>
  <si>
    <t>INTRODUçãO à AGRONOMIA</t>
  </si>
  <si>
    <t>FERNANDO HIGINO DE LIMA E SILVA</t>
  </si>
  <si>
    <t>GRAD.MC.01</t>
  </si>
  <si>
    <t>METODOLOGIA CIENTíFICA</t>
  </si>
  <si>
    <t>EDNALVA PATRíCIA DE ANDRADE SILVA</t>
  </si>
  <si>
    <t>GRAD.QG.01</t>
  </si>
  <si>
    <t>QUíMICA GERAL</t>
  </si>
  <si>
    <t>SUBSTITUTO 1</t>
  </si>
  <si>
    <t>GRAD.EB.01</t>
  </si>
  <si>
    <t>ESTATíSTICA BáSICA</t>
  </si>
  <si>
    <t>20221.02AGR20I.2MV</t>
  </si>
  <si>
    <t>GRAD.F.01</t>
  </si>
  <si>
    <t>FíSICA</t>
  </si>
  <si>
    <t>TIAGO CLARIMUNDO RAMOS</t>
  </si>
  <si>
    <t>GRAD.GMS.01</t>
  </si>
  <si>
    <t>GêNESE E MORFOLOGIA DO SOLO</t>
  </si>
  <si>
    <t>GRAD.M.01</t>
  </si>
  <si>
    <t>MICROBIOLOGIA</t>
  </si>
  <si>
    <t>EDSON LUIZ SOUCHIE</t>
  </si>
  <si>
    <t>GRAD.OSV.01</t>
  </si>
  <si>
    <t>ORGANOGRAFIA E SISTEMáTICA VEGETAL</t>
  </si>
  <si>
    <t>GISELE CRISTINA DE OLIVEIRA MENINO</t>
  </si>
  <si>
    <t>GRAD.QO.01</t>
  </si>
  <si>
    <t>QUíMICA ORGâNICA</t>
  </si>
  <si>
    <t>CASSIA CRISTINA FERNANDES ALVES</t>
  </si>
  <si>
    <t>GRAD.AV.1</t>
  </si>
  <si>
    <t>ANATOMIA VEGETAL</t>
  </si>
  <si>
    <t>SEBASTIãO CARVALHO VASCONCELOS FILHO</t>
  </si>
  <si>
    <t>20221.02AGR20I.3MV</t>
  </si>
  <si>
    <t>GRAD.EE.01</t>
  </si>
  <si>
    <t>ESTATíSTICA EXPERIMENTAL</t>
  </si>
  <si>
    <t>AURELIO RUBIO NETO</t>
  </si>
  <si>
    <t>GRAD.EG.05</t>
  </si>
  <si>
    <t>ENTOMOLOGIA GERAL</t>
  </si>
  <si>
    <t>TAVVS MICAEL ALVES</t>
  </si>
  <si>
    <t>GRAD.FS.01</t>
  </si>
  <si>
    <t>FíSICA DO SOLO</t>
  </si>
  <si>
    <t>EDUARDO DA COSTA SEVERIANO</t>
  </si>
  <si>
    <t>GRAD.MA.1</t>
  </si>
  <si>
    <t>MICROBIOLOGIA AGRíCOLA</t>
  </si>
  <si>
    <t>GRAD.QA.01</t>
  </si>
  <si>
    <t>QUíMICA ANALíTICA</t>
  </si>
  <si>
    <t>GRAD.T.01</t>
  </si>
  <si>
    <t>TOPOGRAFIA - PLANIMETRIA</t>
  </si>
  <si>
    <t>GRAD.BB.01</t>
  </si>
  <si>
    <t>BIOQUíMICA BáSICA</t>
  </si>
  <si>
    <t>FLAVIA DE FIGUEIREDO MACHADO</t>
  </si>
  <si>
    <t>20221.02AGR20I.4MV</t>
  </si>
  <si>
    <t>GRAD.CLS.01</t>
  </si>
  <si>
    <t>CLASSIFICAçãO E LEVANTAMENTO DO SOLO</t>
  </si>
  <si>
    <t>GRAD.EA.31</t>
  </si>
  <si>
    <t>ENTOMOLOGIA AGRíCOLA</t>
  </si>
  <si>
    <t>PABLO DA COSTA GONTIJO</t>
  </si>
  <si>
    <t>GRAD.FS.02</t>
  </si>
  <si>
    <t>FERTILIDADE DO SOLO</t>
  </si>
  <si>
    <t>GRAD.MMA.01</t>
  </si>
  <si>
    <t>MECâNICA E MECANIZAçãO AGRíCOLA</t>
  </si>
  <si>
    <t>JOãO CLEBER MODERNEL DA SILVEIRA</t>
  </si>
  <si>
    <t>GRAD.T.02</t>
  </si>
  <si>
    <t>TOPOGRAFIA - ALTIMETRIA</t>
  </si>
  <si>
    <t>GRAD.A.25</t>
  </si>
  <si>
    <t>AGROMETEOROLOGIA</t>
  </si>
  <si>
    <t>20221.02AGR20I.5MV</t>
  </si>
  <si>
    <t>GRAD.F.32</t>
  </si>
  <si>
    <t>FITOPALOGIA I</t>
  </si>
  <si>
    <t>GRAD.FV.01</t>
  </si>
  <si>
    <t>FISIOLOGIA VEGETAL</t>
  </si>
  <si>
    <t>FERNANDA DOS SANTOS FARNESE</t>
  </si>
  <si>
    <t>GRAD.G.01</t>
  </si>
  <si>
    <t>GEOPROCESSAMENTO</t>
  </si>
  <si>
    <t>LUCAS PERES ANGELINI</t>
  </si>
  <si>
    <t>GRAD.G.02</t>
  </si>
  <si>
    <t>GENéTICA</t>
  </si>
  <si>
    <t>MARIA ANDREIA CORREA MENDONçA</t>
  </si>
  <si>
    <t>GRAD.MCSA.01</t>
  </si>
  <si>
    <t>MANEJO E CONSERVAçãO DO SOLO E DA ÁGUA</t>
  </si>
  <si>
    <t>GRAD.ZG.02</t>
  </si>
  <si>
    <t>JéSSIKA  MARA MARTINS RIBEIRO; FRANCISCO RIBEIRO DE ARAUJO NETO</t>
  </si>
  <si>
    <t>GRAD.B.49</t>
  </si>
  <si>
    <t>BIOTECNOLOGIA</t>
  </si>
  <si>
    <t>20221.02AGR20I.7MV</t>
  </si>
  <si>
    <t>GRAD.CMCAST.01</t>
  </si>
  <si>
    <t>CULTURAS I (MILHO, CANA-DE-AçúCAR, ARROZ, SORGO E TRIGO)</t>
  </si>
  <si>
    <t>ALAERSON MAIA GERALDINE</t>
  </si>
  <si>
    <t>GRAD.FP.01</t>
  </si>
  <si>
    <t>FORRAGICULTURA E PASTAGENS</t>
  </si>
  <si>
    <t>KáTIA APARECIDA DE PINHO COSTA</t>
  </si>
  <si>
    <t>GRAD.O.45</t>
  </si>
  <si>
    <t>OLERICULTURA</t>
  </si>
  <si>
    <t>GRAD.PTS.01</t>
  </si>
  <si>
    <t>PRODUçãO E TECNOLOGIA DE SEMENTES</t>
  </si>
  <si>
    <t>JULIANA DE FáTIMA SALES</t>
  </si>
  <si>
    <t>GRAD.S.01</t>
  </si>
  <si>
    <t>SILVICULTURA</t>
  </si>
  <si>
    <t>LEANDRO CARLOS</t>
  </si>
  <si>
    <t>GRAD.AP.01</t>
  </si>
  <si>
    <t>AVALIAçãO E PERíCIAS</t>
  </si>
  <si>
    <t>20221.02AGR20I.9MV</t>
  </si>
  <si>
    <t>GRAD.EA.52</t>
  </si>
  <si>
    <t>ECONOMIA AGRíCOLA</t>
  </si>
  <si>
    <t>GRAD.EGP.02</t>
  </si>
  <si>
    <t>ELABORAçãO E GESTãO DE PROJETOS</t>
  </si>
  <si>
    <t>GRAD.EP.03</t>
  </si>
  <si>
    <t>ÉTICA PROFISSIONAL</t>
  </si>
  <si>
    <t>GRAD.FMPC.01</t>
  </si>
  <si>
    <t>FISIOLOGIA E MANEJO DE PóS-COLHEITA</t>
  </si>
  <si>
    <t>PAULO EDUARDO DE MENEZES SILVA</t>
  </si>
  <si>
    <t>GRAD.PPR.01</t>
  </si>
  <si>
    <t>PROTEçãO DE PLANTAS E RECEITUáRIO AGRONôMICO</t>
  </si>
  <si>
    <t>RENATA PEREIRA MARQUES</t>
  </si>
  <si>
    <t>GRAD.SAG.01</t>
  </si>
  <si>
    <t>SECAGEM E ARMAZENAMENTO DE GRãOS</t>
  </si>
  <si>
    <t>OSVALDO RESENDE</t>
  </si>
  <si>
    <t>GRAD.SER.03</t>
  </si>
  <si>
    <t>SOCIOLOGIA E EXTENSãO RURAL</t>
  </si>
  <si>
    <t>RV.BIO256</t>
  </si>
  <si>
    <t>ZOOLOGIA</t>
  </si>
  <si>
    <t>FáBIO MARTINS VILAR DE CARVALHO</t>
  </si>
  <si>
    <t>20221.02AGR20I.TE.2MV</t>
  </si>
  <si>
    <t>RV.AGR239</t>
  </si>
  <si>
    <t>PARQUES E JARDINS</t>
  </si>
  <si>
    <t>20221.02AGR20I.TE.7MV</t>
  </si>
  <si>
    <t>RV.AGR238</t>
  </si>
  <si>
    <t>CULTURAS III (CANA-DE-AçúCAR, CAFé E MANDIOCA)</t>
  </si>
  <si>
    <t>20221.02AGR20I.TE-2010.MV</t>
  </si>
  <si>
    <t>RV.ENG213</t>
  </si>
  <si>
    <t>MECâNICA AGRíCOLA</t>
  </si>
  <si>
    <t>RV.ZOO230</t>
  </si>
  <si>
    <t>ANATOMIA E FISIOLOGIA ANIMAL</t>
  </si>
  <si>
    <t>KAREN MARTINS LEãO</t>
  </si>
  <si>
    <t>GRAD.CSFGAM.01</t>
  </si>
  <si>
    <t>CULTURAS II (SOJA, FEIJãO, GIRASSOL, ALGODãO, MANDIOCA)</t>
  </si>
  <si>
    <t>20221.02AGR20I.TE-2018.MV</t>
  </si>
  <si>
    <t>GRAD.F.02</t>
  </si>
  <si>
    <t>FRUTICULTURA</t>
  </si>
  <si>
    <t>GRAD.F.42</t>
  </si>
  <si>
    <t>FITOPATOLOGIA II</t>
  </si>
  <si>
    <t>RV.EXA722</t>
  </si>
  <si>
    <t>PAULO HENRIQUE RODRIGUES GONçALVES</t>
  </si>
  <si>
    <t>20221.02ALI11N.1N</t>
  </si>
  <si>
    <t>RV.QAP428</t>
  </si>
  <si>
    <t>QUíMICA APLICADA</t>
  </si>
  <si>
    <t>RV.TAL06</t>
  </si>
  <si>
    <t>SEGURANçA E BIOSSEGURANçA</t>
  </si>
  <si>
    <t>LIGIA CAMPOS DE MOURA SILVA</t>
  </si>
  <si>
    <t>RV.TAL07</t>
  </si>
  <si>
    <t>TECNOLOGIA DE OVOS E MEL</t>
  </si>
  <si>
    <t>PRISCILA ALONSO DOS SANTOS</t>
  </si>
  <si>
    <t>RV.TAL08</t>
  </si>
  <si>
    <t>ÉTICA E RELAçõES NO TRABALHO</t>
  </si>
  <si>
    <t>RV.TAL09</t>
  </si>
  <si>
    <t>PORTUGUêS TéCNICO</t>
  </si>
  <si>
    <t>RV.TAL81</t>
  </si>
  <si>
    <t>PRINCíPIOS DE QUíMICA E BIOQUíMICA DOS ALIMENTOS</t>
  </si>
  <si>
    <t>RV.TAL02</t>
  </si>
  <si>
    <t>TECNOLOGIA DE LEITE E DERIVADOS</t>
  </si>
  <si>
    <t>PRISCILA ALONSO DOS SANTOS; LEANDRO PEREIRA CAPPATO</t>
  </si>
  <si>
    <t>20221.02ALI11N.3N</t>
  </si>
  <si>
    <t>RV.TAL03</t>
  </si>
  <si>
    <t>TECNOLOGIA DE CARNES E PESCADO</t>
  </si>
  <si>
    <t>MELISSA CáSSIA FAVARO BOLDRIN FREIRE</t>
  </si>
  <si>
    <t>RV.TAL727</t>
  </si>
  <si>
    <t>OPERAçõES UNITáRIAS</t>
  </si>
  <si>
    <t>RAPHAELA GABRI BITENCOURT</t>
  </si>
  <si>
    <t>RV.TAL85</t>
  </si>
  <si>
    <t>TECNOLOGIA DE FRUTAS E HORTALIçAS</t>
  </si>
  <si>
    <t>RV.TAL87</t>
  </si>
  <si>
    <t>ANáLISE SENSORIAL</t>
  </si>
  <si>
    <t>KAREN CARVALHO FERREIRA</t>
  </si>
  <si>
    <t>GRAD.BC.02</t>
  </si>
  <si>
    <t>VALDNéA CASAGRANDE DALVI</t>
  </si>
  <si>
    <t>20221.02ALI20I.1MV</t>
  </si>
  <si>
    <t>GRAD.IEA.01</t>
  </si>
  <si>
    <t>INTRODUçãO à ENGENHARIA DE ALIMENTOS</t>
  </si>
  <si>
    <t>LEANDRO PEREIRA CAPPATO</t>
  </si>
  <si>
    <t>GRAD.MC.02</t>
  </si>
  <si>
    <t>GRAD.QGA.01</t>
  </si>
  <si>
    <t>QUíMICA GERAL E ANALíTICA</t>
  </si>
  <si>
    <t>GRAD.AI.01</t>
  </si>
  <si>
    <t>ADMINISTRAçãO INDUSTRIAL</t>
  </si>
  <si>
    <t>20221.02ALI20I.3MV</t>
  </si>
  <si>
    <t>GRAD.EE.02</t>
  </si>
  <si>
    <t>ADRIANO CARVALHO COSTA</t>
  </si>
  <si>
    <t>GRAD.FEE.01</t>
  </si>
  <si>
    <t>FíSICA - ELETRICIDADE E ELETROMAGNETISMO</t>
  </si>
  <si>
    <t>GRAD.FQ.01</t>
  </si>
  <si>
    <t>FíSICO-QUíMICA I</t>
  </si>
  <si>
    <t>JOAO CARLOS PERBONE DE SOUZA</t>
  </si>
  <si>
    <t>GRAD.IOE.01</t>
  </si>
  <si>
    <t>INTRODUçãO àS OPERAçõES PARA ENGENHARIA</t>
  </si>
  <si>
    <t>OSVALDO VALARINI JUNIOR</t>
  </si>
  <si>
    <t>GRAD.SEDO.02</t>
  </si>
  <si>
    <t>SéRIES E EQUAçõES DIFERENCIAIS ORDINáRIAS</t>
  </si>
  <si>
    <t>CAIKE DA ROCHA DAMKE</t>
  </si>
  <si>
    <t>GRAD.AA.02</t>
  </si>
  <si>
    <t>ANáLISE DE ALIMENTOS</t>
  </si>
  <si>
    <t>20221.02ALI20I.5MV</t>
  </si>
  <si>
    <t>GRAD.FT.02</t>
  </si>
  <si>
    <t>FENôMENOS DE TRANSPORTE II</t>
  </si>
  <si>
    <t>ROGéRIO FAVARETO</t>
  </si>
  <si>
    <t>GRAD.MA.03</t>
  </si>
  <si>
    <t>MICROBIOLOGIA DE ALIMENTOS</t>
  </si>
  <si>
    <t>GRAD.MS.01</t>
  </si>
  <si>
    <t>MECâNICA DOS SóLIDOS</t>
  </si>
  <si>
    <t>MáRCIO DA SILVA VILELA</t>
  </si>
  <si>
    <t>GRAD.NB.01</t>
  </si>
  <si>
    <t>NUTRIçãO BáSICA</t>
  </si>
  <si>
    <t>GRAD.OU.01</t>
  </si>
  <si>
    <t>OPERAçõES UNITáRIAS I</t>
  </si>
  <si>
    <t>20221.02ALI20I.7MV</t>
  </si>
  <si>
    <t>GRAD.RIA.01</t>
  </si>
  <si>
    <t>REFRIGERAçãO NA INDúSTRIA DE ALIMENTOS</t>
  </si>
  <si>
    <t>GRAD.TCAD.01</t>
  </si>
  <si>
    <t>TECNOLOGIA DE CEREAIS, AMIDOS E DERIVADOS</t>
  </si>
  <si>
    <t>GRAD.TCPD.01</t>
  </si>
  <si>
    <t>TECNOLOGIA DE CARNES, PESCADOS E DERIVADOS</t>
  </si>
  <si>
    <t>GRAD.AEA.01</t>
  </si>
  <si>
    <t>ACONDICIONAMENTO E EMBALAGEM DE ALIMENTOS</t>
  </si>
  <si>
    <t>20221.02ALI20I.9MV</t>
  </si>
  <si>
    <t>GRAD.CGQ.01</t>
  </si>
  <si>
    <t>CONTROLE E GESTãO DA QUALIDADE</t>
  </si>
  <si>
    <t>GRAD.DNP.01</t>
  </si>
  <si>
    <t>DESENVOLVIMENTO DE NOVOS PRODUTOS</t>
  </si>
  <si>
    <t>GRAD.EP.01</t>
  </si>
  <si>
    <t>GEOVANA ROCHA PLáCIDO</t>
  </si>
  <si>
    <t>GRAD.PI.01</t>
  </si>
  <si>
    <t>PROJETOS INDUSTRIAIS</t>
  </si>
  <si>
    <t>GRAD.TOGS.01</t>
  </si>
  <si>
    <t>TECNOLOGIA DE ÓLEOS, GORDURAS E SUBPRODUTOS</t>
  </si>
  <si>
    <t>GRAD.TRI.01</t>
  </si>
  <si>
    <t>TRATAMENTO DE REJEITOS INDUSTRIAIS</t>
  </si>
  <si>
    <t>EDUARDO MATHEUS GUIMARãES TELES</t>
  </si>
  <si>
    <t>GRAD.QO.02</t>
  </si>
  <si>
    <t>RODRIGO BRAGHIROLI</t>
  </si>
  <si>
    <t>20221.02ALI20I.TE.2MV</t>
  </si>
  <si>
    <t>20221.02BIO22N.1N</t>
  </si>
  <si>
    <t>GRAD.FC.02</t>
  </si>
  <si>
    <t>FUNDAMENTOS DE CáLCULO</t>
  </si>
  <si>
    <t>GUILHERME GUIMARAES ASCENDINO</t>
  </si>
  <si>
    <t>GRAD.FF.02</t>
  </si>
  <si>
    <t>FUNDAMENTOS DA FíSICA</t>
  </si>
  <si>
    <t>SALMON LANDI JUNIOR</t>
  </si>
  <si>
    <t>GRAD.FFE.01</t>
  </si>
  <si>
    <t>FUNDAMENTOS FILOSóFICOS DA EDUCAçãO</t>
  </si>
  <si>
    <t>RENATA SILVA PAMPLONA</t>
  </si>
  <si>
    <t>ALINE DITOMASO</t>
  </si>
  <si>
    <t>SUZANA MARIA LOURES DE OLIVEIRA MARCIONILIO</t>
  </si>
  <si>
    <t>GRAD.BIOESTAT.01</t>
  </si>
  <si>
    <t>BIOESTATíSTICA</t>
  </si>
  <si>
    <t>FRANCISCO RIBEIRO DE ARAUJO NETO</t>
  </si>
  <si>
    <t>20221.02BIO22N.3N</t>
  </si>
  <si>
    <t>GRAD.BIOQ.03</t>
  </si>
  <si>
    <t>BIOQUíMICA</t>
  </si>
  <si>
    <t>GRAD.EMBRIOL.01</t>
  </si>
  <si>
    <t>EMBRIOLOGIA</t>
  </si>
  <si>
    <t>GRAD.PE-I.02</t>
  </si>
  <si>
    <t>PSICOLOGIA DA EDUCAçãO I</t>
  </si>
  <si>
    <t>LUIZA FERREIRA REZENDE DE MEDEIROS</t>
  </si>
  <si>
    <t>GRAD.ZI-II.01</t>
  </si>
  <si>
    <t>ZOOLOGIA DOS INVERTEBRADOS II</t>
  </si>
  <si>
    <t>LIA RAQUEL DE SOUZA SANTOS; FERNANDO HENRIQUE ANTONIOLLI FARACHE</t>
  </si>
  <si>
    <t>GRAD.EPC.01</t>
  </si>
  <si>
    <t>ECOLOGIA DE POPULAçõES E COMUNIDADES</t>
  </si>
  <si>
    <t>ALESSANDRO RIBEIRO DE MORAIS</t>
  </si>
  <si>
    <t>20221.02BIO22N.5N</t>
  </si>
  <si>
    <t>GRAD.GENéT.02</t>
  </si>
  <si>
    <t>MARIA ANDREIA CORREA MENDONçA; LAURO BUCKER NETO</t>
  </si>
  <si>
    <t>GRAD.MOV.02</t>
  </si>
  <si>
    <t>MORFOLOGIA E ORGANOGRAFIA VEGETAL</t>
  </si>
  <si>
    <t>GRAD.PE-II.01</t>
  </si>
  <si>
    <t>PSICOLOGIA DA EDUCAçãO II</t>
  </si>
  <si>
    <t>GRAD.PPIE-I.01</t>
  </si>
  <si>
    <t>PESQUISA E PRáTICAS DE INTERVENçãO EM EDUCAçãO I</t>
  </si>
  <si>
    <t>ROSENILDE NOGUEIRA PANIAGO</t>
  </si>
  <si>
    <t>GRAD.SCE.01</t>
  </si>
  <si>
    <t>SOCIEDADE, CULTURA E EDUCAçãO</t>
  </si>
  <si>
    <t>GRAD.EA.03</t>
  </si>
  <si>
    <t>EDUCAçãO AMBIENTAL</t>
  </si>
  <si>
    <t>HIPóLITO TADEU FERREIRA DA SILVA; JUAREZ MARTINS RODRIGUES</t>
  </si>
  <si>
    <t>20221.02BIO22N.7N</t>
  </si>
  <si>
    <t>GRAD.ECRER.02</t>
  </si>
  <si>
    <t>EDUCAçãO, CULTURA E RELAçõES ÉTINICO-RACIAIS</t>
  </si>
  <si>
    <t>GRAD.EVOLUç.02</t>
  </si>
  <si>
    <t>EVOLUçãO</t>
  </si>
  <si>
    <t>JANIO CORDEIRO MOREIRA</t>
  </si>
  <si>
    <t>GRAD.IMUNOL.02</t>
  </si>
  <si>
    <t>IMUNOLOGIA</t>
  </si>
  <si>
    <t>LAURO BUCKER NETO</t>
  </si>
  <si>
    <t>GRAD.LIBRAS.02</t>
  </si>
  <si>
    <t>LIBRAS</t>
  </si>
  <si>
    <t>CALIXTO JUNIOR DE SOUZA</t>
  </si>
  <si>
    <t>GRAD.PPIE-II.01</t>
  </si>
  <si>
    <t>PESQUISA E PRáTICAS DE INTERVENçãO EM EDUCAçãO II</t>
  </si>
  <si>
    <t>SEBASTIãO CARVALHO VASCONCELOS FILHO; VALDNéA CASAGRANDE DALVI</t>
  </si>
  <si>
    <t>20221.02BIO23I.1MV</t>
  </si>
  <si>
    <t>GRAD.FC.03</t>
  </si>
  <si>
    <t>FILOSOFIA DA CIêNCIA</t>
  </si>
  <si>
    <t>GRAD.FF.01</t>
  </si>
  <si>
    <t>FUNDAMENTOS DE FíSICA</t>
  </si>
  <si>
    <t>GRAD.ICB.01</t>
  </si>
  <si>
    <t>INTRODUçãO àS CIêNCIAS BIOLóGICAS</t>
  </si>
  <si>
    <t>GRAD.RC.03</t>
  </si>
  <si>
    <t>REDAçãO CIENTíFICA</t>
  </si>
  <si>
    <t>GRAD.AV.01</t>
  </si>
  <si>
    <t>20221.02BIO23I.3MV</t>
  </si>
  <si>
    <t>GRAD.BM.02</t>
  </si>
  <si>
    <t>BIOLOGIA MOLECULAR</t>
  </si>
  <si>
    <t>PAULO HENRIQUE MATAYOSHI CALIXTO</t>
  </si>
  <si>
    <t>GRAD.G.42</t>
  </si>
  <si>
    <t>GENéTICA II</t>
  </si>
  <si>
    <t>GRAD.ZI.02</t>
  </si>
  <si>
    <t>GRAD.CA.02</t>
  </si>
  <si>
    <t>COMPORTAMENTO ANIMAL</t>
  </si>
  <si>
    <t>20221.02BIO23I.5MV</t>
  </si>
  <si>
    <t>GRAD.EIA.01</t>
  </si>
  <si>
    <t>ESTUDOS DE IMPACTO AMBIENTAL</t>
  </si>
  <si>
    <t>GRAD.EVOLUç.01</t>
  </si>
  <si>
    <t>GRAD.MG.01</t>
  </si>
  <si>
    <t>MICROBIOLOGIA GERAL</t>
  </si>
  <si>
    <t>LUCIANA CRISTINA VITORINO</t>
  </si>
  <si>
    <t>GRAD.PARASITOL.01</t>
  </si>
  <si>
    <t>PARASITOLOGIA</t>
  </si>
  <si>
    <t>GRAD.SV.01</t>
  </si>
  <si>
    <t>SISTEMáTICA VEGETAL</t>
  </si>
  <si>
    <t>GRAD.ZV.02</t>
  </si>
  <si>
    <t>ZOOLOGIA DOS VERTEBRADOS II</t>
  </si>
  <si>
    <t>GRAD.APA.01</t>
  </si>
  <si>
    <t>AUDITORIA E PERíCIA AMBIENTAL</t>
  </si>
  <si>
    <t>CHARLYS ROWEDER</t>
  </si>
  <si>
    <t>20221.02BIO23I.7MV</t>
  </si>
  <si>
    <t>GRAD.FCV.01</t>
  </si>
  <si>
    <t>FISIOLOGIA COMPARADA DE VERTEBRADOS</t>
  </si>
  <si>
    <t>GRAD.GP.01</t>
  </si>
  <si>
    <t>GEOLOGIA E PALEONTOLOGIA</t>
  </si>
  <si>
    <t>RAFAEL MARQUES PEREIRA LEAL; JANIO CORDEIRO MOREIRA</t>
  </si>
  <si>
    <t>GRAD.ILFFC.01</t>
  </si>
  <si>
    <t>INVENTáRIO E LEVANTAMENTO DE FAUNA E FLORA DO CERRADO</t>
  </si>
  <si>
    <t>GISELE CRISTINA DE OLIVEIRA MENINO; JANIO CORDEIRO MOREIRA</t>
  </si>
  <si>
    <t>GRAD.AM.01</t>
  </si>
  <si>
    <t>ANATOMIA DA MADEIRA</t>
  </si>
  <si>
    <t>20221.02BIO23I.8MV</t>
  </si>
  <si>
    <t>GRAD.BIOINFORMáT.01</t>
  </si>
  <si>
    <t>BIOINFORMáTICA</t>
  </si>
  <si>
    <t>LUCAS ANJOS DE SOUZA</t>
  </si>
  <si>
    <t>GRAD.TEE.01</t>
  </si>
  <si>
    <t>TóPICOS ESPECIAIS DE ENTOMOLOGIA</t>
  </si>
  <si>
    <t>FERNANDO HENRIQUE ANTONIOLLI FARACHE</t>
  </si>
  <si>
    <t>CTBIOTRV.1</t>
  </si>
  <si>
    <t>20221.02BTC11N.1N</t>
  </si>
  <si>
    <t>CTBIOTRV.19</t>
  </si>
  <si>
    <t>INTRODUçãO à BIOTECNOLOGIA</t>
  </si>
  <si>
    <t>CTBIOTRV.20</t>
  </si>
  <si>
    <t>BIOSSEGURANçA</t>
  </si>
  <si>
    <t>CTBIOTRV.3</t>
  </si>
  <si>
    <t>SUBSTITUTO 2</t>
  </si>
  <si>
    <t>CTBIOTRV.5</t>
  </si>
  <si>
    <t>INSTRUMENTAçãO, CONTROLE E ASSEPSIA DE BIOPROCESSOS</t>
  </si>
  <si>
    <t>RV.EXA810</t>
  </si>
  <si>
    <t>CTBIOTRV.10</t>
  </si>
  <si>
    <t>MICROBIOLOGIA APLICADA</t>
  </si>
  <si>
    <t>20221.02BTC11N.3N</t>
  </si>
  <si>
    <t>CTBIOTRV.13</t>
  </si>
  <si>
    <t>TECNOLOGIA GENéTICA E IMUNOLóGICA</t>
  </si>
  <si>
    <t>CTBIOTRV.18</t>
  </si>
  <si>
    <t>PAULO EDUARDO DE MENEZES SILVA; FERNANDA DOS SANTOS FARNESE</t>
  </si>
  <si>
    <t>CTBIOTRV.24</t>
  </si>
  <si>
    <t>BIOéTICA</t>
  </si>
  <si>
    <t>TIAGO CARNEVALLE ROMAO</t>
  </si>
  <si>
    <t>CTBIOTRV.25</t>
  </si>
  <si>
    <t>HISTOLOGIA E FISIOLOGIA ANIMAL</t>
  </si>
  <si>
    <t>GRAD.AC.01</t>
  </si>
  <si>
    <t>ANáLISE COMBINATóRIA</t>
  </si>
  <si>
    <t>MARCIO ANTONIO FERREIRA BELO FILHO</t>
  </si>
  <si>
    <t>20221.02CDC20I.1MV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</si>
  <si>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</si>
  <si>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</si>
  <si>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</si>
  <si>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</si>
  <si>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</si>
  <si>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</si>
  <si>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</si>
  <si>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</si>
  <si>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ADRIANO SOARES DE OLIVEIRA BAILãO</t>
  </si>
  <si>
    <t>GRAD.LM.01</t>
  </si>
  <si>
    <t>LóGICA MATEMáTICA</t>
  </si>
  <si>
    <t>GRAD.AC.02</t>
  </si>
  <si>
    <t>ARQUITETURA DE COMPUTADORES</t>
  </si>
  <si>
    <t>RAFAEL CARVALHO MENDONçA</t>
  </si>
  <si>
    <t>20221.02CDC20I.3MV</t>
  </si>
  <si>
    <t>GRAD.EB.02</t>
  </si>
  <si>
    <t>GRAD.ED.01</t>
  </si>
  <si>
    <t>ESTRUTURAS DE DADOS I</t>
  </si>
  <si>
    <t>HEVERTON BARROS DE MACEDO</t>
  </si>
  <si>
    <t>GRAD.LEC.01</t>
  </si>
  <si>
    <t>LEGISLAçãO E ÉTICA NA COMPUTAçãO</t>
  </si>
  <si>
    <t>FáBIO MONTANHA RAMOS</t>
  </si>
  <si>
    <t>GRAD.PLP.01</t>
  </si>
  <si>
    <t>PRáTICA DE LABORATóRIO DE PESQUISA (AMBIENTAçãO)</t>
  </si>
  <si>
    <t>HEYDE FRANCIELLE DO CARMO FRANçA</t>
  </si>
  <si>
    <t>GRAD.POO.01</t>
  </si>
  <si>
    <t>PROGRAMAçãO ORIENTADA A OBJETOS</t>
  </si>
  <si>
    <t>MARLUS DIAS SILVA</t>
  </si>
  <si>
    <t>GRAD.ES.01</t>
  </si>
  <si>
    <t>ENGENHARIA DE SOFTWARE</t>
  </si>
  <si>
    <t>20221.02CDC20I.5MV</t>
  </si>
  <si>
    <t>GRAD.EW.01</t>
  </si>
  <si>
    <t>ENGENHARIA WEB</t>
  </si>
  <si>
    <t>GRAD.LFA.01</t>
  </si>
  <si>
    <t>LINGUAGENS FORMAIS E AUTôMATOS</t>
  </si>
  <si>
    <t>GRAD.PLP.03</t>
  </si>
  <si>
    <t>PRáTICA DE LABORATóRIO DE PESQUISA (MATURAçãO 1)</t>
  </si>
  <si>
    <t>DOUGLAS CEDRIM OLIVEIRA</t>
  </si>
  <si>
    <t>GRAD.RC.02</t>
  </si>
  <si>
    <t>REDES DE COMPUTADORES II</t>
  </si>
  <si>
    <t>GRAD.TG.01</t>
  </si>
  <si>
    <t>TEORIA DOS GRAFOS</t>
  </si>
  <si>
    <t>GRAD.IA.01</t>
  </si>
  <si>
    <t>INTELIGêNCIA ARTIFICIAL</t>
  </si>
  <si>
    <t>20221.02CDC20I.7MV</t>
  </si>
  <si>
    <t>GRAD.IH.01</t>
  </si>
  <si>
    <t>INTERAçãO HUMANO - COMPUTADOR</t>
  </si>
  <si>
    <t>LEANDRO RODRIGUES DA SILVA SOUZA</t>
  </si>
  <si>
    <t>GRAD.PLP.05</t>
  </si>
  <si>
    <t>PRáTICA DE LABORATóRIO DE PESQUISA (TCC - PARTE 1)</t>
  </si>
  <si>
    <t>GRAD.PS.01</t>
  </si>
  <si>
    <t>PROJETO DE SOFTWARE</t>
  </si>
  <si>
    <t>GRAD.SD.02</t>
  </si>
  <si>
    <t>SISTEMAS DISTRIBUíDOS</t>
  </si>
  <si>
    <t>GRAD.CDI.03</t>
  </si>
  <si>
    <t>20221.02CIV20I.1MV</t>
  </si>
  <si>
    <t>GRAD.DT.02</t>
  </si>
  <si>
    <t>BRUNA OLIVEIRA CAMPOS</t>
  </si>
  <si>
    <t>GRAD.FE.01</t>
  </si>
  <si>
    <t>FíSICA EXPERIMENTAL I</t>
  </si>
  <si>
    <t>GRAD.FíSICA I.01</t>
  </si>
  <si>
    <t>FíSICA I</t>
  </si>
  <si>
    <t>GRAD.IEC.01</t>
  </si>
  <si>
    <t>INTRODUçãO à ENGENHARIA CIVIL</t>
  </si>
  <si>
    <t>PHILIPPE BARBOSA SILVA</t>
  </si>
  <si>
    <t>GRAD.QE.01</t>
  </si>
  <si>
    <t>QUíMICA EXPERIMENTAL</t>
  </si>
  <si>
    <t>SUBSTITUTO 3</t>
  </si>
  <si>
    <t>GRAD.QG.03</t>
  </si>
  <si>
    <t>ELOIZA DA SILVA NUNES</t>
  </si>
  <si>
    <t>GRAD.AU.01</t>
  </si>
  <si>
    <t>ARQUITETURA E URBANISMO</t>
  </si>
  <si>
    <t>20221.02CIV20I.3MV</t>
  </si>
  <si>
    <t>GRAD.FE-III.01</t>
  </si>
  <si>
    <t>FíSICA EXPERIMENTAL III</t>
  </si>
  <si>
    <t>GUSTAVO QUEREZA DE FREITAS</t>
  </si>
  <si>
    <t>GRAD.FíSICA III.01</t>
  </si>
  <si>
    <t>FíSICA III</t>
  </si>
  <si>
    <t>GRAD.FT.05</t>
  </si>
  <si>
    <t>FENôMENOS DOS TRANSPORTES</t>
  </si>
  <si>
    <t>HUGO LEONARDO SOUZA LARA LEãO</t>
  </si>
  <si>
    <t>GRAD.GAA.01</t>
  </si>
  <si>
    <t>GEOMETRIA ANALíTICA E ÁLGEBRA LINEAR</t>
  </si>
  <si>
    <t>GRAD.SED.01</t>
  </si>
  <si>
    <t>GRAD.TOPOG.02</t>
  </si>
  <si>
    <t>WELLINGTON DONIZETE GUIMARãES</t>
  </si>
  <si>
    <t>GRAD.HIDRáUL.I.01</t>
  </si>
  <si>
    <t>HIDRáULICA I</t>
  </si>
  <si>
    <t>20221.02CIV20I.5MV</t>
  </si>
  <si>
    <t>GRAD.HIDROLOG.02</t>
  </si>
  <si>
    <t>HIDROLOGIA</t>
  </si>
  <si>
    <t>ÉDIO DAMáSIO DA SILVA JUNIOR</t>
  </si>
  <si>
    <t>GRAD.MCC-II.01</t>
  </si>
  <si>
    <t>MATERIAIS DE CONSTRUçãO CIVIL II</t>
  </si>
  <si>
    <t>BACUS DE OLIVEIRA NAHIME</t>
  </si>
  <si>
    <t>GRAD.MS-I.01</t>
  </si>
  <si>
    <t>MECâNICA DOS SOLOS I</t>
  </si>
  <si>
    <t>FLAVIO HIOCHIO SATO</t>
  </si>
  <si>
    <t>GRAD.RM-I.01</t>
  </si>
  <si>
    <t>RESISTêNCIA DOS MATERIAIS I</t>
  </si>
  <si>
    <t>MARCEL WILLIAN REIS SALES</t>
  </si>
  <si>
    <t>GRAD.TE-I.01</t>
  </si>
  <si>
    <t>TEORIA DAS ESTRUTURAS I</t>
  </si>
  <si>
    <t>MICHELL MACEDO ALVES</t>
  </si>
  <si>
    <t>GRAD.CC-II.01</t>
  </si>
  <si>
    <t>CONSTRUçãO CIVIL II</t>
  </si>
  <si>
    <t>ALEXSANDRO DOS SANTOS FELIPE</t>
  </si>
  <si>
    <t>20221.02CIV20I.7MV</t>
  </si>
  <si>
    <t>GRAD.ECA-I.01</t>
  </si>
  <si>
    <t>ESTRUTURAS DE CONCRETO ARMADO I</t>
  </si>
  <si>
    <t>GRAD.ESTMET.01</t>
  </si>
  <si>
    <t>ESTRUTURAS METáLICAS</t>
  </si>
  <si>
    <t>GRAD.PROJEST.01</t>
  </si>
  <si>
    <t>PROJETO DE ESTRADAS</t>
  </si>
  <si>
    <t>WILLER MOTA FERREIRA</t>
  </si>
  <si>
    <t>GRAD.PT.01</t>
  </si>
  <si>
    <t>PLANEJAMENTO DE TRANSPORTES</t>
  </si>
  <si>
    <t>GRAD.SAAE.01</t>
  </si>
  <si>
    <t>SISTEMAS DE ABASTECIMENTO DE ÁGUA E COLETA DE ESGOTO</t>
  </si>
  <si>
    <t>ELLEN KRISTINE SILVA COSTA SOUZA</t>
  </si>
  <si>
    <t>GRAD.ADMINISTRAç.01</t>
  </si>
  <si>
    <t>ADMINISTRAçãO</t>
  </si>
  <si>
    <t>20221.02CIV20I.9MV</t>
  </si>
  <si>
    <t>GRAD.ECONOM.01</t>
  </si>
  <si>
    <t>ECONOMIA</t>
  </si>
  <si>
    <t>GRAD.HST.01</t>
  </si>
  <si>
    <t>HIGIENE E SEGURANçA DO TRABALHO</t>
  </si>
  <si>
    <t>LAURA REZENDE SOUZA</t>
  </si>
  <si>
    <t>GRAD.LA.02</t>
  </si>
  <si>
    <t>LEGISLAçãO AMBIENTAL</t>
  </si>
  <si>
    <t>GRAD.LIBRAS.04</t>
  </si>
  <si>
    <t>GRAD.MASU.02</t>
  </si>
  <si>
    <t>MEIO AMBIENTE E SUSTENTABILIDADE URBANA</t>
  </si>
  <si>
    <t>JUAREZ MARTINS RODRIGUES</t>
  </si>
  <si>
    <t>GRAD.PC.01</t>
  </si>
  <si>
    <t>PATOLOGIA DAS CONSTRUçõES</t>
  </si>
  <si>
    <t>GRAD.TC-I.01</t>
  </si>
  <si>
    <t>RV.ADM410</t>
  </si>
  <si>
    <t>20221.02COT11N.1N</t>
  </si>
  <si>
    <t>RV.CON001</t>
  </si>
  <si>
    <t>CONTABILIDADE GERAL</t>
  </si>
  <si>
    <t>RúBIA CRISTINA ARANTES MARQUES</t>
  </si>
  <si>
    <t>RV.CON002</t>
  </si>
  <si>
    <t>RV.CON003</t>
  </si>
  <si>
    <t>PROCESSOS DE CONSTITUIçãO DE EMPRESAS</t>
  </si>
  <si>
    <t>RAQUEL MARIA PRADO</t>
  </si>
  <si>
    <t>RV.CON006</t>
  </si>
  <si>
    <t>CONTABILIDADE NãO GOVERNAMENTAL</t>
  </si>
  <si>
    <t>20221.02COT11N.3N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</si>
  <si>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</si>
  <si>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</si>
  <si>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</si>
  <si>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</si>
  <si>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</si>
  <si>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</si>
  <si>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</si>
  <si>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</si>
  <si>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20221.02EAM20I.1MV</t>
  </si>
  <si>
    <t>GRAD.FMB.01</t>
  </si>
  <si>
    <t>FíSICA - MECâNICA BáSICA</t>
  </si>
  <si>
    <t>GRAD.GAAL.01</t>
  </si>
  <si>
    <t>GRAD.IEA.02</t>
  </si>
  <si>
    <t>INTRODUçãO à ENGENHARIA AMBIENTAL</t>
  </si>
  <si>
    <t>BRUNO DE OLIVEIRA COSTA COUTO</t>
  </si>
  <si>
    <t>GRAD.MC.04</t>
  </si>
  <si>
    <t>GRAD.BIOQ.02</t>
  </si>
  <si>
    <t>LUCAS ANJOS DE SOUZA; FLAVIA DE FIGUEIREDO MACHADO</t>
  </si>
  <si>
    <t>20221.02EAM20I.3MV</t>
  </si>
  <si>
    <t>GRAD.CLIMATOL.01</t>
  </si>
  <si>
    <t>CLIMATOLOGIA</t>
  </si>
  <si>
    <t>MARCONI BATISTA TEIXEIRA</t>
  </si>
  <si>
    <t>GRAD.CN.01</t>
  </si>
  <si>
    <t>CáLCULO NUMéRICO</t>
  </si>
  <si>
    <t>GRAD.ECOLOG.01</t>
  </si>
  <si>
    <t>ECOLOGIA</t>
  </si>
  <si>
    <t>GRAD.FCS.01</t>
  </si>
  <si>
    <t>FUNDAMENTOS DE CIêNCIA DO SOLO</t>
  </si>
  <si>
    <t>GRAD.PA.01</t>
  </si>
  <si>
    <t>POLUIçãO ATMOSFéRICA</t>
  </si>
  <si>
    <t>GRAD.TERMODINAM.01</t>
  </si>
  <si>
    <t>TERMODINâMICA</t>
  </si>
  <si>
    <t>GRAD.FT.01</t>
  </si>
  <si>
    <t>FENôMENOS DE TRANSPORTE I</t>
  </si>
  <si>
    <t>20221.02EAM20I.5MV</t>
  </si>
  <si>
    <t>GRAD.GA.01</t>
  </si>
  <si>
    <t>GEOTECNIA AMBIENTAL</t>
  </si>
  <si>
    <t>GRAD.IIA.02</t>
  </si>
  <si>
    <t>INDICADORES DE IMPACTO AMBIENTAL</t>
  </si>
  <si>
    <t>GRAD.MC.03</t>
  </si>
  <si>
    <t>MéTODOS COMPUTACIONAIS I</t>
  </si>
  <si>
    <t>GRAD.SGAS.03</t>
  </si>
  <si>
    <t>SISTEMAS DE GESTãO AMBIENTAL E SéRIE ISO 14000</t>
  </si>
  <si>
    <t>GRAD.SP.02</t>
  </si>
  <si>
    <t>SAúDE PúBLICA</t>
  </si>
  <si>
    <t>GRAD.GRS.01</t>
  </si>
  <si>
    <t>GESTãO DE RESíDUOS SóLIDOS</t>
  </si>
  <si>
    <t>20221.02EAM20I.7MV</t>
  </si>
  <si>
    <t>GRAD.GUCE.02</t>
  </si>
  <si>
    <t>GESTãO DE UNIDADES DE CONSERVAçãO E ECOTURISMO</t>
  </si>
  <si>
    <t>GRAD.HA.01</t>
  </si>
  <si>
    <t>HIDROGEOLOGIA AMBIENTAL</t>
  </si>
  <si>
    <t>GRAD.SAA.01</t>
  </si>
  <si>
    <t>SISTEMAS DE ABASTECIMENTO DE ÁGUA</t>
  </si>
  <si>
    <t>GRAD.SES.01</t>
  </si>
  <si>
    <t>SISTEMAS DE ESGOTAMENTO SANITáRIO</t>
  </si>
  <si>
    <t>GRAD.SIG.01</t>
  </si>
  <si>
    <t>SISTEMAS DE INFORMAçõES GEOGRáFICAS</t>
  </si>
  <si>
    <t>GRAD.ADMINIST.01</t>
  </si>
  <si>
    <t>20221.02EAM20I.9MV</t>
  </si>
  <si>
    <t>GRAD.EP.02</t>
  </si>
  <si>
    <t>GRAD.GRH.01</t>
  </si>
  <si>
    <t>GESTãO DE RECURSOS HíDRICOS</t>
  </si>
  <si>
    <t>RV.BIO221</t>
  </si>
  <si>
    <t>BIOLOGIA AMBIENTAL</t>
  </si>
  <si>
    <t>20221.02EAM20I.TE.MV</t>
  </si>
  <si>
    <t>RV.TCC209</t>
  </si>
  <si>
    <t>RV.DTC001</t>
  </si>
  <si>
    <t>20221.02EDI11N.1N</t>
  </si>
  <si>
    <t>RV.IMP001</t>
  </si>
  <si>
    <t>INTRODUçãO à METODOLOGIA, PESQUISA E INOVAçãO</t>
  </si>
  <si>
    <t>RV.MAP001</t>
  </si>
  <si>
    <t>RV.MAS001</t>
  </si>
  <si>
    <t>RV.MCI001</t>
  </si>
  <si>
    <t>MATERIAIS DE CONSTRUçãO I</t>
  </si>
  <si>
    <t>RV.T-PL001</t>
  </si>
  <si>
    <t>RV.FDC001</t>
  </si>
  <si>
    <t>FUNDAçõES</t>
  </si>
  <si>
    <t>20221.02EDI11N.3N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</si>
  <si>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</si>
  <si>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</si>
  <si>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</si>
  <si>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</si>
  <si>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</si>
  <si>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</si>
  <si>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</si>
  <si>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</si>
  <si>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RV.PRO60</t>
  </si>
  <si>
    <t>20221.02EDI12N.1N</t>
  </si>
  <si>
    <t>RV.TADM12</t>
  </si>
  <si>
    <t>MATEMáTICA IV</t>
  </si>
  <si>
    <t>20221.02EDI12N.4N</t>
  </si>
  <si>
    <t>RV.PRO50</t>
  </si>
  <si>
    <t>BIOLOGIA I</t>
  </si>
  <si>
    <t>FáBIO HENRIQUE DYSZY</t>
  </si>
  <si>
    <t>20221.02EDI12N.5N</t>
  </si>
  <si>
    <t>RV.PRO41</t>
  </si>
  <si>
    <t>HISTóRIA II</t>
  </si>
  <si>
    <t>20221.02EDI12N.6N</t>
  </si>
  <si>
    <t>GRAD.ENQ.CDI-I.01</t>
  </si>
  <si>
    <t>20221.02ENQ20I.1MV</t>
  </si>
  <si>
    <t>GRAD.ENQ.FE.05</t>
  </si>
  <si>
    <t>FíSICA EXPERIMENTAL</t>
  </si>
  <si>
    <t>GRAD.ENQ.FIS-I.04</t>
  </si>
  <si>
    <t>GRAD.ENQ.GAAL.06</t>
  </si>
  <si>
    <t>GRAD.ENQ.IEQ.07</t>
  </si>
  <si>
    <t>INTRODUçãO à ENGENHARIA QUíMICA</t>
  </si>
  <si>
    <t>GRAD.ENQ.QE.03</t>
  </si>
  <si>
    <t>SUBSTITUTO 4</t>
  </si>
  <si>
    <t>GRAD.ENQ.QG.02</t>
  </si>
  <si>
    <t>WESLEY RENATO VIALI</t>
  </si>
  <si>
    <t>GRAD.ENQ.FE-III.17</t>
  </si>
  <si>
    <t>20221.02ENQ20I.3MV</t>
  </si>
  <si>
    <t>GRAD.ENQ.FIS-III.27</t>
  </si>
  <si>
    <t>GRAD.ENQ.IOE.18</t>
  </si>
  <si>
    <t>GRAD.ENQ.QAQ.19</t>
  </si>
  <si>
    <t>QUíMICA ANALíTICA QUALITATIVA</t>
  </si>
  <si>
    <t>POLYANA FERNANDES PEREIRA</t>
  </si>
  <si>
    <t>GRAD.ENQ.BIOQ.28</t>
  </si>
  <si>
    <t>PAULO HENRIQUE MATAYOSHI CALIXTO; FLAVIA DE FIGUEIREDO MACHADO</t>
  </si>
  <si>
    <t>20221.02ENQ20I.5MV</t>
  </si>
  <si>
    <t>GRAD.ENQ.FQ-II.31</t>
  </si>
  <si>
    <t>FíSICO-QUíMICA II</t>
  </si>
  <si>
    <t>GRAD.ENQ.FT-II.30</t>
  </si>
  <si>
    <t>GRAD.ENQ.MC.33</t>
  </si>
  <si>
    <t>MéTODOS COMPUTACIONAIS</t>
  </si>
  <si>
    <t>GRAD.ENQ.QAI.32</t>
  </si>
  <si>
    <t>QUíMICA ANALíTICA INSTRUMENTAL</t>
  </si>
  <si>
    <t>ELOIZA DA SILVA NUNES; WESLEY RENATO VIALI</t>
  </si>
  <si>
    <t>GRAD.ENQ.TERM-I.29</t>
  </si>
  <si>
    <t>TERMODINâMICA I</t>
  </si>
  <si>
    <t>GRAD.ENQ.QO-I.14</t>
  </si>
  <si>
    <t>QUíMICA ORGâNICA I</t>
  </si>
  <si>
    <t>20221.02ENQ20I.TE.2MV</t>
  </si>
  <si>
    <t>RV.INF62</t>
  </si>
  <si>
    <t>INGLêS TéCNICO PARA INFORMáTICA</t>
  </si>
  <si>
    <t>20221.02INF11N.3N</t>
  </si>
  <si>
    <t>RV.INF63</t>
  </si>
  <si>
    <t>DESENVOLVIMENTO DE PROJETO FINAL I</t>
  </si>
  <si>
    <t>RV.INF94</t>
  </si>
  <si>
    <t>LINGUAGEM DE PROGRAMAçãO II</t>
  </si>
  <si>
    <t>RV.INF60</t>
  </si>
  <si>
    <t>DESENVOLVIMENTO DE PROJETO FINAL II</t>
  </si>
  <si>
    <t>20221.02INF11N.4N</t>
  </si>
  <si>
    <t>RV.INF88</t>
  </si>
  <si>
    <t>DESENVOLVIMENTO PARA DISPOSITIVOS MóVEIS</t>
  </si>
  <si>
    <t>RV.INF91</t>
  </si>
  <si>
    <t>20221.02QUI10N.1N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</si>
  <si>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</si>
  <si>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</si>
  <si>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</si>
  <si>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</si>
  <si>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</si>
  <si>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</si>
  <si>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LUCIANA CRISTINA VITORINO; FLAVIA DE FIGUEIREDO MACHADO</t>
  </si>
  <si>
    <t>RV.QUI735</t>
  </si>
  <si>
    <t>TéCNICAS DE LABORATóRIO E OTIMIZAçãO DE EXPERIMENTOS</t>
  </si>
  <si>
    <t>CELSO MARTINS BELISáRIO</t>
  </si>
  <si>
    <t>RV.QUI736</t>
  </si>
  <si>
    <t>EVOLUçãO DO CONCEITO DE QUíMICA</t>
  </si>
  <si>
    <t>RV.HUM805</t>
  </si>
  <si>
    <t>20221.02QUI10N.3N</t>
  </si>
  <si>
    <t>RV.QUI124</t>
  </si>
  <si>
    <t>PROCESSOS QUíMICOS INDUSTRIAIS</t>
  </si>
  <si>
    <t>RV.QUI728</t>
  </si>
  <si>
    <t>RV.QUI729</t>
  </si>
  <si>
    <t>FíSICO-QUíMICA</t>
  </si>
  <si>
    <t>CARLOS FREDERICO DE SOUZA CASTRO</t>
  </si>
  <si>
    <t>RV.QUI730</t>
  </si>
  <si>
    <t>ANáLISE INSTRUMENTAL</t>
  </si>
  <si>
    <t>RV.QUI733</t>
  </si>
  <si>
    <t>IMPACTOS E RISCOS AMBIENTAIS</t>
  </si>
  <si>
    <t>RV.TAL10</t>
  </si>
  <si>
    <t>20221.02QUI22N.1N</t>
  </si>
  <si>
    <t>GRAD.HQ.01</t>
  </si>
  <si>
    <t>HISTóRIA DA QUíMICA</t>
  </si>
  <si>
    <t>GRAD.QGE.02</t>
  </si>
  <si>
    <t>QUíMICA GERAL EXPERIMENTAL</t>
  </si>
  <si>
    <t>ANA CAROLINA RIBEIRO AGUIAR</t>
  </si>
  <si>
    <t>GRAD.QG-I.01</t>
  </si>
  <si>
    <t>QUíMICA GERAL I</t>
  </si>
  <si>
    <t>GRAD.FGE-I.01</t>
  </si>
  <si>
    <t>FíSICA GERAL E EXPERIMENTAL I</t>
  </si>
  <si>
    <t>20221.02QUI22N.3N</t>
  </si>
  <si>
    <t>GRAD.FQ.02</t>
  </si>
  <si>
    <t>GRAD.FQIIE.01</t>
  </si>
  <si>
    <t>FíSICO-QUíMICA II EXPERIMENTAL</t>
  </si>
  <si>
    <t>GRAD.PAFQ.01</t>
  </si>
  <si>
    <t>PRáTICAS ACADêMICAS DE FíSICO-QUíMICA</t>
  </si>
  <si>
    <t>GRAD.QAQ.02</t>
  </si>
  <si>
    <t>GRAD.FQ-III.01</t>
  </si>
  <si>
    <t>FíSICO-QUíMICA III</t>
  </si>
  <si>
    <t>20221.02QUI22N.5N</t>
  </si>
  <si>
    <t>GRAD.PAQAQ.02</t>
  </si>
  <si>
    <t>PRáTICAS ACADêMICAS DE QUíMICA ANALíTICA QUANTITATIVA</t>
  </si>
  <si>
    <t>GRAD.QI-I.01</t>
  </si>
  <si>
    <t>QUíMICA INORGâNICA I</t>
  </si>
  <si>
    <t>20221.02QUI22N.7N</t>
  </si>
  <si>
    <t>GRAD.PAQO.01</t>
  </si>
  <si>
    <t>PRáTICAS ACADêMICAS DE QUíMICA ORGâNICA</t>
  </si>
  <si>
    <t>GRAD.QOE.01</t>
  </si>
  <si>
    <t>QUíMICA ORGâNICA EXPERIMENTAL</t>
  </si>
  <si>
    <t>GRAD.QO-II.01</t>
  </si>
  <si>
    <t>QUíMICA ORGâNICA II</t>
  </si>
  <si>
    <t>20221.02SAM21N.5N</t>
  </si>
  <si>
    <t>GRAD.SAAES.01</t>
  </si>
  <si>
    <t>SISTEMAS DE ABASTECIMENTO DE ÁGUA E ESGOTAMENTO SANITáRIO</t>
  </si>
  <si>
    <t>GRAD.TAR-I.01</t>
  </si>
  <si>
    <t>TRATAMENTO DE ÁGUAS RESIDUáRIAS I</t>
  </si>
  <si>
    <t>GRAD.TCAA.01</t>
  </si>
  <si>
    <t>TRATAMENTO CONVENCIONAL DE ÁGUA DE ABASTECIMENTO</t>
  </si>
  <si>
    <t>RV.GAM236</t>
  </si>
  <si>
    <t>POLUIçãO INDUSTRIAL</t>
  </si>
  <si>
    <t>LUCAS PERES ANGELINI; BRUNO DE OLIVEIRA COSTA COUTO</t>
  </si>
  <si>
    <t>20221.02SAM21N.TE-2016.3N</t>
  </si>
  <si>
    <t>20221.02SAM21N.TE-2018.3N</t>
  </si>
  <si>
    <t>GRAD.POLAGU.01</t>
  </si>
  <si>
    <t>POLUIçãO DA ÁGUA</t>
  </si>
  <si>
    <t>GRAD.PSA.01</t>
  </si>
  <si>
    <t>POLUIçãO DO SOLO E ATMOSFéRICA</t>
  </si>
  <si>
    <t>CTSTRARV.1</t>
  </si>
  <si>
    <t>SEGURANçA DO TRABALHO I</t>
  </si>
  <si>
    <t>20221.02SGT11N.1N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</si>
  <si>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</si>
  <si>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</si>
  <si>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</si>
  <si>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</si>
  <si>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</si>
  <si>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</si>
  <si>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</si>
  <si>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</si>
  <si>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</si>
  <si>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</si>
  <si>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CTSTRARV.19</t>
  </si>
  <si>
    <t>PREVENçãO E CONTROLE DE RISCO</t>
  </si>
  <si>
    <t>20221.02SGT11N.3N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</si>
  <si>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</si>
  <si>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</si>
  <si>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</si>
  <si>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</si>
  <si>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</si>
  <si>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</si>
  <si>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</si>
  <si>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</si>
  <si>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</si>
  <si>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</si>
  <si>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</si>
  <si>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</si>
  <si>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RV.ZOO219</t>
  </si>
  <si>
    <t>JULGAMENTO E PREPARO DE ANIMAIS PARA EXPOSIçãO</t>
  </si>
  <si>
    <t>20221.02ZOO20I.10MV</t>
  </si>
  <si>
    <t>GRAD.ANATANIM.01</t>
  </si>
  <si>
    <t>ANATOMIA ANIMAL</t>
  </si>
  <si>
    <t>20221.02ZOO20I.1MV</t>
  </si>
  <si>
    <t>GRAD.IZ.01</t>
  </si>
  <si>
    <t>INTRODUçãO à ZOOTECNIA</t>
  </si>
  <si>
    <t>ELIS APARECIDO BENTO</t>
  </si>
  <si>
    <t>SUBSTITUTO 5</t>
  </si>
  <si>
    <t>CIBELE SILVA MINAFRA</t>
  </si>
  <si>
    <t>20221.02ZOO20I.3MV</t>
  </si>
  <si>
    <t>GRAD.HEA.01</t>
  </si>
  <si>
    <t>HISTOLOGIA E EMBRIOLOGIA ANIMAL</t>
  </si>
  <si>
    <t>GRAD.MAA.01</t>
  </si>
  <si>
    <t>MECANIZAçãO AGRíCOLA APLICADA</t>
  </si>
  <si>
    <t>GRAD.MCSA.03</t>
  </si>
  <si>
    <t>MANEJO E CONSERVAçãO DO SOLO E ÁGUA</t>
  </si>
  <si>
    <t>GRAD.PARASITOLOG.01</t>
  </si>
  <si>
    <t>GRAD.ALIMA.01</t>
  </si>
  <si>
    <t>ALIMENTOS E ALIMENTAçãO</t>
  </si>
  <si>
    <t>20221.02ZOO20I.5MV</t>
  </si>
  <si>
    <t>GRAD.BIOCLIMAT.01</t>
  </si>
  <si>
    <t>BIOCLIMATOLOGIA</t>
  </si>
  <si>
    <t>ANA PAULA CARDOSO GOMIDE</t>
  </si>
  <si>
    <t>GRAD.BROMATOL.01</t>
  </si>
  <si>
    <t>BROMATOLOGIA</t>
  </si>
  <si>
    <t>KáTIA CYLENE GUIMARãES</t>
  </si>
  <si>
    <t>GRAD.FORRAGICULT.01</t>
  </si>
  <si>
    <t>GRAD.HPA.01</t>
  </si>
  <si>
    <t>HIGIENE E PROFILAXIA ANIMAL</t>
  </si>
  <si>
    <t>GRAD.MGA.01</t>
  </si>
  <si>
    <t>MELHORAMENTO GENéTICO ANIMAL</t>
  </si>
  <si>
    <t>GRAD.ANIMCOMP.01</t>
  </si>
  <si>
    <t>ANIMAIS DE COMPANHIA</t>
  </si>
  <si>
    <t>FABIANA RAMOS DOS SANTOS</t>
  </si>
  <si>
    <t>20221.02ZOO20I.7MV</t>
  </si>
  <si>
    <t>GRAD.AQUICULT.01</t>
  </si>
  <si>
    <t>AQUICULTURA</t>
  </si>
  <si>
    <t>GRAD.EQUIDEOCULT.01</t>
  </si>
  <si>
    <t>EQUIDEOCULTURA</t>
  </si>
  <si>
    <t>GRAD.FRPNR.01</t>
  </si>
  <si>
    <t>FORMULAçãO DE RAçãO PARA NãO RUMINANTES</t>
  </si>
  <si>
    <t>GRAD.FRPR.01</t>
  </si>
  <si>
    <t>FORMULAçãO DE RAçãO PARA RUMINANTES</t>
  </si>
  <si>
    <t>GRAD.GN.01</t>
  </si>
  <si>
    <t>GESTãO DE NEGóCIOS</t>
  </si>
  <si>
    <t>GRAD.TPOA.01</t>
  </si>
  <si>
    <t>TECNOLOGIA DE PRODUTOS DE ORIGEM ANIMAL</t>
  </si>
  <si>
    <t>MARCO ANTôNIO PEREIRA DA SILVA</t>
  </si>
  <si>
    <t>GRAD.AVICULT.01</t>
  </si>
  <si>
    <t>AVICULTURA</t>
  </si>
  <si>
    <t>20221.02ZOO20I.9MV</t>
  </si>
  <si>
    <t>GRAD.BL.01</t>
  </si>
  <si>
    <t>BOVINOCULTURA DE LEITE</t>
  </si>
  <si>
    <t>GRAD.EMPREEDAGRO.01</t>
  </si>
  <si>
    <t>EMPREENDEDORISMO NO AGRONEGóCIO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</si>
  <si>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</si>
  <si>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</si>
  <si>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</si>
  <si>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</si>
  <si>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</si>
  <si>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</si>
  <si>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</si>
  <si>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</si>
  <si>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</si>
  <si>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</si>
  <si>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</si>
  <si>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</si>
  <si>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</si>
  <si>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</si>
  <si>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</si>
  <si>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</si>
  <si>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PROF.15</t>
  </si>
  <si>
    <t>PROF.16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</si>
  <si>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</si>
  <si>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</si>
  <si>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</si>
  <si>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</si>
  <si>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</si>
  <si>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</si>
  <si>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</si>
  <si>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</si>
  <si>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</si>
  <si>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</si>
  <si>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</si>
  <si>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</si>
  <si>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</si>
  <si>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</si>
  <si>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</si>
  <si>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</si>
  <si>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</si>
  <si>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</si>
  <si>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</si>
  <si>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</si>
  <si>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</si>
  <si>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</si>
  <si>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</si>
  <si>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</si>
  <si>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</si>
  <si>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</si>
  <si>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</si>
  <si>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</si>
  <si>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</si>
  <si>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</si>
  <si>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</si>
  <si>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</si>
  <si>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</si>
  <si>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</si>
  <si>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</si>
  <si>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</si>
  <si>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</si>
  <si>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</si>
  <si>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</si>
  <si>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</si>
  <si>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</si>
  <si>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</si>
  <si>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</si>
  <si>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</si>
  <si>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</si>
  <si>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</si>
  <si>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</si>
  <si>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</si>
  <si>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</si>
  <si>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</si>
  <si>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</si>
  <si>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</si>
  <si>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</si>
  <si>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PROF.70</t>
  </si>
  <si>
    <t>PROF.71</t>
  </si>
  <si>
    <t>PROF.72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</si>
  <si>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</si>
  <si>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</si>
  <si>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</si>
  <si>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</si>
  <si>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</si>
  <si>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</si>
  <si>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</si>
  <si>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</si>
  <si>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</si>
  <si>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</si>
  <si>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</si>
  <si>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</si>
  <si>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</si>
  <si>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</si>
  <si>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</si>
  <si>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</si>
  <si>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</si>
  <si>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</si>
  <si>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</si>
  <si>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</si>
  <si>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</si>
  <si>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</si>
  <si>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</si>
  <si>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</si>
  <si>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</si>
  <si>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</si>
  <si>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</si>
  <si>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</si>
  <si>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</si>
  <si>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</si>
  <si>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</si>
  <si>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</si>
  <si>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</si>
  <si>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</si>
  <si>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</si>
  <si>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</si>
  <si>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</si>
  <si>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</si>
  <si>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</si>
  <si>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</si>
  <si>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</si>
  <si>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</si>
  <si>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</si>
  <si>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</si>
  <si>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</si>
  <si>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</si>
  <si>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</si>
  <si>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</si>
  <si>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</si>
  <si>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</si>
  <si>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</si>
  <si>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</si>
  <si>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</si>
  <si>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</si>
  <si>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</si>
  <si>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</si>
  <si>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</si>
  <si>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</si>
  <si>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</si>
  <si>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</si>
  <si>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</si>
  <si>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</si>
  <si>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PROF.135</t>
  </si>
  <si>
    <t>PROF.136</t>
  </si>
  <si>
    <t>PROF.137</t>
  </si>
  <si>
    <t>PROF.138</t>
  </si>
  <si>
    <t>PROF.139</t>
  </si>
  <si>
    <t>PROF.140</t>
  </si>
  <si>
    <t>PROF.141</t>
  </si>
  <si>
    <t>PROF.142</t>
  </si>
  <si>
    <t>PROF.143</t>
  </si>
  <si>
    <t>PROF.144</t>
  </si>
  <si>
    <t>PROF.145</t>
  </si>
  <si>
    <t>PROF.146</t>
  </si>
  <si>
    <t>PROF.147</t>
  </si>
  <si>
    <t>PROF.148</t>
  </si>
  <si>
    <t>PROF.149</t>
  </si>
  <si>
    <t>PROF.150</t>
  </si>
  <si>
    <t>PROF.151</t>
  </si>
  <si>
    <t>PROF.152</t>
  </si>
  <si>
    <t>PROF.153</t>
  </si>
  <si>
    <t>PROF.154</t>
  </si>
  <si>
    <t>PROF.155</t>
  </si>
  <si>
    <t>PROF.156</t>
  </si>
  <si>
    <t>PROF.157</t>
  </si>
  <si>
    <t>PROF.158</t>
  </si>
  <si>
    <t>PROF.159</t>
  </si>
  <si>
    <t>PROF.160</t>
  </si>
  <si>
    <t>PROF.161</t>
  </si>
  <si>
    <t>PROF.162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</si>
  <si>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</si>
  <si>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</si>
  <si>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</si>
  <si>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</si>
  <si>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</si>
  <si>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</si>
  <si>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</si>
  <si>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</si>
  <si>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</si>
  <si>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</si>
  <si>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</si>
  <si>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</si>
  <si>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</si>
  <si>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</si>
  <si>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</si>
  <si>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</si>
  <si>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</si>
  <si>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</si>
  <si>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</si>
  <si>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</si>
  <si>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</si>
  <si>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</si>
  <si>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</si>
  <si>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</si>
  <si>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</si>
  <si>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</si>
  <si>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</si>
  <si>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</si>
  <si>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</si>
  <si>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</si>
  <si>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</si>
  <si>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</si>
  <si>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</si>
  <si>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</si>
  <si>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</si>
  <si>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</si>
  <si>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</si>
  <si>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</si>
  <si>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</si>
  <si>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</si>
  <si>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</si>
  <si>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</si>
  <si>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</si>
  <si>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</si>
  <si>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</si>
  <si>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</si>
  <si>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</si>
  <si>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</si>
  <si>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</si>
  <si>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</si>
  <si>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</si>
  <si>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</si>
  <si>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</si>
  <si>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</si>
  <si>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</si>
  <si>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</si>
  <si>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</si>
  <si>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</si>
  <si>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</si>
  <si>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</si>
  <si>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</si>
  <si>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</si>
  <si>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</si>
  <si>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Noite</t>
  </si>
  <si>
    <t>Manhã</t>
  </si>
  <si>
    <t>Tarde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</si>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</sst>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5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9" fontId="7" numFmtId="0" xfId="0" applyAlignment="1" applyBorder="1" applyFill="1" applyFont="1">
      <alignment horizontal="left"/>
    </xf>
    <xf borderId="1" fillId="4" fontId="2" numFmtId="0" xfId="0" applyAlignment="1" applyBorder="1" applyFont="1">
      <alignment vertical="bottom"/>
    </xf>
    <xf borderId="0" fillId="5" fontId="1" numFmtId="49" xfId="0" applyFont="1" applyNumberFormat="1"/>
    <xf borderId="1" fillId="10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5" fontId="6" numFmtId="49" xfId="0" applyAlignment="1" applyBorder="1" applyFont="1" applyNumberFormat="1">
      <alignment readingOrder="0"/>
    </xf>
    <xf borderId="1" fillId="10" fontId="2" numFmtId="49" xfId="0" applyAlignment="1" applyBorder="1" applyFont="1" applyNumberFormat="1">
      <alignment readingOrder="0"/>
    </xf>
    <xf borderId="1" fillId="5" fontId="2" numFmtId="49" xfId="0" applyAlignment="1" applyBorder="1" applyFont="1" applyNumberFormat="1">
      <alignment readingOrder="0"/>
    </xf>
    <xf borderId="1" fillId="5" fontId="7" numFmtId="49" xfId="0" applyAlignment="1" applyBorder="1" applyFont="1" applyNumberFormat="1">
      <alignment readingOrder="0" vertical="bottom"/>
    </xf>
    <xf borderId="1" fillId="0" fontId="7" numFmtId="49" xfId="0" applyAlignment="1" applyBorder="1" applyFont="1" applyNumberFormat="1">
      <alignment readingOrder="0" vertical="bottom"/>
    </xf>
    <xf borderId="1" fillId="10" fontId="7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6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5.43"/>
    <col customWidth="1" min="2" max="2" width="61.57"/>
    <col customWidth="1" min="3" max="3" width="54.14"/>
    <col customWidth="1" min="4" max="4" width="24.29"/>
    <col customWidth="1" min="5" max="5" width="10.86"/>
    <col customWidth="1" min="6" max="6" width="6.71"/>
    <col customWidth="1" min="7" max="7" width="9.14"/>
    <col customWidth="1" min="8" max="8" width="7.29"/>
    <col customWidth="1" min="9" max="14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9" t="s">
        <v>14</v>
      </c>
      <c r="B2" s="10" t="s">
        <v>15</v>
      </c>
      <c r="C2" s="11" t="s">
        <v>16</v>
      </c>
      <c r="D2" s="12" t="s">
        <v>17</v>
      </c>
      <c r="E2" s="13" t="str">
        <f t="array" ref="E2">INDEX(Turmas!C2:C106,MATCH(D2,Turmas!A2:A106,0))</f>
        <v>Noite</v>
      </c>
      <c r="F2" s="14">
        <v>0.0</v>
      </c>
      <c r="G2" s="15">
        <v>2.0</v>
      </c>
      <c r="H2" s="15">
        <v>0.0</v>
      </c>
      <c r="I2" s="16" t="str">
        <f t="shared" ref="I2:I458" si="1">ifs(E2 = "Manhã", "7-16", E2 = "Tarde", "1-6,13-16", E2 = "Noite", "1-12", E2 = "Integral", "13-16")</f>
        <v>1-12</v>
      </c>
      <c r="J2" s="16" t="str">
        <f t="shared" ref="J2:J458" si="2">ifs(E2 = "Manhã", "7-16", E2 = "Tarde", "1-6,13-16", E2 = "Noite", "1-12", E2 = "Integral", "13-16")</f>
        <v>1-12</v>
      </c>
      <c r="K2" s="16" t="str">
        <f t="shared" ref="K2:K458" si="3">ifs(E2 = "Manhã", "7-16", E2 = "Tarde", "1-6,13-16", E2 = "Noite", "1-12", E2 = "Integral", "13-16")</f>
        <v>1-12</v>
      </c>
      <c r="L2" s="16" t="str">
        <f t="shared" ref="L2:L458" si="4">ifs(E2 = "Manhã", "7-16", E2 = "Tarde", "1-6,13-16", E2 = "Noite", "1-12", E2 = "Integral", "13-16")</f>
        <v>1-12</v>
      </c>
      <c r="M2" s="16" t="str">
        <f t="shared" ref="M2:M458" si="5">ifs(E2 = "Manhã", "7-16", E2 = "Tarde", "1-6,13-16", E2 = "Noite", "1-12", E2 = "Integral", "13-16")</f>
        <v>1-12</v>
      </c>
      <c r="N2" s="16" t="str">
        <f t="shared" ref="N2:N458" si="6">ifs(E2 = "Manhã", "1-16", E2 = "Tarde", "1-16", E2 = "Noite", "0", E2 = "Integral", "1-16")</f>
        <v>0</v>
      </c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9" t="s">
        <v>18</v>
      </c>
      <c r="B3" s="10" t="s">
        <v>19</v>
      </c>
      <c r="C3" s="11" t="s">
        <v>20</v>
      </c>
      <c r="D3" s="12" t="s">
        <v>17</v>
      </c>
      <c r="E3" s="13" t="str">
        <f t="array" ref="E3">INDEX(Turmas!C2:C106,MATCH(D3,Turmas!A2:A106,0))</f>
        <v>Noite</v>
      </c>
      <c r="F3" s="14">
        <v>0.0</v>
      </c>
      <c r="G3" s="15">
        <v>2.0</v>
      </c>
      <c r="H3" s="15">
        <v>0.0</v>
      </c>
      <c r="I3" s="16" t="str">
        <f t="shared" si="1"/>
        <v>1-12</v>
      </c>
      <c r="J3" s="16" t="str">
        <f t="shared" si="2"/>
        <v>1-12</v>
      </c>
      <c r="K3" s="16" t="str">
        <f t="shared" si="3"/>
        <v>1-12</v>
      </c>
      <c r="L3" s="16" t="str">
        <f t="shared" si="4"/>
        <v>1-12</v>
      </c>
      <c r="M3" s="16" t="str">
        <f t="shared" si="5"/>
        <v>1-12</v>
      </c>
      <c r="N3" s="16" t="str">
        <f t="shared" si="6"/>
        <v>0</v>
      </c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9" t="s">
        <v>21</v>
      </c>
      <c r="B4" s="10" t="s">
        <v>22</v>
      </c>
      <c r="C4" s="11" t="s">
        <v>23</v>
      </c>
      <c r="D4" s="12" t="s">
        <v>17</v>
      </c>
      <c r="E4" s="13" t="str">
        <f t="array" ref="E4">INDEX(Turmas!C2:C106,MATCH(D4,Turmas!A2:A106,0))</f>
        <v>Noite</v>
      </c>
      <c r="F4" s="14">
        <v>0.0</v>
      </c>
      <c r="G4" s="15">
        <v>2.0</v>
      </c>
      <c r="H4" s="15">
        <v>0.0</v>
      </c>
      <c r="I4" s="16" t="str">
        <f t="shared" si="1"/>
        <v>1-12</v>
      </c>
      <c r="J4" s="16" t="str">
        <f t="shared" si="2"/>
        <v>1-12</v>
      </c>
      <c r="K4" s="16" t="str">
        <f t="shared" si="3"/>
        <v>1-12</v>
      </c>
      <c r="L4" s="16" t="str">
        <f t="shared" si="4"/>
        <v>1-12</v>
      </c>
      <c r="M4" s="16" t="str">
        <f t="shared" si="5"/>
        <v>1-12</v>
      </c>
      <c r="N4" s="16" t="str">
        <f t="shared" si="6"/>
        <v>0</v>
      </c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9" t="s">
        <v>24</v>
      </c>
      <c r="B5" s="10" t="s">
        <v>25</v>
      </c>
      <c r="C5" s="11" t="s">
        <v>26</v>
      </c>
      <c r="D5" s="12" t="s">
        <v>17</v>
      </c>
      <c r="E5" s="13" t="str">
        <f t="array" ref="E5">INDEX(Turmas!C2:C106,MATCH(D5,Turmas!A2:A106,0))</f>
        <v>Noite</v>
      </c>
      <c r="F5" s="14">
        <v>0.0</v>
      </c>
      <c r="G5" s="15">
        <v>2.0</v>
      </c>
      <c r="H5" s="15">
        <v>0.0</v>
      </c>
      <c r="I5" s="16" t="str">
        <f t="shared" si="1"/>
        <v>1-12</v>
      </c>
      <c r="J5" s="16" t="str">
        <f t="shared" si="2"/>
        <v>1-12</v>
      </c>
      <c r="K5" s="16" t="str">
        <f t="shared" si="3"/>
        <v>1-12</v>
      </c>
      <c r="L5" s="16" t="str">
        <f t="shared" si="4"/>
        <v>1-12</v>
      </c>
      <c r="M5" s="16" t="str">
        <f t="shared" si="5"/>
        <v>1-12</v>
      </c>
      <c r="N5" s="16" t="str">
        <f t="shared" si="6"/>
        <v>0</v>
      </c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9" t="s">
        <v>27</v>
      </c>
      <c r="B6" s="10" t="s">
        <v>28</v>
      </c>
      <c r="C6" s="11" t="s">
        <v>29</v>
      </c>
      <c r="D6" s="12" t="s">
        <v>17</v>
      </c>
      <c r="E6" s="13" t="str">
        <f t="array" ref="E6">INDEX(Turmas!C2:C106,MATCH(D6,Turmas!A2:A106,0))</f>
        <v>Noite</v>
      </c>
      <c r="F6" s="14">
        <v>0.0</v>
      </c>
      <c r="G6" s="15">
        <v>4.0</v>
      </c>
      <c r="H6" s="15">
        <v>0.0</v>
      </c>
      <c r="I6" s="16" t="str">
        <f t="shared" si="1"/>
        <v>1-12</v>
      </c>
      <c r="J6" s="16" t="str">
        <f t="shared" si="2"/>
        <v>1-12</v>
      </c>
      <c r="K6" s="16" t="str">
        <f t="shared" si="3"/>
        <v>1-12</v>
      </c>
      <c r="L6" s="16" t="str">
        <f t="shared" si="4"/>
        <v>1-12</v>
      </c>
      <c r="M6" s="16" t="str">
        <f t="shared" si="5"/>
        <v>1-12</v>
      </c>
      <c r="N6" s="16" t="str">
        <f t="shared" si="6"/>
        <v>0</v>
      </c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9" t="s">
        <v>30</v>
      </c>
      <c r="B7" s="10" t="s">
        <v>31</v>
      </c>
      <c r="C7" s="11" t="s">
        <v>32</v>
      </c>
      <c r="D7" s="12" t="s">
        <v>17</v>
      </c>
      <c r="E7" s="13" t="str">
        <f t="array" ref="E7">INDEX(Turmas!C2:C106,MATCH(D7,Turmas!A2:A106,0))</f>
        <v>Noite</v>
      </c>
      <c r="F7" s="14">
        <v>0.0</v>
      </c>
      <c r="G7" s="15">
        <v>4.0</v>
      </c>
      <c r="H7" s="15">
        <v>0.0</v>
      </c>
      <c r="I7" s="16" t="str">
        <f t="shared" si="1"/>
        <v>1-12</v>
      </c>
      <c r="J7" s="16" t="str">
        <f t="shared" si="2"/>
        <v>1-12</v>
      </c>
      <c r="K7" s="16" t="str">
        <f t="shared" si="3"/>
        <v>1-12</v>
      </c>
      <c r="L7" s="16" t="str">
        <f t="shared" si="4"/>
        <v>1-12</v>
      </c>
      <c r="M7" s="16" t="str">
        <f t="shared" si="5"/>
        <v>1-12</v>
      </c>
      <c r="N7" s="16" t="str">
        <f t="shared" si="6"/>
        <v>0</v>
      </c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9" t="s">
        <v>33</v>
      </c>
      <c r="B8" s="10" t="s">
        <v>34</v>
      </c>
      <c r="C8" s="11" t="s">
        <v>29</v>
      </c>
      <c r="D8" s="12" t="s">
        <v>17</v>
      </c>
      <c r="E8" s="13" t="str">
        <f t="array" ref="E8">INDEX(Turmas!C2:C106,MATCH(D8,Turmas!A2:A106,0))</f>
        <v>Noite</v>
      </c>
      <c r="F8" s="14">
        <v>0.0</v>
      </c>
      <c r="G8" s="15">
        <v>2.0</v>
      </c>
      <c r="H8" s="15">
        <v>0.0</v>
      </c>
      <c r="I8" s="16" t="str">
        <f t="shared" si="1"/>
        <v>1-12</v>
      </c>
      <c r="J8" s="16" t="str">
        <f t="shared" si="2"/>
        <v>1-12</v>
      </c>
      <c r="K8" s="16" t="str">
        <f t="shared" si="3"/>
        <v>1-12</v>
      </c>
      <c r="L8" s="16" t="str">
        <f t="shared" si="4"/>
        <v>1-12</v>
      </c>
      <c r="M8" s="16" t="str">
        <f t="shared" si="5"/>
        <v>1-12</v>
      </c>
      <c r="N8" s="16" t="str">
        <f t="shared" si="6"/>
        <v>0</v>
      </c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9" t="s">
        <v>35</v>
      </c>
      <c r="B9" s="10" t="s">
        <v>36</v>
      </c>
      <c r="C9" s="11" t="s">
        <v>37</v>
      </c>
      <c r="D9" s="12" t="s">
        <v>38</v>
      </c>
      <c r="E9" s="13" t="str">
        <f t="array" ref="E9">INDEX(Turmas!C2:C106,MATCH(D9,Turmas!A2:A106,0))</f>
        <v>Noite</v>
      </c>
      <c r="F9" s="14">
        <v>0.0</v>
      </c>
      <c r="G9" s="15">
        <v>4.0</v>
      </c>
      <c r="H9" s="15">
        <v>0.0</v>
      </c>
      <c r="I9" s="16" t="str">
        <f t="shared" si="1"/>
        <v>1-12</v>
      </c>
      <c r="J9" s="16" t="str">
        <f t="shared" si="2"/>
        <v>1-12</v>
      </c>
      <c r="K9" s="16" t="str">
        <f t="shared" si="3"/>
        <v>1-12</v>
      </c>
      <c r="L9" s="16" t="str">
        <f t="shared" si="4"/>
        <v>1-12</v>
      </c>
      <c r="M9" s="16" t="str">
        <f t="shared" si="5"/>
        <v>1-12</v>
      </c>
      <c r="N9" s="16" t="str">
        <f t="shared" si="6"/>
        <v>0</v>
      </c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9" t="s">
        <v>39</v>
      </c>
      <c r="B10" s="10" t="s">
        <v>40</v>
      </c>
      <c r="C10" s="11" t="s">
        <v>20</v>
      </c>
      <c r="D10" s="12" t="s">
        <v>38</v>
      </c>
      <c r="E10" s="18" t="str">
        <f t="array" ref="E10">INDEX(Turmas!C2:C106,MATCH(D10,Turmas!A2:A106,0))</f>
        <v>Noite</v>
      </c>
      <c r="F10" s="14">
        <v>0.0</v>
      </c>
      <c r="G10" s="15">
        <v>2.0</v>
      </c>
      <c r="H10" s="15">
        <v>0.0</v>
      </c>
      <c r="I10" s="16" t="str">
        <f t="shared" si="1"/>
        <v>1-12</v>
      </c>
      <c r="J10" s="16" t="str">
        <f t="shared" si="2"/>
        <v>1-12</v>
      </c>
      <c r="K10" s="16" t="str">
        <f t="shared" si="3"/>
        <v>1-12</v>
      </c>
      <c r="L10" s="16" t="str">
        <f t="shared" si="4"/>
        <v>1-12</v>
      </c>
      <c r="M10" s="16" t="str">
        <f t="shared" si="5"/>
        <v>1-12</v>
      </c>
      <c r="N10" s="16" t="str">
        <f t="shared" si="6"/>
        <v>0</v>
      </c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9" t="s">
        <v>41</v>
      </c>
      <c r="B11" s="10" t="s">
        <v>42</v>
      </c>
      <c r="C11" s="11" t="s">
        <v>43</v>
      </c>
      <c r="D11" s="12" t="s">
        <v>38</v>
      </c>
      <c r="E11" s="13" t="str">
        <f t="array" ref="E11">INDEX(Turmas!C2:C106,MATCH(D11,Turmas!A2:A106,0))</f>
        <v>Noite</v>
      </c>
      <c r="F11" s="14">
        <v>0.0</v>
      </c>
      <c r="G11" s="15">
        <v>2.0</v>
      </c>
      <c r="H11" s="15">
        <v>0.0</v>
      </c>
      <c r="I11" s="16" t="str">
        <f t="shared" si="1"/>
        <v>1-12</v>
      </c>
      <c r="J11" s="16" t="str">
        <f t="shared" si="2"/>
        <v>1-12</v>
      </c>
      <c r="K11" s="16" t="str">
        <f t="shared" si="3"/>
        <v>1-12</v>
      </c>
      <c r="L11" s="16" t="str">
        <f t="shared" si="4"/>
        <v>1-12</v>
      </c>
      <c r="M11" s="16" t="str">
        <f t="shared" si="5"/>
        <v>1-12</v>
      </c>
      <c r="N11" s="16" t="str">
        <f t="shared" si="6"/>
        <v>0</v>
      </c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9" t="s">
        <v>44</v>
      </c>
      <c r="B12" s="10" t="s">
        <v>45</v>
      </c>
      <c r="C12" s="11" t="s">
        <v>20</v>
      </c>
      <c r="D12" s="12" t="s">
        <v>38</v>
      </c>
      <c r="E12" s="13" t="str">
        <f t="array" ref="E12">INDEX(Turmas!C2:C106,MATCH(D12,Turmas!A2:A106,0))</f>
        <v>Noite</v>
      </c>
      <c r="F12" s="14">
        <v>0.0</v>
      </c>
      <c r="G12" s="15">
        <v>2.0</v>
      </c>
      <c r="H12" s="15">
        <v>0.0</v>
      </c>
      <c r="I12" s="16" t="str">
        <f t="shared" si="1"/>
        <v>1-12</v>
      </c>
      <c r="J12" s="16" t="str">
        <f t="shared" si="2"/>
        <v>1-12</v>
      </c>
      <c r="K12" s="16" t="str">
        <f t="shared" si="3"/>
        <v>1-12</v>
      </c>
      <c r="L12" s="16" t="str">
        <f t="shared" si="4"/>
        <v>1-12</v>
      </c>
      <c r="M12" s="16" t="str">
        <f t="shared" si="5"/>
        <v>1-12</v>
      </c>
      <c r="N12" s="16" t="str">
        <f t="shared" si="6"/>
        <v>0</v>
      </c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9" t="s">
        <v>46</v>
      </c>
      <c r="B13" s="10" t="s">
        <v>47</v>
      </c>
      <c r="C13" s="11" t="s">
        <v>29</v>
      </c>
      <c r="D13" s="12" t="s">
        <v>38</v>
      </c>
      <c r="E13" s="13" t="str">
        <f t="array" ref="E13">INDEX(Turmas!C2:C106,MATCH(D13,Turmas!A2:A106,0))</f>
        <v>Noite</v>
      </c>
      <c r="F13" s="14">
        <v>0.0</v>
      </c>
      <c r="G13" s="15">
        <v>4.0</v>
      </c>
      <c r="H13" s="15">
        <v>0.0</v>
      </c>
      <c r="I13" s="16" t="str">
        <f t="shared" si="1"/>
        <v>1-12</v>
      </c>
      <c r="J13" s="16" t="str">
        <f t="shared" si="2"/>
        <v>1-12</v>
      </c>
      <c r="K13" s="16" t="str">
        <f t="shared" si="3"/>
        <v>1-12</v>
      </c>
      <c r="L13" s="16" t="str">
        <f t="shared" si="4"/>
        <v>1-12</v>
      </c>
      <c r="M13" s="16" t="str">
        <f t="shared" si="5"/>
        <v>1-12</v>
      </c>
      <c r="N13" s="16" t="str">
        <f t="shared" si="6"/>
        <v>0</v>
      </c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9" t="s">
        <v>48</v>
      </c>
      <c r="B14" s="10" t="s">
        <v>49</v>
      </c>
      <c r="C14" s="11" t="s">
        <v>50</v>
      </c>
      <c r="D14" s="12" t="s">
        <v>38</v>
      </c>
      <c r="E14" s="13" t="str">
        <f t="array" ref="E14">INDEX(Turmas!C2:C106,MATCH(D14,Turmas!A2:A106,0))</f>
        <v>Noite</v>
      </c>
      <c r="F14" s="14">
        <v>0.0</v>
      </c>
      <c r="G14" s="15">
        <v>4.0</v>
      </c>
      <c r="H14" s="15">
        <v>0.0</v>
      </c>
      <c r="I14" s="16" t="str">
        <f t="shared" si="1"/>
        <v>1-12</v>
      </c>
      <c r="J14" s="16" t="str">
        <f t="shared" si="2"/>
        <v>1-12</v>
      </c>
      <c r="K14" s="16" t="str">
        <f t="shared" si="3"/>
        <v>1-12</v>
      </c>
      <c r="L14" s="16" t="str">
        <f t="shared" si="4"/>
        <v>1-12</v>
      </c>
      <c r="M14" s="16" t="str">
        <f t="shared" si="5"/>
        <v>1-12</v>
      </c>
      <c r="N14" s="16" t="str">
        <f t="shared" si="6"/>
        <v>0</v>
      </c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9" t="s">
        <v>51</v>
      </c>
      <c r="B15" s="10" t="s">
        <v>52</v>
      </c>
      <c r="C15" s="11" t="s">
        <v>53</v>
      </c>
      <c r="D15" s="12" t="s">
        <v>38</v>
      </c>
      <c r="E15" s="13" t="str">
        <f t="array" ref="E15">INDEX(Turmas!C2:C106,MATCH(D15,Turmas!A2:A106,0))</f>
        <v>Noite</v>
      </c>
      <c r="F15" s="14">
        <v>0.0</v>
      </c>
      <c r="G15" s="15">
        <v>4.0</v>
      </c>
      <c r="H15" s="15">
        <v>0.0</v>
      </c>
      <c r="I15" s="16" t="str">
        <f t="shared" si="1"/>
        <v>1-12</v>
      </c>
      <c r="J15" s="16" t="str">
        <f t="shared" si="2"/>
        <v>1-12</v>
      </c>
      <c r="K15" s="16" t="str">
        <f t="shared" si="3"/>
        <v>1-12</v>
      </c>
      <c r="L15" s="16" t="str">
        <f t="shared" si="4"/>
        <v>1-12</v>
      </c>
      <c r="M15" s="16" t="str">
        <f t="shared" si="5"/>
        <v>1-12</v>
      </c>
      <c r="N15" s="16" t="str">
        <f t="shared" si="6"/>
        <v>0</v>
      </c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9" t="s">
        <v>54</v>
      </c>
      <c r="B16" s="10" t="s">
        <v>55</v>
      </c>
      <c r="C16" s="11" t="s">
        <v>56</v>
      </c>
      <c r="D16" s="12" t="s">
        <v>57</v>
      </c>
      <c r="E16" s="13" t="str">
        <f t="array" ref="E16">INDEX(Turmas!C2:C106,MATCH(D16,Turmas!A2:A106,0))</f>
        <v>Noite</v>
      </c>
      <c r="F16" s="14">
        <v>0.0</v>
      </c>
      <c r="G16" s="15">
        <v>2.0</v>
      </c>
      <c r="H16" s="15">
        <v>0.0</v>
      </c>
      <c r="I16" s="16" t="str">
        <f t="shared" si="1"/>
        <v>1-12</v>
      </c>
      <c r="J16" s="16" t="str">
        <f t="shared" si="2"/>
        <v>1-12</v>
      </c>
      <c r="K16" s="16" t="str">
        <f t="shared" si="3"/>
        <v>1-12</v>
      </c>
      <c r="L16" s="16" t="str">
        <f t="shared" si="4"/>
        <v>1-12</v>
      </c>
      <c r="M16" s="16" t="str">
        <f t="shared" si="5"/>
        <v>1-12</v>
      </c>
      <c r="N16" s="16" t="str">
        <f t="shared" si="6"/>
        <v>0</v>
      </c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9" t="s">
        <v>58</v>
      </c>
      <c r="B17" s="10" t="s">
        <v>59</v>
      </c>
      <c r="C17" s="11" t="s">
        <v>60</v>
      </c>
      <c r="D17" s="12" t="s">
        <v>57</v>
      </c>
      <c r="E17" s="13" t="str">
        <f t="array" ref="E17">INDEX(Turmas!C2:C106,MATCH(D17,Turmas!A2:A106,0))</f>
        <v>Noite</v>
      </c>
      <c r="F17" s="14">
        <v>0.0</v>
      </c>
      <c r="G17" s="15">
        <v>2.0</v>
      </c>
      <c r="H17" s="15">
        <v>0.0</v>
      </c>
      <c r="I17" s="16" t="str">
        <f t="shared" si="1"/>
        <v>1-12</v>
      </c>
      <c r="J17" s="16" t="str">
        <f t="shared" si="2"/>
        <v>1-12</v>
      </c>
      <c r="K17" s="16" t="str">
        <f t="shared" si="3"/>
        <v>1-12</v>
      </c>
      <c r="L17" s="16" t="str">
        <f t="shared" si="4"/>
        <v>1-12</v>
      </c>
      <c r="M17" s="16" t="str">
        <f t="shared" si="5"/>
        <v>1-12</v>
      </c>
      <c r="N17" s="16" t="str">
        <f t="shared" si="6"/>
        <v>0</v>
      </c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9" t="s">
        <v>61</v>
      </c>
      <c r="B18" s="10" t="s">
        <v>62</v>
      </c>
      <c r="C18" s="11" t="s">
        <v>60</v>
      </c>
      <c r="D18" s="12" t="s">
        <v>57</v>
      </c>
      <c r="E18" s="13" t="str">
        <f t="array" ref="E18">INDEX(Turmas!C2:C106,MATCH(D18,Turmas!A2:A106,0))</f>
        <v>Noite</v>
      </c>
      <c r="F18" s="14">
        <v>0.0</v>
      </c>
      <c r="G18" s="15">
        <v>2.0</v>
      </c>
      <c r="H18" s="15">
        <v>0.0</v>
      </c>
      <c r="I18" s="16" t="str">
        <f t="shared" si="1"/>
        <v>1-12</v>
      </c>
      <c r="J18" s="16" t="str">
        <f t="shared" si="2"/>
        <v>1-12</v>
      </c>
      <c r="K18" s="16" t="str">
        <f t="shared" si="3"/>
        <v>1-12</v>
      </c>
      <c r="L18" s="16" t="str">
        <f t="shared" si="4"/>
        <v>1-12</v>
      </c>
      <c r="M18" s="16" t="str">
        <f t="shared" si="5"/>
        <v>1-12</v>
      </c>
      <c r="N18" s="16" t="str">
        <f t="shared" si="6"/>
        <v>0</v>
      </c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9" t="s">
        <v>63</v>
      </c>
      <c r="B19" s="10" t="s">
        <v>64</v>
      </c>
      <c r="C19" s="11" t="s">
        <v>60</v>
      </c>
      <c r="D19" s="12" t="s">
        <v>65</v>
      </c>
      <c r="E19" s="13" t="str">
        <f t="array" ref="E19">INDEX(Turmas!C2:C106,MATCH(D19,Turmas!A2:A106,0))</f>
        <v>Noite</v>
      </c>
      <c r="F19" s="14">
        <v>0.0</v>
      </c>
      <c r="G19" s="15">
        <v>2.0</v>
      </c>
      <c r="H19" s="15">
        <v>0.0</v>
      </c>
      <c r="I19" s="16" t="str">
        <f t="shared" si="1"/>
        <v>1-12</v>
      </c>
      <c r="J19" s="16" t="str">
        <f t="shared" si="2"/>
        <v>1-12</v>
      </c>
      <c r="K19" s="16" t="str">
        <f t="shared" si="3"/>
        <v>1-12</v>
      </c>
      <c r="L19" s="16" t="str">
        <f t="shared" si="4"/>
        <v>1-12</v>
      </c>
      <c r="M19" s="16" t="str">
        <f t="shared" si="5"/>
        <v>1-12</v>
      </c>
      <c r="N19" s="16" t="str">
        <f t="shared" si="6"/>
        <v>0</v>
      </c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9" t="s">
        <v>66</v>
      </c>
      <c r="B20" s="10" t="s">
        <v>67</v>
      </c>
      <c r="C20" s="11" t="s">
        <v>68</v>
      </c>
      <c r="D20" s="12" t="s">
        <v>69</v>
      </c>
      <c r="E20" s="13" t="str">
        <f t="array" ref="E20">INDEX(Turmas!C2:C106,MATCH(D20,Turmas!A2:A106,0))</f>
        <v>Noite</v>
      </c>
      <c r="F20" s="14">
        <v>0.0</v>
      </c>
      <c r="G20" s="15">
        <v>1.0</v>
      </c>
      <c r="H20" s="15">
        <v>0.0</v>
      </c>
      <c r="I20" s="16" t="str">
        <f t="shared" si="1"/>
        <v>1-12</v>
      </c>
      <c r="J20" s="16" t="str">
        <f t="shared" si="2"/>
        <v>1-12</v>
      </c>
      <c r="K20" s="16" t="str">
        <f t="shared" si="3"/>
        <v>1-12</v>
      </c>
      <c r="L20" s="16" t="str">
        <f t="shared" si="4"/>
        <v>1-12</v>
      </c>
      <c r="M20" s="16" t="str">
        <f t="shared" si="5"/>
        <v>1-12</v>
      </c>
      <c r="N20" s="16" t="str">
        <f t="shared" si="6"/>
        <v>0</v>
      </c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9" t="s">
        <v>70</v>
      </c>
      <c r="B21" s="10" t="s">
        <v>71</v>
      </c>
      <c r="C21" s="11" t="s">
        <v>37</v>
      </c>
      <c r="D21" s="12" t="s">
        <v>72</v>
      </c>
      <c r="E21" s="13" t="str">
        <f t="array" ref="E21">INDEX(Turmas!C2:C106,MATCH(D21,Turmas!A2:A106,0))</f>
        <v>Noite</v>
      </c>
      <c r="F21" s="14">
        <v>0.0</v>
      </c>
      <c r="G21" s="15">
        <v>4.0</v>
      </c>
      <c r="H21" s="15">
        <v>0.0</v>
      </c>
      <c r="I21" s="16" t="str">
        <f t="shared" si="1"/>
        <v>1-12</v>
      </c>
      <c r="J21" s="16" t="str">
        <f t="shared" si="2"/>
        <v>1-12</v>
      </c>
      <c r="K21" s="16" t="str">
        <f t="shared" si="3"/>
        <v>1-12</v>
      </c>
      <c r="L21" s="16" t="str">
        <f t="shared" si="4"/>
        <v>1-12</v>
      </c>
      <c r="M21" s="16" t="str">
        <f t="shared" si="5"/>
        <v>1-12</v>
      </c>
      <c r="N21" s="16" t="str">
        <f t="shared" si="6"/>
        <v>0</v>
      </c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9" t="s">
        <v>73</v>
      </c>
      <c r="B22" s="10" t="s">
        <v>74</v>
      </c>
      <c r="C22" s="11" t="s">
        <v>56</v>
      </c>
      <c r="D22" s="12" t="s">
        <v>72</v>
      </c>
      <c r="E22" s="13" t="str">
        <f t="array" ref="E22">INDEX(Turmas!C2:C106,MATCH(D22,Turmas!A2:A106,0))</f>
        <v>Noite</v>
      </c>
      <c r="F22" s="14">
        <v>5.0</v>
      </c>
      <c r="G22" s="15">
        <v>3.0</v>
      </c>
      <c r="H22" s="15">
        <v>0.0</v>
      </c>
      <c r="I22" s="16" t="str">
        <f t="shared" si="1"/>
        <v>1-12</v>
      </c>
      <c r="J22" s="16" t="str">
        <f t="shared" si="2"/>
        <v>1-12</v>
      </c>
      <c r="K22" s="16" t="str">
        <f t="shared" si="3"/>
        <v>1-12</v>
      </c>
      <c r="L22" s="16" t="str">
        <f t="shared" si="4"/>
        <v>1-12</v>
      </c>
      <c r="M22" s="16" t="str">
        <f t="shared" si="5"/>
        <v>1-12</v>
      </c>
      <c r="N22" s="16" t="str">
        <f t="shared" si="6"/>
        <v>0</v>
      </c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9" t="s">
        <v>75</v>
      </c>
      <c r="B23" s="10" t="s">
        <v>76</v>
      </c>
      <c r="C23" s="11" t="s">
        <v>77</v>
      </c>
      <c r="D23" s="12" t="s">
        <v>72</v>
      </c>
      <c r="E23" s="13" t="str">
        <f t="array" ref="E23">INDEX(Turmas!C2:C106,MATCH(D23,Turmas!A2:A106,0))</f>
        <v>Noite</v>
      </c>
      <c r="F23" s="14">
        <v>0.0</v>
      </c>
      <c r="G23" s="15">
        <v>3.0</v>
      </c>
      <c r="H23" s="15">
        <v>0.0</v>
      </c>
      <c r="I23" s="16" t="str">
        <f t="shared" si="1"/>
        <v>1-12</v>
      </c>
      <c r="J23" s="16" t="str">
        <f t="shared" si="2"/>
        <v>1-12</v>
      </c>
      <c r="K23" s="16" t="str">
        <f t="shared" si="3"/>
        <v>1-12</v>
      </c>
      <c r="L23" s="16" t="str">
        <f t="shared" si="4"/>
        <v>1-12</v>
      </c>
      <c r="M23" s="16" t="str">
        <f t="shared" si="5"/>
        <v>1-12</v>
      </c>
      <c r="N23" s="16" t="str">
        <f t="shared" si="6"/>
        <v>0</v>
      </c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9" t="s">
        <v>78</v>
      </c>
      <c r="B24" s="10" t="s">
        <v>79</v>
      </c>
      <c r="C24" s="11" t="s">
        <v>80</v>
      </c>
      <c r="D24" s="12" t="s">
        <v>81</v>
      </c>
      <c r="E24" s="13" t="str">
        <f t="array" ref="E24">INDEX(Turmas!C2:C106,MATCH(D24,Turmas!A2:A106,0))</f>
        <v>Noite</v>
      </c>
      <c r="F24" s="14">
        <v>0.0</v>
      </c>
      <c r="G24" s="15">
        <v>4.0</v>
      </c>
      <c r="H24" s="15">
        <v>0.0</v>
      </c>
      <c r="I24" s="16" t="str">
        <f t="shared" si="1"/>
        <v>1-12</v>
      </c>
      <c r="J24" s="16" t="str">
        <f t="shared" si="2"/>
        <v>1-12</v>
      </c>
      <c r="K24" s="16" t="str">
        <f t="shared" si="3"/>
        <v>1-12</v>
      </c>
      <c r="L24" s="16" t="str">
        <f t="shared" si="4"/>
        <v>1-12</v>
      </c>
      <c r="M24" s="16" t="str">
        <f t="shared" si="5"/>
        <v>1-12</v>
      </c>
      <c r="N24" s="16" t="str">
        <f t="shared" si="6"/>
        <v>0</v>
      </c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9" t="s">
        <v>82</v>
      </c>
      <c r="B25" s="10" t="s">
        <v>83</v>
      </c>
      <c r="C25" s="11" t="s">
        <v>16</v>
      </c>
      <c r="D25" s="12" t="s">
        <v>81</v>
      </c>
      <c r="E25" s="13" t="str">
        <f t="array" ref="E25">INDEX(Turmas!C2:C106,MATCH(D25,Turmas!A2:A106,0))</f>
        <v>Noite</v>
      </c>
      <c r="F25" s="14">
        <v>0.0</v>
      </c>
      <c r="G25" s="15">
        <v>3.0</v>
      </c>
      <c r="H25" s="15">
        <v>0.0</v>
      </c>
      <c r="I25" s="16" t="str">
        <f t="shared" si="1"/>
        <v>1-12</v>
      </c>
      <c r="J25" s="16" t="str">
        <f t="shared" si="2"/>
        <v>1-12</v>
      </c>
      <c r="K25" s="16" t="str">
        <f t="shared" si="3"/>
        <v>1-12</v>
      </c>
      <c r="L25" s="16" t="str">
        <f t="shared" si="4"/>
        <v>1-12</v>
      </c>
      <c r="M25" s="16" t="str">
        <f t="shared" si="5"/>
        <v>1-12</v>
      </c>
      <c r="N25" s="16" t="str">
        <f t="shared" si="6"/>
        <v>0</v>
      </c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9" t="s">
        <v>84</v>
      </c>
      <c r="B26" s="10" t="s">
        <v>85</v>
      </c>
      <c r="C26" s="11" t="s">
        <v>86</v>
      </c>
      <c r="D26" s="12" t="s">
        <v>87</v>
      </c>
      <c r="E26" s="13" t="str">
        <f t="array" ref="E26">INDEX(Turmas!C2:C106,MATCH(D26,Turmas!A2:A106,0))</f>
        <v>Noite</v>
      </c>
      <c r="F26" s="14">
        <v>0.0</v>
      </c>
      <c r="G26" s="15">
        <v>4.0</v>
      </c>
      <c r="H26" s="15">
        <v>0.0</v>
      </c>
      <c r="I26" s="16" t="str">
        <f t="shared" si="1"/>
        <v>1-12</v>
      </c>
      <c r="J26" s="16" t="str">
        <f t="shared" si="2"/>
        <v>1-12</v>
      </c>
      <c r="K26" s="16" t="str">
        <f t="shared" si="3"/>
        <v>1-12</v>
      </c>
      <c r="L26" s="16" t="str">
        <f t="shared" si="4"/>
        <v>1-12</v>
      </c>
      <c r="M26" s="16" t="str">
        <f t="shared" si="5"/>
        <v>1-12</v>
      </c>
      <c r="N26" s="16" t="str">
        <f t="shared" si="6"/>
        <v>0</v>
      </c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9" t="s">
        <v>88</v>
      </c>
      <c r="B27" s="10" t="s">
        <v>89</v>
      </c>
      <c r="C27" s="11" t="s">
        <v>43</v>
      </c>
      <c r="D27" s="12" t="s">
        <v>87</v>
      </c>
      <c r="E27" s="13" t="str">
        <f t="array" ref="E27">INDEX(Turmas!C2:C106,MATCH(D27,Turmas!A2:A106,0))</f>
        <v>Noite</v>
      </c>
      <c r="F27" s="14">
        <v>0.0</v>
      </c>
      <c r="G27" s="15">
        <v>4.0</v>
      </c>
      <c r="H27" s="15">
        <v>0.0</v>
      </c>
      <c r="I27" s="16" t="str">
        <f t="shared" si="1"/>
        <v>1-12</v>
      </c>
      <c r="J27" s="16" t="str">
        <f t="shared" si="2"/>
        <v>1-12</v>
      </c>
      <c r="K27" s="16" t="str">
        <f t="shared" si="3"/>
        <v>1-12</v>
      </c>
      <c r="L27" s="16" t="str">
        <f t="shared" si="4"/>
        <v>1-12</v>
      </c>
      <c r="M27" s="16" t="str">
        <f t="shared" si="5"/>
        <v>1-12</v>
      </c>
      <c r="N27" s="16" t="str">
        <f t="shared" si="6"/>
        <v>0</v>
      </c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9" t="s">
        <v>90</v>
      </c>
      <c r="B28" s="10" t="s">
        <v>91</v>
      </c>
      <c r="C28" s="11" t="s">
        <v>56</v>
      </c>
      <c r="D28" s="12" t="s">
        <v>87</v>
      </c>
      <c r="E28" s="13" t="str">
        <f t="array" ref="E28">INDEX(Turmas!C2:C106,MATCH(D28,Turmas!A2:A106,0))</f>
        <v>Noite</v>
      </c>
      <c r="F28" s="14">
        <v>0.0</v>
      </c>
      <c r="G28" s="15">
        <v>4.0</v>
      </c>
      <c r="H28" s="15">
        <v>0.0</v>
      </c>
      <c r="I28" s="16" t="str">
        <f t="shared" si="1"/>
        <v>1-12</v>
      </c>
      <c r="J28" s="16" t="str">
        <f t="shared" si="2"/>
        <v>1-12</v>
      </c>
      <c r="K28" s="16" t="str">
        <f t="shared" si="3"/>
        <v>1-12</v>
      </c>
      <c r="L28" s="16" t="str">
        <f t="shared" si="4"/>
        <v>1-12</v>
      </c>
      <c r="M28" s="16" t="str">
        <f t="shared" si="5"/>
        <v>1-12</v>
      </c>
      <c r="N28" s="16" t="str">
        <f t="shared" si="6"/>
        <v>0</v>
      </c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9" t="s">
        <v>92</v>
      </c>
      <c r="B29" s="10" t="s">
        <v>93</v>
      </c>
      <c r="C29" s="11" t="s">
        <v>94</v>
      </c>
      <c r="D29" s="12" t="s">
        <v>87</v>
      </c>
      <c r="E29" s="13" t="str">
        <f t="array" ref="E29">INDEX(Turmas!C2:C106,MATCH(D29,Turmas!A2:A106,0))</f>
        <v>Noite</v>
      </c>
      <c r="F29" s="14">
        <v>0.0</v>
      </c>
      <c r="G29" s="15">
        <v>4.0</v>
      </c>
      <c r="H29" s="15">
        <v>0.0</v>
      </c>
      <c r="I29" s="16" t="str">
        <f t="shared" si="1"/>
        <v>1-12</v>
      </c>
      <c r="J29" s="16" t="str">
        <f t="shared" si="2"/>
        <v>1-12</v>
      </c>
      <c r="K29" s="16" t="str">
        <f t="shared" si="3"/>
        <v>1-12</v>
      </c>
      <c r="L29" s="16" t="str">
        <f t="shared" si="4"/>
        <v>1-12</v>
      </c>
      <c r="M29" s="16" t="str">
        <f t="shared" si="5"/>
        <v>1-12</v>
      </c>
      <c r="N29" s="16" t="str">
        <f t="shared" si="6"/>
        <v>0</v>
      </c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9" t="s">
        <v>95</v>
      </c>
      <c r="B30" s="10" t="s">
        <v>96</v>
      </c>
      <c r="C30" s="11" t="s">
        <v>50</v>
      </c>
      <c r="D30" s="12" t="s">
        <v>87</v>
      </c>
      <c r="E30" s="13" t="str">
        <f t="array" ref="E30">INDEX(Turmas!C2:C106,MATCH(D30,Turmas!A2:A106,0))</f>
        <v>Noite</v>
      </c>
      <c r="F30" s="14">
        <v>0.0</v>
      </c>
      <c r="G30" s="15">
        <v>4.0</v>
      </c>
      <c r="H30" s="15">
        <v>0.0</v>
      </c>
      <c r="I30" s="16" t="str">
        <f t="shared" si="1"/>
        <v>1-12</v>
      </c>
      <c r="J30" s="16" t="str">
        <f t="shared" si="2"/>
        <v>1-12</v>
      </c>
      <c r="K30" s="16" t="str">
        <f t="shared" si="3"/>
        <v>1-12</v>
      </c>
      <c r="L30" s="16" t="str">
        <f t="shared" si="4"/>
        <v>1-12</v>
      </c>
      <c r="M30" s="16" t="str">
        <f t="shared" si="5"/>
        <v>1-12</v>
      </c>
      <c r="N30" s="16" t="str">
        <f t="shared" si="6"/>
        <v>0</v>
      </c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9" t="s">
        <v>97</v>
      </c>
      <c r="B31" s="10" t="s">
        <v>98</v>
      </c>
      <c r="C31" s="11" t="s">
        <v>37</v>
      </c>
      <c r="D31" s="12" t="s">
        <v>99</v>
      </c>
      <c r="E31" s="13" t="str">
        <f t="array" ref="E31">INDEX(Turmas!C2:C106,MATCH(D31,Turmas!A2:A106,0))</f>
        <v>Noite</v>
      </c>
      <c r="F31" s="14">
        <v>0.0</v>
      </c>
      <c r="G31" s="15">
        <v>4.0</v>
      </c>
      <c r="H31" s="15">
        <v>0.0</v>
      </c>
      <c r="I31" s="16" t="str">
        <f t="shared" si="1"/>
        <v>1-12</v>
      </c>
      <c r="J31" s="16" t="str">
        <f t="shared" si="2"/>
        <v>1-12</v>
      </c>
      <c r="K31" s="16" t="str">
        <f t="shared" si="3"/>
        <v>1-12</v>
      </c>
      <c r="L31" s="16" t="str">
        <f t="shared" si="4"/>
        <v>1-12</v>
      </c>
      <c r="M31" s="16" t="str">
        <f t="shared" si="5"/>
        <v>1-12</v>
      </c>
      <c r="N31" s="16" t="str">
        <f t="shared" si="6"/>
        <v>0</v>
      </c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9" t="s">
        <v>100</v>
      </c>
      <c r="B32" s="10" t="s">
        <v>101</v>
      </c>
      <c r="C32" s="11" t="s">
        <v>102</v>
      </c>
      <c r="D32" s="12" t="s">
        <v>99</v>
      </c>
      <c r="E32" s="13" t="str">
        <f t="array" ref="E32">INDEX(Turmas!C2:C106,MATCH(D32,Turmas!A2:A106,0))</f>
        <v>Noite</v>
      </c>
      <c r="F32" s="14">
        <v>0.0</v>
      </c>
      <c r="G32" s="15">
        <v>2.0</v>
      </c>
      <c r="H32" s="15">
        <v>0.0</v>
      </c>
      <c r="I32" s="16" t="str">
        <f t="shared" si="1"/>
        <v>1-12</v>
      </c>
      <c r="J32" s="16" t="str">
        <f t="shared" si="2"/>
        <v>1-12</v>
      </c>
      <c r="K32" s="16" t="str">
        <f t="shared" si="3"/>
        <v>1-12</v>
      </c>
      <c r="L32" s="16" t="str">
        <f t="shared" si="4"/>
        <v>1-12</v>
      </c>
      <c r="M32" s="16" t="str">
        <f t="shared" si="5"/>
        <v>1-12</v>
      </c>
      <c r="N32" s="16" t="str">
        <f t="shared" si="6"/>
        <v>0</v>
      </c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9" t="s">
        <v>103</v>
      </c>
      <c r="B33" s="19" t="s">
        <v>104</v>
      </c>
      <c r="C33" s="11" t="s">
        <v>105</v>
      </c>
      <c r="D33" s="12" t="s">
        <v>99</v>
      </c>
      <c r="E33" s="13" t="str">
        <f t="array" ref="E33">INDEX(Turmas!C2:C106,MATCH(D33,Turmas!A2:A106,0))</f>
        <v>Noite</v>
      </c>
      <c r="F33" s="20">
        <v>0.0</v>
      </c>
      <c r="G33" s="15">
        <v>4.0</v>
      </c>
      <c r="H33" s="15">
        <v>0.0</v>
      </c>
      <c r="I33" s="16" t="str">
        <f t="shared" si="1"/>
        <v>1-12</v>
      </c>
      <c r="J33" s="16" t="str">
        <f t="shared" si="2"/>
        <v>1-12</v>
      </c>
      <c r="K33" s="16" t="str">
        <f t="shared" si="3"/>
        <v>1-12</v>
      </c>
      <c r="L33" s="16" t="str">
        <f t="shared" si="4"/>
        <v>1-12</v>
      </c>
      <c r="M33" s="16" t="str">
        <f t="shared" si="5"/>
        <v>1-12</v>
      </c>
      <c r="N33" s="16" t="str">
        <f t="shared" si="6"/>
        <v>0</v>
      </c>
      <c r="O33" s="21"/>
      <c r="P33" s="21"/>
      <c r="Q33" s="21"/>
      <c r="R33" s="21"/>
      <c r="S33" s="21"/>
      <c r="T33" s="21"/>
      <c r="U33" s="21"/>
      <c r="V33" s="21"/>
      <c r="W33" s="21"/>
    </row>
    <row r="34" ht="14.25" customHeight="1">
      <c r="A34" s="9" t="s">
        <v>106</v>
      </c>
      <c r="B34" s="10" t="s">
        <v>107</v>
      </c>
      <c r="C34" s="11" t="s">
        <v>26</v>
      </c>
      <c r="D34" s="12" t="s">
        <v>99</v>
      </c>
      <c r="E34" s="13" t="str">
        <f t="array" ref="E34">INDEX(Turmas!C2:C106,MATCH(D34,Turmas!A2:A106,0))</f>
        <v>Noite</v>
      </c>
      <c r="F34" s="14">
        <v>0.0</v>
      </c>
      <c r="G34" s="15">
        <v>4.0</v>
      </c>
      <c r="H34" s="15">
        <v>0.0</v>
      </c>
      <c r="I34" s="16" t="str">
        <f t="shared" si="1"/>
        <v>1-12</v>
      </c>
      <c r="J34" s="16" t="str">
        <f t="shared" si="2"/>
        <v>1-12</v>
      </c>
      <c r="K34" s="16" t="str">
        <f t="shared" si="3"/>
        <v>1-12</v>
      </c>
      <c r="L34" s="16" t="str">
        <f t="shared" si="4"/>
        <v>1-12</v>
      </c>
      <c r="M34" s="16" t="str">
        <f t="shared" si="5"/>
        <v>1-12</v>
      </c>
      <c r="N34" s="16" t="str">
        <f t="shared" si="6"/>
        <v>0</v>
      </c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9" t="s">
        <v>108</v>
      </c>
      <c r="B35" s="10" t="s">
        <v>109</v>
      </c>
      <c r="C35" s="11" t="s">
        <v>110</v>
      </c>
      <c r="D35" s="12" t="s">
        <v>99</v>
      </c>
      <c r="E35" s="13" t="str">
        <f t="array" ref="E35">INDEX(Turmas!C2:C106,MATCH(D35,Turmas!A2:A106,0))</f>
        <v>Noite</v>
      </c>
      <c r="F35" s="14">
        <v>0.0</v>
      </c>
      <c r="G35" s="15">
        <v>4.0</v>
      </c>
      <c r="H35" s="15">
        <v>0.0</v>
      </c>
      <c r="I35" s="16" t="str">
        <f t="shared" si="1"/>
        <v>1-12</v>
      </c>
      <c r="J35" s="16" t="str">
        <f t="shared" si="2"/>
        <v>1-12</v>
      </c>
      <c r="K35" s="16" t="str">
        <f t="shared" si="3"/>
        <v>1-12</v>
      </c>
      <c r="L35" s="16" t="str">
        <f t="shared" si="4"/>
        <v>1-12</v>
      </c>
      <c r="M35" s="16" t="str">
        <f t="shared" si="5"/>
        <v>1-12</v>
      </c>
      <c r="N35" s="16" t="str">
        <f t="shared" si="6"/>
        <v>0</v>
      </c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9" t="s">
        <v>111</v>
      </c>
      <c r="B36" s="10" t="s">
        <v>112</v>
      </c>
      <c r="C36" s="11" t="s">
        <v>113</v>
      </c>
      <c r="D36" s="12" t="s">
        <v>114</v>
      </c>
      <c r="E36" s="13" t="str">
        <f t="array" ref="E36">INDEX(Turmas!C2:C106,MATCH(D36,Turmas!A2:A106,0))</f>
        <v>Noite</v>
      </c>
      <c r="F36" s="14">
        <v>0.0</v>
      </c>
      <c r="G36" s="15">
        <v>4.0</v>
      </c>
      <c r="H36" s="15">
        <v>0.0</v>
      </c>
      <c r="I36" s="16" t="str">
        <f t="shared" si="1"/>
        <v>1-12</v>
      </c>
      <c r="J36" s="16" t="str">
        <f t="shared" si="2"/>
        <v>1-12</v>
      </c>
      <c r="K36" s="16" t="str">
        <f t="shared" si="3"/>
        <v>1-12</v>
      </c>
      <c r="L36" s="16" t="str">
        <f t="shared" si="4"/>
        <v>1-12</v>
      </c>
      <c r="M36" s="16" t="str">
        <f t="shared" si="5"/>
        <v>1-12</v>
      </c>
      <c r="N36" s="16" t="str">
        <f t="shared" si="6"/>
        <v>0</v>
      </c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9" t="s">
        <v>115</v>
      </c>
      <c r="B37" s="10" t="s">
        <v>116</v>
      </c>
      <c r="C37" s="11" t="s">
        <v>102</v>
      </c>
      <c r="D37" s="12" t="s">
        <v>114</v>
      </c>
      <c r="E37" s="13" t="str">
        <f t="array" ref="E37">INDEX(Turmas!C2:C106,MATCH(D37,Turmas!A2:A106,0))</f>
        <v>Noite</v>
      </c>
      <c r="F37" s="14">
        <v>0.0</v>
      </c>
      <c r="G37" s="15">
        <v>2.0</v>
      </c>
      <c r="H37" s="15">
        <v>0.0</v>
      </c>
      <c r="I37" s="16" t="str">
        <f t="shared" si="1"/>
        <v>1-12</v>
      </c>
      <c r="J37" s="16" t="str">
        <f t="shared" si="2"/>
        <v>1-12</v>
      </c>
      <c r="K37" s="16" t="str">
        <f t="shared" si="3"/>
        <v>1-12</v>
      </c>
      <c r="L37" s="16" t="str">
        <f t="shared" si="4"/>
        <v>1-12</v>
      </c>
      <c r="M37" s="16" t="str">
        <f t="shared" si="5"/>
        <v>1-12</v>
      </c>
      <c r="N37" s="16" t="str">
        <f t="shared" si="6"/>
        <v>0</v>
      </c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9" t="s">
        <v>117</v>
      </c>
      <c r="B38" s="10" t="s">
        <v>118</v>
      </c>
      <c r="C38" s="11" t="s">
        <v>110</v>
      </c>
      <c r="D38" s="12" t="s">
        <v>114</v>
      </c>
      <c r="E38" s="13" t="str">
        <f t="array" ref="E38">INDEX(Turmas!C2:C106,MATCH(D38,Turmas!A2:A106,0))</f>
        <v>Noite</v>
      </c>
      <c r="F38" s="14">
        <v>0.0</v>
      </c>
      <c r="G38" s="15">
        <v>4.0</v>
      </c>
      <c r="H38" s="15">
        <v>0.0</v>
      </c>
      <c r="I38" s="16" t="str">
        <f t="shared" si="1"/>
        <v>1-12</v>
      </c>
      <c r="J38" s="16" t="str">
        <f t="shared" si="2"/>
        <v>1-12</v>
      </c>
      <c r="K38" s="16" t="str">
        <f t="shared" si="3"/>
        <v>1-12</v>
      </c>
      <c r="L38" s="16" t="str">
        <f t="shared" si="4"/>
        <v>1-12</v>
      </c>
      <c r="M38" s="16" t="str">
        <f t="shared" si="5"/>
        <v>1-12</v>
      </c>
      <c r="N38" s="16" t="str">
        <f t="shared" si="6"/>
        <v>0</v>
      </c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9" t="s">
        <v>119</v>
      </c>
      <c r="B39" s="10" t="s">
        <v>120</v>
      </c>
      <c r="C39" s="11" t="s">
        <v>86</v>
      </c>
      <c r="D39" s="12" t="s">
        <v>114</v>
      </c>
      <c r="E39" s="13" t="str">
        <f t="array" ref="E39">INDEX(Turmas!C2:C106,MATCH(D39,Turmas!A2:A106,0))</f>
        <v>Noite</v>
      </c>
      <c r="F39" s="14">
        <v>0.0</v>
      </c>
      <c r="G39" s="15">
        <v>4.0</v>
      </c>
      <c r="H39" s="15">
        <v>0.0</v>
      </c>
      <c r="I39" s="16" t="str">
        <f t="shared" si="1"/>
        <v>1-12</v>
      </c>
      <c r="J39" s="16" t="str">
        <f t="shared" si="2"/>
        <v>1-12</v>
      </c>
      <c r="K39" s="16" t="str">
        <f t="shared" si="3"/>
        <v>1-12</v>
      </c>
      <c r="L39" s="16" t="str">
        <f t="shared" si="4"/>
        <v>1-12</v>
      </c>
      <c r="M39" s="16" t="str">
        <f t="shared" si="5"/>
        <v>1-12</v>
      </c>
      <c r="N39" s="16" t="str">
        <f t="shared" si="6"/>
        <v>0</v>
      </c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9" t="s">
        <v>121</v>
      </c>
      <c r="B40" s="10" t="s">
        <v>122</v>
      </c>
      <c r="C40" s="11" t="s">
        <v>113</v>
      </c>
      <c r="D40" s="12" t="s">
        <v>114</v>
      </c>
      <c r="E40" s="13" t="str">
        <f t="array" ref="E40">INDEX(Turmas!C2:C106,MATCH(D40,Turmas!A2:A106,0))</f>
        <v>Noite</v>
      </c>
      <c r="F40" s="14">
        <v>0.0</v>
      </c>
      <c r="G40" s="15">
        <v>4.0</v>
      </c>
      <c r="H40" s="15">
        <v>0.0</v>
      </c>
      <c r="I40" s="16" t="str">
        <f t="shared" si="1"/>
        <v>1-12</v>
      </c>
      <c r="J40" s="16" t="str">
        <f t="shared" si="2"/>
        <v>1-12</v>
      </c>
      <c r="K40" s="16" t="str">
        <f t="shared" si="3"/>
        <v>1-12</v>
      </c>
      <c r="L40" s="16" t="str">
        <f t="shared" si="4"/>
        <v>1-12</v>
      </c>
      <c r="M40" s="16" t="str">
        <f t="shared" si="5"/>
        <v>1-12</v>
      </c>
      <c r="N40" s="16" t="str">
        <f t="shared" si="6"/>
        <v>0</v>
      </c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9" t="s">
        <v>123</v>
      </c>
      <c r="B41" s="10" t="s">
        <v>124</v>
      </c>
      <c r="C41" s="11" t="s">
        <v>125</v>
      </c>
      <c r="D41" s="12" t="s">
        <v>126</v>
      </c>
      <c r="E41" s="13" t="str">
        <f t="array" ref="E41">INDEX(Turmas!C2:C106,MATCH(D41,Turmas!A2:A106,0))</f>
        <v>Noite</v>
      </c>
      <c r="F41" s="14">
        <v>0.0</v>
      </c>
      <c r="G41" s="15">
        <v>4.0</v>
      </c>
      <c r="H41" s="15">
        <v>0.0</v>
      </c>
      <c r="I41" s="16" t="str">
        <f t="shared" si="1"/>
        <v>1-12</v>
      </c>
      <c r="J41" s="16" t="str">
        <f t="shared" si="2"/>
        <v>1-12</v>
      </c>
      <c r="K41" s="16" t="str">
        <f t="shared" si="3"/>
        <v>1-12</v>
      </c>
      <c r="L41" s="16" t="str">
        <f t="shared" si="4"/>
        <v>1-12</v>
      </c>
      <c r="M41" s="16" t="str">
        <f t="shared" si="5"/>
        <v>1-12</v>
      </c>
      <c r="N41" s="16" t="str">
        <f t="shared" si="6"/>
        <v>0</v>
      </c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9" t="s">
        <v>127</v>
      </c>
      <c r="B42" s="10" t="s">
        <v>128</v>
      </c>
      <c r="C42" s="11" t="s">
        <v>20</v>
      </c>
      <c r="D42" s="12" t="s">
        <v>126</v>
      </c>
      <c r="E42" s="13" t="str">
        <f t="array" ref="E42">INDEX(Turmas!C2:C106,MATCH(D42,Turmas!A2:A106,0))</f>
        <v>Noite</v>
      </c>
      <c r="F42" s="14">
        <v>0.0</v>
      </c>
      <c r="G42" s="15">
        <v>4.0</v>
      </c>
      <c r="H42" s="15">
        <v>0.0</v>
      </c>
      <c r="I42" s="16" t="str">
        <f t="shared" si="1"/>
        <v>1-12</v>
      </c>
      <c r="J42" s="16" t="str">
        <f t="shared" si="2"/>
        <v>1-12</v>
      </c>
      <c r="K42" s="16" t="str">
        <f t="shared" si="3"/>
        <v>1-12</v>
      </c>
      <c r="L42" s="16" t="str">
        <f t="shared" si="4"/>
        <v>1-12</v>
      </c>
      <c r="M42" s="16" t="str">
        <f t="shared" si="5"/>
        <v>1-12</v>
      </c>
      <c r="N42" s="16" t="str">
        <f t="shared" si="6"/>
        <v>0</v>
      </c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9" t="s">
        <v>129</v>
      </c>
      <c r="B43" s="10" t="s">
        <v>130</v>
      </c>
      <c r="C43" s="11" t="s">
        <v>131</v>
      </c>
      <c r="D43" s="12" t="s">
        <v>126</v>
      </c>
      <c r="E43" s="13" t="str">
        <f t="array" ref="E43">INDEX(Turmas!C2:C106,MATCH(D43,Turmas!A2:A106,0))</f>
        <v>Noite</v>
      </c>
      <c r="F43" s="14">
        <v>0.0</v>
      </c>
      <c r="G43" s="15">
        <v>4.0</v>
      </c>
      <c r="H43" s="15">
        <v>0.0</v>
      </c>
      <c r="I43" s="16" t="str">
        <f t="shared" si="1"/>
        <v>1-12</v>
      </c>
      <c r="J43" s="16" t="str">
        <f t="shared" si="2"/>
        <v>1-12</v>
      </c>
      <c r="K43" s="16" t="str">
        <f t="shared" si="3"/>
        <v>1-12</v>
      </c>
      <c r="L43" s="16" t="str">
        <f t="shared" si="4"/>
        <v>1-12</v>
      </c>
      <c r="M43" s="16" t="str">
        <f t="shared" si="5"/>
        <v>1-12</v>
      </c>
      <c r="N43" s="16" t="str">
        <f t="shared" si="6"/>
        <v>0</v>
      </c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9" t="s">
        <v>132</v>
      </c>
      <c r="B44" s="10" t="s">
        <v>133</v>
      </c>
      <c r="C44" s="11" t="s">
        <v>50</v>
      </c>
      <c r="D44" s="12" t="s">
        <v>126</v>
      </c>
      <c r="E44" s="13" t="str">
        <f t="array" ref="E44">INDEX(Turmas!C2:C106,MATCH(D44,Turmas!A2:A106,0))</f>
        <v>Noite</v>
      </c>
      <c r="F44" s="14">
        <v>0.0</v>
      </c>
      <c r="G44" s="15">
        <v>4.0</v>
      </c>
      <c r="H44" s="15">
        <v>0.0</v>
      </c>
      <c r="I44" s="16" t="str">
        <f t="shared" si="1"/>
        <v>1-12</v>
      </c>
      <c r="J44" s="16" t="str">
        <f t="shared" si="2"/>
        <v>1-12</v>
      </c>
      <c r="K44" s="16" t="str">
        <f t="shared" si="3"/>
        <v>1-12</v>
      </c>
      <c r="L44" s="16" t="str">
        <f t="shared" si="4"/>
        <v>1-12</v>
      </c>
      <c r="M44" s="16" t="str">
        <f t="shared" si="5"/>
        <v>1-12</v>
      </c>
      <c r="N44" s="16" t="str">
        <f t="shared" si="6"/>
        <v>0</v>
      </c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9" t="s">
        <v>134</v>
      </c>
      <c r="B45" s="10" t="s">
        <v>135</v>
      </c>
      <c r="C45" s="11" t="s">
        <v>110</v>
      </c>
      <c r="D45" s="12" t="s">
        <v>126</v>
      </c>
      <c r="E45" s="13" t="str">
        <f t="array" ref="E45">INDEX(Turmas!C2:C106,MATCH(D45,Turmas!A2:A106,0))</f>
        <v>Noite</v>
      </c>
      <c r="F45" s="14">
        <v>0.0</v>
      </c>
      <c r="G45" s="15">
        <v>4.0</v>
      </c>
      <c r="H45" s="15">
        <v>0.0</v>
      </c>
      <c r="I45" s="16" t="str">
        <f t="shared" si="1"/>
        <v>1-12</v>
      </c>
      <c r="J45" s="16" t="str">
        <f t="shared" si="2"/>
        <v>1-12</v>
      </c>
      <c r="K45" s="16" t="str">
        <f t="shared" si="3"/>
        <v>1-12</v>
      </c>
      <c r="L45" s="16" t="str">
        <f t="shared" si="4"/>
        <v>1-12</v>
      </c>
      <c r="M45" s="16" t="str">
        <f t="shared" si="5"/>
        <v>1-12</v>
      </c>
      <c r="N45" s="16" t="str">
        <f t="shared" si="6"/>
        <v>0</v>
      </c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9" t="s">
        <v>136</v>
      </c>
      <c r="B46" s="10" t="s">
        <v>137</v>
      </c>
      <c r="C46" s="11" t="s">
        <v>86</v>
      </c>
      <c r="D46" s="12" t="s">
        <v>138</v>
      </c>
      <c r="E46" s="13" t="str">
        <f t="array" ref="E46">INDEX(Turmas!C2:C106,MATCH(D46,Turmas!A2:A106,0))</f>
        <v>Noite</v>
      </c>
      <c r="F46" s="14">
        <v>10.0</v>
      </c>
      <c r="G46" s="15">
        <v>4.0</v>
      </c>
      <c r="H46" s="15">
        <v>0.0</v>
      </c>
      <c r="I46" s="16" t="str">
        <f t="shared" si="1"/>
        <v>1-12</v>
      </c>
      <c r="J46" s="16" t="str">
        <f t="shared" si="2"/>
        <v>1-12</v>
      </c>
      <c r="K46" s="16" t="str">
        <f t="shared" si="3"/>
        <v>1-12</v>
      </c>
      <c r="L46" s="16" t="str">
        <f t="shared" si="4"/>
        <v>1-12</v>
      </c>
      <c r="M46" s="16" t="str">
        <f t="shared" si="5"/>
        <v>1-12</v>
      </c>
      <c r="N46" s="16" t="str">
        <f t="shared" si="6"/>
        <v>0</v>
      </c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9" t="s">
        <v>139</v>
      </c>
      <c r="B47" s="10" t="s">
        <v>140</v>
      </c>
      <c r="C47" s="11" t="s">
        <v>86</v>
      </c>
      <c r="D47" s="12" t="s">
        <v>138</v>
      </c>
      <c r="E47" s="13" t="str">
        <f t="array" ref="E47">INDEX(Turmas!C2:C106,MATCH(D47,Turmas!A2:A106,0))</f>
        <v>Noite</v>
      </c>
      <c r="F47" s="14">
        <v>10.0</v>
      </c>
      <c r="G47" s="15">
        <v>4.0</v>
      </c>
      <c r="H47" s="15">
        <v>0.0</v>
      </c>
      <c r="I47" s="16" t="str">
        <f t="shared" si="1"/>
        <v>1-12</v>
      </c>
      <c r="J47" s="16" t="str">
        <f t="shared" si="2"/>
        <v>1-12</v>
      </c>
      <c r="K47" s="16" t="str">
        <f t="shared" si="3"/>
        <v>1-12</v>
      </c>
      <c r="L47" s="16" t="str">
        <f t="shared" si="4"/>
        <v>1-12</v>
      </c>
      <c r="M47" s="16" t="str">
        <f t="shared" si="5"/>
        <v>1-12</v>
      </c>
      <c r="N47" s="16" t="str">
        <f t="shared" si="6"/>
        <v>0</v>
      </c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9" t="s">
        <v>141</v>
      </c>
      <c r="B48" s="10" t="s">
        <v>142</v>
      </c>
      <c r="C48" s="11" t="s">
        <v>143</v>
      </c>
      <c r="D48" s="12" t="s">
        <v>144</v>
      </c>
      <c r="E48" s="13" t="str">
        <f t="array" ref="E48">INDEX(Turmas!C2:C106,MATCH(D48,Turmas!A2:A106,0))</f>
        <v>Manhã</v>
      </c>
      <c r="F48" s="14">
        <v>0.0</v>
      </c>
      <c r="G48" s="15">
        <v>3.0</v>
      </c>
      <c r="H48" s="15">
        <v>0.0</v>
      </c>
      <c r="I48" s="16" t="str">
        <f t="shared" si="1"/>
        <v>7-16</v>
      </c>
      <c r="J48" s="16" t="str">
        <f t="shared" si="2"/>
        <v>7-16</v>
      </c>
      <c r="K48" s="16" t="str">
        <f t="shared" si="3"/>
        <v>7-16</v>
      </c>
      <c r="L48" s="16" t="str">
        <f t="shared" si="4"/>
        <v>7-16</v>
      </c>
      <c r="M48" s="16" t="str">
        <f t="shared" si="5"/>
        <v>7-16</v>
      </c>
      <c r="N48" s="16" t="str">
        <f t="shared" si="6"/>
        <v>1-16</v>
      </c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9" t="s">
        <v>145</v>
      </c>
      <c r="B49" s="10" t="s">
        <v>146</v>
      </c>
      <c r="C49" s="11" t="s">
        <v>147</v>
      </c>
      <c r="D49" s="12" t="s">
        <v>144</v>
      </c>
      <c r="E49" s="13" t="str">
        <f t="array" ref="E49">INDEX(Turmas!C2:C106,MATCH(D49,Turmas!A2:A106,0))</f>
        <v>Manhã</v>
      </c>
      <c r="F49" s="14">
        <v>0.0</v>
      </c>
      <c r="G49" s="15">
        <v>5.0</v>
      </c>
      <c r="H49" s="15">
        <v>0.0</v>
      </c>
      <c r="I49" s="16" t="str">
        <f t="shared" si="1"/>
        <v>7-16</v>
      </c>
      <c r="J49" s="16" t="str">
        <f t="shared" si="2"/>
        <v>7-16</v>
      </c>
      <c r="K49" s="16" t="str">
        <f t="shared" si="3"/>
        <v>7-16</v>
      </c>
      <c r="L49" s="16" t="str">
        <f t="shared" si="4"/>
        <v>7-16</v>
      </c>
      <c r="M49" s="16" t="str">
        <f t="shared" si="5"/>
        <v>7-16</v>
      </c>
      <c r="N49" s="16" t="str">
        <f t="shared" si="6"/>
        <v>1-16</v>
      </c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9" t="s">
        <v>148</v>
      </c>
      <c r="B50" s="10" t="s">
        <v>149</v>
      </c>
      <c r="C50" s="11" t="s">
        <v>150</v>
      </c>
      <c r="D50" s="12" t="s">
        <v>144</v>
      </c>
      <c r="E50" s="13" t="str">
        <f t="array" ref="E50">INDEX(Turmas!C2:C106,MATCH(D50,Turmas!A2:A106,0))</f>
        <v>Manhã</v>
      </c>
      <c r="F50" s="14">
        <v>0.0</v>
      </c>
      <c r="G50" s="15">
        <v>4.0</v>
      </c>
      <c r="H50" s="15">
        <v>0.0</v>
      </c>
      <c r="I50" s="16" t="str">
        <f t="shared" si="1"/>
        <v>7-16</v>
      </c>
      <c r="J50" s="16" t="str">
        <f t="shared" si="2"/>
        <v>7-16</v>
      </c>
      <c r="K50" s="16" t="str">
        <f t="shared" si="3"/>
        <v>7-16</v>
      </c>
      <c r="L50" s="16" t="str">
        <f t="shared" si="4"/>
        <v>7-16</v>
      </c>
      <c r="M50" s="16" t="str">
        <f t="shared" si="5"/>
        <v>7-16</v>
      </c>
      <c r="N50" s="16" t="str">
        <f t="shared" si="6"/>
        <v>1-16</v>
      </c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9" t="s">
        <v>151</v>
      </c>
      <c r="B51" s="10" t="s">
        <v>152</v>
      </c>
      <c r="C51" s="11" t="s">
        <v>153</v>
      </c>
      <c r="D51" s="12" t="s">
        <v>144</v>
      </c>
      <c r="E51" s="13" t="str">
        <f t="array" ref="E51">INDEX(Turmas!C2:C106,MATCH(D51,Turmas!A2:A106,0))</f>
        <v>Manhã</v>
      </c>
      <c r="F51" s="14">
        <v>0.0</v>
      </c>
      <c r="G51" s="15">
        <v>3.0</v>
      </c>
      <c r="H51" s="15">
        <v>0.0</v>
      </c>
      <c r="I51" s="16" t="str">
        <f t="shared" si="1"/>
        <v>7-16</v>
      </c>
      <c r="J51" s="16" t="str">
        <f t="shared" si="2"/>
        <v>7-16</v>
      </c>
      <c r="K51" s="16" t="str">
        <f t="shared" si="3"/>
        <v>7-16</v>
      </c>
      <c r="L51" s="16" t="str">
        <f t="shared" si="4"/>
        <v>7-16</v>
      </c>
      <c r="M51" s="16" t="str">
        <f t="shared" si="5"/>
        <v>7-16</v>
      </c>
      <c r="N51" s="16" t="str">
        <f t="shared" si="6"/>
        <v>1-16</v>
      </c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9" t="s">
        <v>154</v>
      </c>
      <c r="B52" s="10" t="s">
        <v>155</v>
      </c>
      <c r="C52" s="11" t="s">
        <v>156</v>
      </c>
      <c r="D52" s="12" t="s">
        <v>144</v>
      </c>
      <c r="E52" s="13" t="str">
        <f t="array" ref="E52">INDEX(Turmas!C2:C106,MATCH(D52,Turmas!A2:A106,0))</f>
        <v>Manhã</v>
      </c>
      <c r="F52" s="14">
        <v>0.0</v>
      </c>
      <c r="G52" s="15">
        <v>4.0</v>
      </c>
      <c r="H52" s="15">
        <v>0.0</v>
      </c>
      <c r="I52" s="16" t="str">
        <f t="shared" si="1"/>
        <v>7-16</v>
      </c>
      <c r="J52" s="16" t="str">
        <f t="shared" si="2"/>
        <v>7-16</v>
      </c>
      <c r="K52" s="16" t="str">
        <f t="shared" si="3"/>
        <v>7-16</v>
      </c>
      <c r="L52" s="16" t="str">
        <f t="shared" si="4"/>
        <v>7-16</v>
      </c>
      <c r="M52" s="16" t="str">
        <f t="shared" si="5"/>
        <v>7-16</v>
      </c>
      <c r="N52" s="16" t="str">
        <f t="shared" si="6"/>
        <v>1-16</v>
      </c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9" t="s">
        <v>157</v>
      </c>
      <c r="B53" s="10" t="s">
        <v>158</v>
      </c>
      <c r="C53" s="11" t="s">
        <v>159</v>
      </c>
      <c r="D53" s="12" t="s">
        <v>160</v>
      </c>
      <c r="E53" s="13" t="str">
        <f t="array" ref="E53">INDEX(Turmas!C2:C106,MATCH(D53,Turmas!A2:A106,0))</f>
        <v>Manhã</v>
      </c>
      <c r="F53" s="14">
        <v>0.0</v>
      </c>
      <c r="G53" s="15">
        <v>4.0</v>
      </c>
      <c r="H53" s="15">
        <v>0.0</v>
      </c>
      <c r="I53" s="16" t="str">
        <f t="shared" si="1"/>
        <v>7-16</v>
      </c>
      <c r="J53" s="16" t="str">
        <f t="shared" si="2"/>
        <v>7-16</v>
      </c>
      <c r="K53" s="16" t="str">
        <f t="shared" si="3"/>
        <v>7-16</v>
      </c>
      <c r="L53" s="16" t="str">
        <f t="shared" si="4"/>
        <v>7-16</v>
      </c>
      <c r="M53" s="16" t="str">
        <f t="shared" si="5"/>
        <v>7-16</v>
      </c>
      <c r="N53" s="16" t="str">
        <f t="shared" si="6"/>
        <v>1-16</v>
      </c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9" t="s">
        <v>161</v>
      </c>
      <c r="B54" s="10" t="s">
        <v>162</v>
      </c>
      <c r="C54" s="11" t="s">
        <v>147</v>
      </c>
      <c r="D54" s="12" t="s">
        <v>160</v>
      </c>
      <c r="E54" s="13" t="str">
        <f t="array" ref="E54">INDEX(Turmas!C2:C106,MATCH(D54,Turmas!A2:A106,0))</f>
        <v>Manhã</v>
      </c>
      <c r="F54" s="14">
        <v>0.0</v>
      </c>
      <c r="G54" s="15">
        <v>4.0</v>
      </c>
      <c r="H54" s="15">
        <v>0.0</v>
      </c>
      <c r="I54" s="16" t="str">
        <f t="shared" si="1"/>
        <v>7-16</v>
      </c>
      <c r="J54" s="16" t="str">
        <f t="shared" si="2"/>
        <v>7-16</v>
      </c>
      <c r="K54" s="16" t="str">
        <f t="shared" si="3"/>
        <v>7-16</v>
      </c>
      <c r="L54" s="16" t="str">
        <f t="shared" si="4"/>
        <v>7-16</v>
      </c>
      <c r="M54" s="16" t="str">
        <f t="shared" si="5"/>
        <v>7-16</v>
      </c>
      <c r="N54" s="16" t="str">
        <f t="shared" si="6"/>
        <v>1-16</v>
      </c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9" t="s">
        <v>163</v>
      </c>
      <c r="B55" s="10" t="s">
        <v>164</v>
      </c>
      <c r="C55" s="11" t="s">
        <v>165</v>
      </c>
      <c r="D55" s="12" t="s">
        <v>160</v>
      </c>
      <c r="E55" s="13" t="str">
        <f t="array" ref="E55">INDEX(Turmas!C2:C106,MATCH(D55,Turmas!A2:A106,0))</f>
        <v>Manhã</v>
      </c>
      <c r="F55" s="14">
        <v>0.0</v>
      </c>
      <c r="G55" s="15">
        <v>3.0</v>
      </c>
      <c r="H55" s="15">
        <v>0.0</v>
      </c>
      <c r="I55" s="16" t="str">
        <f t="shared" si="1"/>
        <v>7-16</v>
      </c>
      <c r="J55" s="16" t="str">
        <f t="shared" si="2"/>
        <v>7-16</v>
      </c>
      <c r="K55" s="16" t="str">
        <f t="shared" si="3"/>
        <v>7-16</v>
      </c>
      <c r="L55" s="16" t="str">
        <f t="shared" si="4"/>
        <v>7-16</v>
      </c>
      <c r="M55" s="16" t="str">
        <f t="shared" si="5"/>
        <v>7-16</v>
      </c>
      <c r="N55" s="16" t="str">
        <f t="shared" si="6"/>
        <v>1-16</v>
      </c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9" t="s">
        <v>166</v>
      </c>
      <c r="B56" s="10" t="s">
        <v>167</v>
      </c>
      <c r="C56" s="11" t="s">
        <v>168</v>
      </c>
      <c r="D56" s="12" t="s">
        <v>160</v>
      </c>
      <c r="E56" s="13" t="str">
        <f t="array" ref="E56">INDEX(Turmas!C2:C106,MATCH(D56,Turmas!A2:A106,0))</f>
        <v>Manhã</v>
      </c>
      <c r="F56" s="14">
        <v>0.0</v>
      </c>
      <c r="G56" s="15">
        <v>4.0</v>
      </c>
      <c r="H56" s="15">
        <v>0.0</v>
      </c>
      <c r="I56" s="16" t="str">
        <f t="shared" si="1"/>
        <v>7-16</v>
      </c>
      <c r="J56" s="16" t="str">
        <f t="shared" si="2"/>
        <v>7-16</v>
      </c>
      <c r="K56" s="16" t="str">
        <f t="shared" si="3"/>
        <v>7-16</v>
      </c>
      <c r="L56" s="16" t="str">
        <f t="shared" si="4"/>
        <v>7-16</v>
      </c>
      <c r="M56" s="16" t="str">
        <f t="shared" si="5"/>
        <v>7-16</v>
      </c>
      <c r="N56" s="16" t="str">
        <f t="shared" si="6"/>
        <v>1-16</v>
      </c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9" t="s">
        <v>169</v>
      </c>
      <c r="B57" s="10" t="s">
        <v>170</v>
      </c>
      <c r="C57" s="11" t="s">
        <v>171</v>
      </c>
      <c r="D57" s="12" t="s">
        <v>160</v>
      </c>
      <c r="E57" s="13" t="str">
        <f t="array" ref="E57">INDEX(Turmas!C2:C106,MATCH(D57,Turmas!A2:A106,0))</f>
        <v>Manhã</v>
      </c>
      <c r="F57" s="14">
        <v>0.0</v>
      </c>
      <c r="G57" s="15">
        <v>3.0</v>
      </c>
      <c r="H57" s="15">
        <v>0.0</v>
      </c>
      <c r="I57" s="16" t="str">
        <f t="shared" si="1"/>
        <v>7-16</v>
      </c>
      <c r="J57" s="16" t="str">
        <f t="shared" si="2"/>
        <v>7-16</v>
      </c>
      <c r="K57" s="16" t="str">
        <f t="shared" si="3"/>
        <v>7-16</v>
      </c>
      <c r="L57" s="16" t="str">
        <f t="shared" si="4"/>
        <v>7-16</v>
      </c>
      <c r="M57" s="16" t="str">
        <f t="shared" si="5"/>
        <v>7-16</v>
      </c>
      <c r="N57" s="16" t="str">
        <f t="shared" si="6"/>
        <v>1-16</v>
      </c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9" t="s">
        <v>172</v>
      </c>
      <c r="B58" s="10" t="s">
        <v>173</v>
      </c>
      <c r="C58" s="11" t="s">
        <v>174</v>
      </c>
      <c r="D58" s="12" t="s">
        <v>160</v>
      </c>
      <c r="E58" s="13" t="str">
        <f t="array" ref="E58">INDEX(Turmas!C2:C106,MATCH(D58,Turmas!A2:A106,0))</f>
        <v>Manhã</v>
      </c>
      <c r="F58" s="14">
        <v>0.0</v>
      </c>
      <c r="G58" s="15">
        <v>4.0</v>
      </c>
      <c r="H58" s="15">
        <v>0.0</v>
      </c>
      <c r="I58" s="16" t="str">
        <f t="shared" si="1"/>
        <v>7-16</v>
      </c>
      <c r="J58" s="16" t="str">
        <f t="shared" si="2"/>
        <v>7-16</v>
      </c>
      <c r="K58" s="16" t="str">
        <f t="shared" si="3"/>
        <v>7-16</v>
      </c>
      <c r="L58" s="16" t="str">
        <f t="shared" si="4"/>
        <v>7-16</v>
      </c>
      <c r="M58" s="16" t="str">
        <f t="shared" si="5"/>
        <v>7-16</v>
      </c>
      <c r="N58" s="16" t="str">
        <f t="shared" si="6"/>
        <v>1-16</v>
      </c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9" t="s">
        <v>141</v>
      </c>
      <c r="B59" s="10" t="s">
        <v>142</v>
      </c>
      <c r="C59" s="11" t="s">
        <v>143</v>
      </c>
      <c r="D59" s="12" t="s">
        <v>175</v>
      </c>
      <c r="E59" s="13" t="str">
        <f t="array" ref="E59">INDEX(Turmas!C2:C106,MATCH(D59,Turmas!A2:A106,0))</f>
        <v>Tarde</v>
      </c>
      <c r="F59" s="14">
        <v>0.0</v>
      </c>
      <c r="G59" s="15">
        <v>3.0</v>
      </c>
      <c r="H59" s="15">
        <v>0.0</v>
      </c>
      <c r="I59" s="16" t="str">
        <f t="shared" si="1"/>
        <v>1-6,13-16</v>
      </c>
      <c r="J59" s="16" t="str">
        <f t="shared" si="2"/>
        <v>1-6,13-16</v>
      </c>
      <c r="K59" s="16" t="str">
        <f t="shared" si="3"/>
        <v>1-6,13-16</v>
      </c>
      <c r="L59" s="16" t="str">
        <f t="shared" si="4"/>
        <v>1-6,13-16</v>
      </c>
      <c r="M59" s="16" t="str">
        <f t="shared" si="5"/>
        <v>1-6,13-16</v>
      </c>
      <c r="N59" s="16" t="str">
        <f t="shared" si="6"/>
        <v>1-16</v>
      </c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9" t="s">
        <v>145</v>
      </c>
      <c r="B60" s="10" t="s">
        <v>146</v>
      </c>
      <c r="C60" s="11" t="s">
        <v>147</v>
      </c>
      <c r="D60" s="12" t="s">
        <v>175</v>
      </c>
      <c r="E60" s="13" t="str">
        <f t="array" ref="E60">INDEX(Turmas!C2:C106,MATCH(D60,Turmas!A2:A106,0))</f>
        <v>Tarde</v>
      </c>
      <c r="F60" s="14">
        <v>0.0</v>
      </c>
      <c r="G60" s="15">
        <v>5.0</v>
      </c>
      <c r="H60" s="15">
        <v>0.0</v>
      </c>
      <c r="I60" s="16" t="str">
        <f t="shared" si="1"/>
        <v>1-6,13-16</v>
      </c>
      <c r="J60" s="16" t="str">
        <f t="shared" si="2"/>
        <v>1-6,13-16</v>
      </c>
      <c r="K60" s="16" t="str">
        <f t="shared" si="3"/>
        <v>1-6,13-16</v>
      </c>
      <c r="L60" s="16" t="str">
        <f t="shared" si="4"/>
        <v>1-6,13-16</v>
      </c>
      <c r="M60" s="16" t="str">
        <f t="shared" si="5"/>
        <v>1-6,13-16</v>
      </c>
      <c r="N60" s="16" t="str">
        <f t="shared" si="6"/>
        <v>1-16</v>
      </c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9" t="s">
        <v>148</v>
      </c>
      <c r="B61" s="10" t="s">
        <v>149</v>
      </c>
      <c r="C61" s="11" t="s">
        <v>150</v>
      </c>
      <c r="D61" s="12" t="s">
        <v>175</v>
      </c>
      <c r="E61" s="13" t="str">
        <f t="array" ref="E61">INDEX(Turmas!C2:C106,MATCH(D61,Turmas!A2:A106,0))</f>
        <v>Tarde</v>
      </c>
      <c r="F61" s="14">
        <v>0.0</v>
      </c>
      <c r="G61" s="15">
        <v>4.0</v>
      </c>
      <c r="H61" s="15">
        <v>0.0</v>
      </c>
      <c r="I61" s="16" t="str">
        <f t="shared" si="1"/>
        <v>1-6,13-16</v>
      </c>
      <c r="J61" s="16" t="str">
        <f t="shared" si="2"/>
        <v>1-6,13-16</v>
      </c>
      <c r="K61" s="16" t="str">
        <f t="shared" si="3"/>
        <v>1-6,13-16</v>
      </c>
      <c r="L61" s="16" t="str">
        <f t="shared" si="4"/>
        <v>1-6,13-16</v>
      </c>
      <c r="M61" s="16" t="str">
        <f t="shared" si="5"/>
        <v>1-6,13-16</v>
      </c>
      <c r="N61" s="16" t="str">
        <f t="shared" si="6"/>
        <v>1-16</v>
      </c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9" t="s">
        <v>151</v>
      </c>
      <c r="B62" s="10" t="s">
        <v>152</v>
      </c>
      <c r="C62" s="11" t="s">
        <v>153</v>
      </c>
      <c r="D62" s="12" t="s">
        <v>175</v>
      </c>
      <c r="E62" s="13" t="str">
        <f t="array" ref="E62">INDEX(Turmas!C2:C106,MATCH(D62,Turmas!A2:A106,0))</f>
        <v>Tarde</v>
      </c>
      <c r="F62" s="14">
        <v>0.0</v>
      </c>
      <c r="G62" s="15">
        <v>4.0</v>
      </c>
      <c r="H62" s="15">
        <v>0.0</v>
      </c>
      <c r="I62" s="16" t="str">
        <f t="shared" si="1"/>
        <v>1-6,13-16</v>
      </c>
      <c r="J62" s="16" t="str">
        <f t="shared" si="2"/>
        <v>1-6,13-16</v>
      </c>
      <c r="K62" s="16" t="str">
        <f t="shared" si="3"/>
        <v>1-6,13-16</v>
      </c>
      <c r="L62" s="16" t="str">
        <f t="shared" si="4"/>
        <v>1-6,13-16</v>
      </c>
      <c r="M62" s="16" t="str">
        <f t="shared" si="5"/>
        <v>1-6,13-16</v>
      </c>
      <c r="N62" s="16" t="str">
        <f t="shared" si="6"/>
        <v>1-16</v>
      </c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9" t="s">
        <v>154</v>
      </c>
      <c r="B63" s="10" t="s">
        <v>155</v>
      </c>
      <c r="C63" s="11" t="s">
        <v>156</v>
      </c>
      <c r="D63" s="12" t="s">
        <v>175</v>
      </c>
      <c r="E63" s="13" t="str">
        <f t="array" ref="E63">INDEX(Turmas!C2:C106,MATCH(D63,Turmas!A2:A106,0))</f>
        <v>Tarde</v>
      </c>
      <c r="F63" s="14">
        <v>0.0</v>
      </c>
      <c r="G63" s="15">
        <v>4.0</v>
      </c>
      <c r="H63" s="15">
        <v>0.0</v>
      </c>
      <c r="I63" s="16" t="str">
        <f t="shared" si="1"/>
        <v>1-6,13-16</v>
      </c>
      <c r="J63" s="16" t="str">
        <f t="shared" si="2"/>
        <v>1-6,13-16</v>
      </c>
      <c r="K63" s="16" t="str">
        <f t="shared" si="3"/>
        <v>1-6,13-16</v>
      </c>
      <c r="L63" s="16" t="str">
        <f t="shared" si="4"/>
        <v>1-6,13-16</v>
      </c>
      <c r="M63" s="16" t="str">
        <f t="shared" si="5"/>
        <v>1-6,13-16</v>
      </c>
      <c r="N63" s="16" t="str">
        <f t="shared" si="6"/>
        <v>1-16</v>
      </c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9" t="s">
        <v>157</v>
      </c>
      <c r="B64" s="10" t="s">
        <v>158</v>
      </c>
      <c r="C64" s="11" t="s">
        <v>159</v>
      </c>
      <c r="D64" s="12" t="s">
        <v>176</v>
      </c>
      <c r="E64" s="13" t="str">
        <f t="array" ref="E64">INDEX(Turmas!C2:C106,MATCH(D64,Turmas!A2:A106,0))</f>
        <v>Tarde</v>
      </c>
      <c r="F64" s="14">
        <v>0.0</v>
      </c>
      <c r="G64" s="15">
        <v>4.0</v>
      </c>
      <c r="H64" s="15">
        <v>0.0</v>
      </c>
      <c r="I64" s="16" t="str">
        <f t="shared" si="1"/>
        <v>1-6,13-16</v>
      </c>
      <c r="J64" s="16" t="str">
        <f t="shared" si="2"/>
        <v>1-6,13-16</v>
      </c>
      <c r="K64" s="16" t="str">
        <f t="shared" si="3"/>
        <v>1-6,13-16</v>
      </c>
      <c r="L64" s="16" t="str">
        <f t="shared" si="4"/>
        <v>1-6,13-16</v>
      </c>
      <c r="M64" s="16" t="str">
        <f t="shared" si="5"/>
        <v>1-6,13-16</v>
      </c>
      <c r="N64" s="16" t="str">
        <f t="shared" si="6"/>
        <v>1-16</v>
      </c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9" t="s">
        <v>161</v>
      </c>
      <c r="B65" s="10" t="s">
        <v>162</v>
      </c>
      <c r="C65" s="11" t="s">
        <v>177</v>
      </c>
      <c r="D65" s="12" t="s">
        <v>176</v>
      </c>
      <c r="E65" s="13" t="str">
        <f t="array" ref="E65">INDEX(Turmas!C2:C106,MATCH(D65,Turmas!A2:A106,0))</f>
        <v>Tarde</v>
      </c>
      <c r="F65" s="14">
        <v>0.0</v>
      </c>
      <c r="G65" s="15">
        <v>4.0</v>
      </c>
      <c r="H65" s="15">
        <v>0.0</v>
      </c>
      <c r="I65" s="16" t="str">
        <f t="shared" si="1"/>
        <v>1-6,13-16</v>
      </c>
      <c r="J65" s="16" t="str">
        <f t="shared" si="2"/>
        <v>1-6,13-16</v>
      </c>
      <c r="K65" s="16" t="str">
        <f t="shared" si="3"/>
        <v>1-6,13-16</v>
      </c>
      <c r="L65" s="16" t="str">
        <f t="shared" si="4"/>
        <v>1-6,13-16</v>
      </c>
      <c r="M65" s="16" t="str">
        <f t="shared" si="5"/>
        <v>1-6,13-16</v>
      </c>
      <c r="N65" s="16" t="str">
        <f t="shared" si="6"/>
        <v>1-16</v>
      </c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9" t="s">
        <v>163</v>
      </c>
      <c r="B66" s="10" t="s">
        <v>164</v>
      </c>
      <c r="C66" s="11" t="s">
        <v>165</v>
      </c>
      <c r="D66" s="12" t="s">
        <v>176</v>
      </c>
      <c r="E66" s="13" t="str">
        <f t="array" ref="E66">INDEX(Turmas!C2:C106,MATCH(D66,Turmas!A2:A106,0))</f>
        <v>Tarde</v>
      </c>
      <c r="F66" s="14">
        <v>0.0</v>
      </c>
      <c r="G66" s="15">
        <v>3.0</v>
      </c>
      <c r="H66" s="15">
        <v>0.0</v>
      </c>
      <c r="I66" s="16" t="str">
        <f t="shared" si="1"/>
        <v>1-6,13-16</v>
      </c>
      <c r="J66" s="16" t="str">
        <f t="shared" si="2"/>
        <v>1-6,13-16</v>
      </c>
      <c r="K66" s="16" t="str">
        <f t="shared" si="3"/>
        <v>1-6,13-16</v>
      </c>
      <c r="L66" s="16" t="str">
        <f t="shared" si="4"/>
        <v>1-6,13-16</v>
      </c>
      <c r="M66" s="16" t="str">
        <f t="shared" si="5"/>
        <v>1-6,13-16</v>
      </c>
      <c r="N66" s="16" t="str">
        <f t="shared" si="6"/>
        <v>1-16</v>
      </c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9" t="s">
        <v>166</v>
      </c>
      <c r="B67" s="10" t="s">
        <v>167</v>
      </c>
      <c r="C67" s="11" t="s">
        <v>168</v>
      </c>
      <c r="D67" s="12" t="s">
        <v>176</v>
      </c>
      <c r="E67" s="13" t="str">
        <f t="array" ref="E67">INDEX(Turmas!C2:C106,MATCH(D67,Turmas!A2:A106,0))</f>
        <v>Tarde</v>
      </c>
      <c r="F67" s="14">
        <v>0.0</v>
      </c>
      <c r="G67" s="15">
        <v>4.0</v>
      </c>
      <c r="H67" s="15">
        <v>0.0</v>
      </c>
      <c r="I67" s="16" t="str">
        <f t="shared" si="1"/>
        <v>1-6,13-16</v>
      </c>
      <c r="J67" s="16" t="str">
        <f t="shared" si="2"/>
        <v>1-6,13-16</v>
      </c>
      <c r="K67" s="16" t="str">
        <f t="shared" si="3"/>
        <v>1-6,13-16</v>
      </c>
      <c r="L67" s="16" t="str">
        <f t="shared" si="4"/>
        <v>1-6,13-16</v>
      </c>
      <c r="M67" s="16" t="str">
        <f t="shared" si="5"/>
        <v>1-6,13-16</v>
      </c>
      <c r="N67" s="16" t="str">
        <f t="shared" si="6"/>
        <v>1-16</v>
      </c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9" t="s">
        <v>169</v>
      </c>
      <c r="B68" s="10" t="s">
        <v>170</v>
      </c>
      <c r="C68" s="11" t="s">
        <v>171</v>
      </c>
      <c r="D68" s="12" t="s">
        <v>176</v>
      </c>
      <c r="E68" s="13" t="str">
        <f t="array" ref="E68">INDEX(Turmas!C2:C106,MATCH(D68,Turmas!A2:A106,0))</f>
        <v>Tarde</v>
      </c>
      <c r="F68" s="14">
        <v>0.0</v>
      </c>
      <c r="G68" s="15">
        <v>4.0</v>
      </c>
      <c r="H68" s="15">
        <v>0.0</v>
      </c>
      <c r="I68" s="16" t="str">
        <f t="shared" si="1"/>
        <v>1-6,13-16</v>
      </c>
      <c r="J68" s="16" t="str">
        <f t="shared" si="2"/>
        <v>1-6,13-16</v>
      </c>
      <c r="K68" s="16" t="str">
        <f t="shared" si="3"/>
        <v>1-6,13-16</v>
      </c>
      <c r="L68" s="16" t="str">
        <f t="shared" si="4"/>
        <v>1-6,13-16</v>
      </c>
      <c r="M68" s="16" t="str">
        <f t="shared" si="5"/>
        <v>1-6,13-16</v>
      </c>
      <c r="N68" s="16" t="str">
        <f t="shared" si="6"/>
        <v>1-16</v>
      </c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9" t="s">
        <v>172</v>
      </c>
      <c r="B69" s="10" t="s">
        <v>173</v>
      </c>
      <c r="C69" s="11" t="s">
        <v>174</v>
      </c>
      <c r="D69" s="12" t="s">
        <v>176</v>
      </c>
      <c r="E69" s="13" t="str">
        <f t="array" ref="E69">INDEX(Turmas!C2:C106,MATCH(D69,Turmas!A2:A106,0))</f>
        <v>Tarde</v>
      </c>
      <c r="F69" s="14">
        <v>0.0</v>
      </c>
      <c r="G69" s="15">
        <v>4.0</v>
      </c>
      <c r="H69" s="15">
        <v>0.0</v>
      </c>
      <c r="I69" s="16" t="str">
        <f t="shared" si="1"/>
        <v>1-6,13-16</v>
      </c>
      <c r="J69" s="16" t="str">
        <f t="shared" si="2"/>
        <v>1-6,13-16</v>
      </c>
      <c r="K69" s="16" t="str">
        <f t="shared" si="3"/>
        <v>1-6,13-16</v>
      </c>
      <c r="L69" s="16" t="str">
        <f t="shared" si="4"/>
        <v>1-6,13-16</v>
      </c>
      <c r="M69" s="16" t="str">
        <f t="shared" si="5"/>
        <v>1-6,13-16</v>
      </c>
      <c r="N69" s="16" t="str">
        <f t="shared" si="6"/>
        <v>1-16</v>
      </c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9" t="s">
        <v>178</v>
      </c>
      <c r="B70" s="10" t="s">
        <v>179</v>
      </c>
      <c r="C70" s="11" t="s">
        <v>180</v>
      </c>
      <c r="D70" s="12" t="s">
        <v>181</v>
      </c>
      <c r="E70" s="13" t="str">
        <f t="array" ref="E70">INDEX(Turmas!C2:C106,MATCH(D70,Turmas!A2:A106,0))</f>
        <v>Manhã</v>
      </c>
      <c r="F70" s="14">
        <v>0.0</v>
      </c>
      <c r="G70" s="15">
        <v>3.0</v>
      </c>
      <c r="H70" s="15">
        <v>0.0</v>
      </c>
      <c r="I70" s="16" t="str">
        <f t="shared" si="1"/>
        <v>7-16</v>
      </c>
      <c r="J70" s="16" t="str">
        <f t="shared" si="2"/>
        <v>7-16</v>
      </c>
      <c r="K70" s="16" t="str">
        <f t="shared" si="3"/>
        <v>7-16</v>
      </c>
      <c r="L70" s="16" t="str">
        <f t="shared" si="4"/>
        <v>7-16</v>
      </c>
      <c r="M70" s="16" t="str">
        <f t="shared" si="5"/>
        <v>7-16</v>
      </c>
      <c r="N70" s="16" t="str">
        <f t="shared" si="6"/>
        <v>1-16</v>
      </c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9" t="s">
        <v>182</v>
      </c>
      <c r="B71" s="10" t="s">
        <v>183</v>
      </c>
      <c r="C71" s="11" t="s">
        <v>184</v>
      </c>
      <c r="D71" s="12" t="s">
        <v>181</v>
      </c>
      <c r="E71" s="13" t="str">
        <f t="array" ref="E71">INDEX(Turmas!C2:C106,MATCH(D71,Turmas!A2:A106,0))</f>
        <v>Manhã</v>
      </c>
      <c r="F71" s="14">
        <v>0.0</v>
      </c>
      <c r="G71" s="15">
        <v>3.0</v>
      </c>
      <c r="H71" s="15">
        <v>0.0</v>
      </c>
      <c r="I71" s="16" t="str">
        <f t="shared" si="1"/>
        <v>7-16</v>
      </c>
      <c r="J71" s="16" t="str">
        <f t="shared" si="2"/>
        <v>7-16</v>
      </c>
      <c r="K71" s="16" t="str">
        <f t="shared" si="3"/>
        <v>7-16</v>
      </c>
      <c r="L71" s="16" t="str">
        <f t="shared" si="4"/>
        <v>7-16</v>
      </c>
      <c r="M71" s="16" t="str">
        <f t="shared" si="5"/>
        <v>7-16</v>
      </c>
      <c r="N71" s="16" t="str">
        <f t="shared" si="6"/>
        <v>1-16</v>
      </c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9" t="s">
        <v>185</v>
      </c>
      <c r="B72" s="10" t="s">
        <v>186</v>
      </c>
      <c r="C72" s="11" t="s">
        <v>187</v>
      </c>
      <c r="D72" s="12" t="s">
        <v>181</v>
      </c>
      <c r="E72" s="13" t="str">
        <f t="array" ref="E72">INDEX(Turmas!C2:C106,MATCH(D72,Turmas!A2:A106,0))</f>
        <v>Manhã</v>
      </c>
      <c r="F72" s="14">
        <v>0.0</v>
      </c>
      <c r="G72" s="15">
        <v>3.0</v>
      </c>
      <c r="H72" s="15">
        <v>0.0</v>
      </c>
      <c r="I72" s="16" t="str">
        <f t="shared" si="1"/>
        <v>7-16</v>
      </c>
      <c r="J72" s="16" t="str">
        <f t="shared" si="2"/>
        <v>7-16</v>
      </c>
      <c r="K72" s="16" t="str">
        <f t="shared" si="3"/>
        <v>7-16</v>
      </c>
      <c r="L72" s="16" t="str">
        <f t="shared" si="4"/>
        <v>7-16</v>
      </c>
      <c r="M72" s="16" t="str">
        <f t="shared" si="5"/>
        <v>7-16</v>
      </c>
      <c r="N72" s="16" t="str">
        <f t="shared" si="6"/>
        <v>1-16</v>
      </c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9" t="s">
        <v>188</v>
      </c>
      <c r="B73" s="10" t="s">
        <v>189</v>
      </c>
      <c r="C73" s="11" t="s">
        <v>156</v>
      </c>
      <c r="D73" s="12" t="s">
        <v>181</v>
      </c>
      <c r="E73" s="13" t="str">
        <f t="array" ref="E73">INDEX(Turmas!C2:C106,MATCH(D73,Turmas!A2:A106,0))</f>
        <v>Manhã</v>
      </c>
      <c r="F73" s="14">
        <v>0.0</v>
      </c>
      <c r="G73" s="15">
        <v>4.0</v>
      </c>
      <c r="H73" s="15">
        <v>0.0</v>
      </c>
      <c r="I73" s="16" t="str">
        <f t="shared" si="1"/>
        <v>7-16</v>
      </c>
      <c r="J73" s="16" t="str">
        <f t="shared" si="2"/>
        <v>7-16</v>
      </c>
      <c r="K73" s="16" t="str">
        <f t="shared" si="3"/>
        <v>7-16</v>
      </c>
      <c r="L73" s="16" t="str">
        <f t="shared" si="4"/>
        <v>7-16</v>
      </c>
      <c r="M73" s="16" t="str">
        <f t="shared" si="5"/>
        <v>7-16</v>
      </c>
      <c r="N73" s="16" t="str">
        <f t="shared" si="6"/>
        <v>1-16</v>
      </c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9" t="s">
        <v>190</v>
      </c>
      <c r="B74" s="10" t="s">
        <v>191</v>
      </c>
      <c r="C74" s="11" t="s">
        <v>192</v>
      </c>
      <c r="D74" s="12" t="s">
        <v>193</v>
      </c>
      <c r="E74" s="13" t="str">
        <f t="array" ref="E74">INDEX(Turmas!C2:C106,MATCH(D74,Turmas!A2:A106,0))</f>
        <v>Tarde</v>
      </c>
      <c r="F74" s="14">
        <v>0.0</v>
      </c>
      <c r="G74" s="15">
        <v>3.0</v>
      </c>
      <c r="H74" s="15">
        <v>0.0</v>
      </c>
      <c r="I74" s="16" t="str">
        <f t="shared" si="1"/>
        <v>1-6,13-16</v>
      </c>
      <c r="J74" s="16" t="str">
        <f t="shared" si="2"/>
        <v>1-6,13-16</v>
      </c>
      <c r="K74" s="16" t="str">
        <f t="shared" si="3"/>
        <v>1-6,13-16</v>
      </c>
      <c r="L74" s="16" t="str">
        <f t="shared" si="4"/>
        <v>1-6,13-16</v>
      </c>
      <c r="M74" s="16" t="str">
        <f t="shared" si="5"/>
        <v>1-6,13-16</v>
      </c>
      <c r="N74" s="16" t="str">
        <f t="shared" si="6"/>
        <v>1-16</v>
      </c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9" t="s">
        <v>190</v>
      </c>
      <c r="B75" s="10" t="s">
        <v>191</v>
      </c>
      <c r="C75" s="11" t="s">
        <v>192</v>
      </c>
      <c r="D75" s="12" t="s">
        <v>193</v>
      </c>
      <c r="E75" s="13" t="str">
        <f t="array" ref="E75">INDEX(Turmas!C2:C106,MATCH(D75,Turmas!A2:A106,0))</f>
        <v>Tarde</v>
      </c>
      <c r="F75" s="14">
        <v>0.0</v>
      </c>
      <c r="G75" s="15">
        <v>3.0</v>
      </c>
      <c r="H75" s="15">
        <v>0.0</v>
      </c>
      <c r="I75" s="16" t="str">
        <f t="shared" si="1"/>
        <v>1-6,13-16</v>
      </c>
      <c r="J75" s="16" t="str">
        <f t="shared" si="2"/>
        <v>1-6,13-16</v>
      </c>
      <c r="K75" s="16" t="str">
        <f t="shared" si="3"/>
        <v>1-6,13-16</v>
      </c>
      <c r="L75" s="16" t="str">
        <f t="shared" si="4"/>
        <v>1-6,13-16</v>
      </c>
      <c r="M75" s="16" t="str">
        <f t="shared" si="5"/>
        <v>1-6,13-16</v>
      </c>
      <c r="N75" s="16" t="str">
        <f t="shared" si="6"/>
        <v>1-16</v>
      </c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9" t="s">
        <v>194</v>
      </c>
      <c r="B76" s="10" t="s">
        <v>195</v>
      </c>
      <c r="C76" s="11" t="s">
        <v>143</v>
      </c>
      <c r="D76" s="12" t="s">
        <v>193</v>
      </c>
      <c r="E76" s="13" t="str">
        <f t="array" ref="E76">INDEX(Turmas!C2:C106,MATCH(D76,Turmas!A2:A106,0))</f>
        <v>Tarde</v>
      </c>
      <c r="F76" s="14">
        <v>0.0</v>
      </c>
      <c r="G76" s="15">
        <v>3.0</v>
      </c>
      <c r="H76" s="15">
        <v>0.0</v>
      </c>
      <c r="I76" s="16" t="str">
        <f t="shared" si="1"/>
        <v>1-6,13-16</v>
      </c>
      <c r="J76" s="16" t="str">
        <f t="shared" si="2"/>
        <v>1-6,13-16</v>
      </c>
      <c r="K76" s="16" t="str">
        <f t="shared" si="3"/>
        <v>1-6,13-16</v>
      </c>
      <c r="L76" s="16" t="str">
        <f t="shared" si="4"/>
        <v>1-6,13-16</v>
      </c>
      <c r="M76" s="16" t="str">
        <f t="shared" si="5"/>
        <v>1-6,13-16</v>
      </c>
      <c r="N76" s="16" t="str">
        <f t="shared" si="6"/>
        <v>1-16</v>
      </c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9" t="s">
        <v>196</v>
      </c>
      <c r="B77" s="10" t="s">
        <v>197</v>
      </c>
      <c r="C77" s="11" t="s">
        <v>198</v>
      </c>
      <c r="D77" s="12" t="s">
        <v>193</v>
      </c>
      <c r="E77" s="13" t="str">
        <f t="array" ref="E77">INDEX(Turmas!C2:C106,MATCH(D77,Turmas!A2:A106,0))</f>
        <v>Tarde</v>
      </c>
      <c r="F77" s="14">
        <v>0.0</v>
      </c>
      <c r="G77" s="15">
        <v>4.0</v>
      </c>
      <c r="H77" s="15">
        <v>0.0</v>
      </c>
      <c r="I77" s="16" t="str">
        <f t="shared" si="1"/>
        <v>1-6,13-16</v>
      </c>
      <c r="J77" s="16" t="str">
        <f t="shared" si="2"/>
        <v>1-6,13-16</v>
      </c>
      <c r="K77" s="16" t="str">
        <f t="shared" si="3"/>
        <v>1-6,13-16</v>
      </c>
      <c r="L77" s="16" t="str">
        <f t="shared" si="4"/>
        <v>1-6,13-16</v>
      </c>
      <c r="M77" s="16" t="str">
        <f t="shared" si="5"/>
        <v>1-6,13-16</v>
      </c>
      <c r="N77" s="16" t="str">
        <f t="shared" si="6"/>
        <v>1-16</v>
      </c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9" t="s">
        <v>196</v>
      </c>
      <c r="B78" s="10" t="s">
        <v>197</v>
      </c>
      <c r="C78" s="11" t="s">
        <v>198</v>
      </c>
      <c r="D78" s="12" t="s">
        <v>193</v>
      </c>
      <c r="E78" s="13" t="str">
        <f t="array" ref="E78">INDEX(Turmas!C2:C106,MATCH(D78,Turmas!A2:A106,0))</f>
        <v>Tarde</v>
      </c>
      <c r="F78" s="14">
        <v>0.0</v>
      </c>
      <c r="G78" s="15">
        <v>5.0</v>
      </c>
      <c r="H78" s="15">
        <v>0.0</v>
      </c>
      <c r="I78" s="16" t="str">
        <f t="shared" si="1"/>
        <v>1-6,13-16</v>
      </c>
      <c r="J78" s="16" t="str">
        <f t="shared" si="2"/>
        <v>1-6,13-16</v>
      </c>
      <c r="K78" s="16" t="str">
        <f t="shared" si="3"/>
        <v>1-6,13-16</v>
      </c>
      <c r="L78" s="16" t="str">
        <f t="shared" si="4"/>
        <v>1-6,13-16</v>
      </c>
      <c r="M78" s="16" t="str">
        <f t="shared" si="5"/>
        <v>1-6,13-16</v>
      </c>
      <c r="N78" s="16" t="str">
        <f t="shared" si="6"/>
        <v>1-16</v>
      </c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9" t="s">
        <v>199</v>
      </c>
      <c r="B79" s="10" t="s">
        <v>200</v>
      </c>
      <c r="C79" s="11" t="s">
        <v>201</v>
      </c>
      <c r="D79" s="12" t="s">
        <v>193</v>
      </c>
      <c r="E79" s="13" t="str">
        <f t="array" ref="E79">INDEX(Turmas!C2:C106,MATCH(D79,Turmas!A2:A106,0))</f>
        <v>Tarde</v>
      </c>
      <c r="F79" s="14">
        <v>0.0</v>
      </c>
      <c r="G79" s="15">
        <v>2.0</v>
      </c>
      <c r="H79" s="15">
        <v>0.0</v>
      </c>
      <c r="I79" s="16" t="str">
        <f t="shared" si="1"/>
        <v>1-6,13-16</v>
      </c>
      <c r="J79" s="16" t="str">
        <f t="shared" si="2"/>
        <v>1-6,13-16</v>
      </c>
      <c r="K79" s="16" t="str">
        <f t="shared" si="3"/>
        <v>1-6,13-16</v>
      </c>
      <c r="L79" s="16" t="str">
        <f t="shared" si="4"/>
        <v>1-6,13-16</v>
      </c>
      <c r="M79" s="16" t="str">
        <f t="shared" si="5"/>
        <v>1-6,13-16</v>
      </c>
      <c r="N79" s="16" t="str">
        <f t="shared" si="6"/>
        <v>1-16</v>
      </c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9" t="s">
        <v>202</v>
      </c>
      <c r="B80" s="10" t="s">
        <v>203</v>
      </c>
      <c r="C80" s="11" t="s">
        <v>204</v>
      </c>
      <c r="D80" s="12" t="s">
        <v>193</v>
      </c>
      <c r="E80" s="13" t="str">
        <f t="array" ref="E80">INDEX(Turmas!C2:C106,MATCH(D80,Turmas!A2:A106,0))</f>
        <v>Tarde</v>
      </c>
      <c r="F80" s="14">
        <v>0.0</v>
      </c>
      <c r="G80" s="15">
        <v>2.0</v>
      </c>
      <c r="H80" s="15">
        <v>0.0</v>
      </c>
      <c r="I80" s="16" t="str">
        <f t="shared" si="1"/>
        <v>1-6,13-16</v>
      </c>
      <c r="J80" s="16" t="str">
        <f t="shared" si="2"/>
        <v>1-6,13-16</v>
      </c>
      <c r="K80" s="16" t="str">
        <f t="shared" si="3"/>
        <v>1-6,13-16</v>
      </c>
      <c r="L80" s="16" t="str">
        <f t="shared" si="4"/>
        <v>1-6,13-16</v>
      </c>
      <c r="M80" s="16" t="str">
        <f t="shared" si="5"/>
        <v>1-6,13-16</v>
      </c>
      <c r="N80" s="16" t="str">
        <f t="shared" si="6"/>
        <v>1-16</v>
      </c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9" t="s">
        <v>205</v>
      </c>
      <c r="B81" s="10" t="s">
        <v>206</v>
      </c>
      <c r="C81" s="11" t="s">
        <v>207</v>
      </c>
      <c r="D81" s="12" t="s">
        <v>193</v>
      </c>
      <c r="E81" s="13" t="str">
        <f t="array" ref="E81">INDEX(Turmas!C2:C106,MATCH(D81,Turmas!A2:A106,0))</f>
        <v>Tarde</v>
      </c>
      <c r="F81" s="14">
        <v>0.0</v>
      </c>
      <c r="G81" s="15">
        <v>2.0</v>
      </c>
      <c r="H81" s="15">
        <v>0.0</v>
      </c>
      <c r="I81" s="16" t="str">
        <f t="shared" si="1"/>
        <v>1-6,13-16</v>
      </c>
      <c r="J81" s="16" t="str">
        <f t="shared" si="2"/>
        <v>1-6,13-16</v>
      </c>
      <c r="K81" s="16" t="str">
        <f t="shared" si="3"/>
        <v>1-6,13-16</v>
      </c>
      <c r="L81" s="16" t="str">
        <f t="shared" si="4"/>
        <v>1-6,13-16</v>
      </c>
      <c r="M81" s="16" t="str">
        <f t="shared" si="5"/>
        <v>1-6,13-16</v>
      </c>
      <c r="N81" s="16" t="str">
        <f t="shared" si="6"/>
        <v>1-16</v>
      </c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9" t="s">
        <v>208</v>
      </c>
      <c r="B82" s="10" t="s">
        <v>209</v>
      </c>
      <c r="C82" s="22" t="s">
        <v>210</v>
      </c>
      <c r="D82" s="12" t="s">
        <v>193</v>
      </c>
      <c r="E82" s="13" t="str">
        <f t="array" ref="E82">INDEX(Turmas!C2:C106,MATCH(D82,Turmas!A2:A106,0))</f>
        <v>Tarde</v>
      </c>
      <c r="F82" s="14">
        <v>0.0</v>
      </c>
      <c r="G82" s="15">
        <v>3.0</v>
      </c>
      <c r="H82" s="15">
        <v>0.0</v>
      </c>
      <c r="I82" s="16" t="str">
        <f t="shared" si="1"/>
        <v>1-6,13-16</v>
      </c>
      <c r="J82" s="16" t="str">
        <f t="shared" si="2"/>
        <v>1-6,13-16</v>
      </c>
      <c r="K82" s="16" t="str">
        <f t="shared" si="3"/>
        <v>1-6,13-16</v>
      </c>
      <c r="L82" s="16" t="str">
        <f t="shared" si="4"/>
        <v>1-6,13-16</v>
      </c>
      <c r="M82" s="16" t="str">
        <f t="shared" si="5"/>
        <v>1-6,13-16</v>
      </c>
      <c r="N82" s="16" t="str">
        <f t="shared" si="6"/>
        <v>1-16</v>
      </c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9" t="s">
        <v>211</v>
      </c>
      <c r="B83" s="10" t="s">
        <v>212</v>
      </c>
      <c r="C83" s="11" t="s">
        <v>94</v>
      </c>
      <c r="D83" s="12" t="s">
        <v>213</v>
      </c>
      <c r="E83" s="13" t="str">
        <f t="array" ref="E83">INDEX(Turmas!C2:C106,MATCH(D83,Turmas!A2:A106,0))</f>
        <v>Tarde</v>
      </c>
      <c r="F83" s="14">
        <v>0.0</v>
      </c>
      <c r="G83" s="15">
        <v>3.0</v>
      </c>
      <c r="H83" s="15">
        <v>0.0</v>
      </c>
      <c r="I83" s="16" t="str">
        <f t="shared" si="1"/>
        <v>1-6,13-16</v>
      </c>
      <c r="J83" s="16" t="str">
        <f t="shared" si="2"/>
        <v>1-6,13-16</v>
      </c>
      <c r="K83" s="16" t="str">
        <f t="shared" si="3"/>
        <v>1-6,13-16</v>
      </c>
      <c r="L83" s="16" t="str">
        <f t="shared" si="4"/>
        <v>1-6,13-16</v>
      </c>
      <c r="M83" s="16" t="str">
        <f t="shared" si="5"/>
        <v>1-6,13-16</v>
      </c>
      <c r="N83" s="16" t="str">
        <f t="shared" si="6"/>
        <v>1-16</v>
      </c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9" t="s">
        <v>214</v>
      </c>
      <c r="B84" s="10" t="s">
        <v>215</v>
      </c>
      <c r="C84" s="11" t="s">
        <v>216</v>
      </c>
      <c r="D84" s="12" t="s">
        <v>213</v>
      </c>
      <c r="E84" s="13" t="str">
        <f t="array" ref="E84">INDEX(Turmas!C2:C106,MATCH(D84,Turmas!A2:A106,0))</f>
        <v>Tarde</v>
      </c>
      <c r="F84" s="14">
        <v>0.0</v>
      </c>
      <c r="G84" s="15">
        <v>3.0</v>
      </c>
      <c r="H84" s="15">
        <v>0.0</v>
      </c>
      <c r="I84" s="16" t="str">
        <f t="shared" si="1"/>
        <v>1-6,13-16</v>
      </c>
      <c r="J84" s="16" t="str">
        <f t="shared" si="2"/>
        <v>1-6,13-16</v>
      </c>
      <c r="K84" s="16" t="str">
        <f t="shared" si="3"/>
        <v>1-6,13-16</v>
      </c>
      <c r="L84" s="16" t="str">
        <f t="shared" si="4"/>
        <v>1-6,13-16</v>
      </c>
      <c r="M84" s="16" t="str">
        <f t="shared" si="5"/>
        <v>1-6,13-16</v>
      </c>
      <c r="N84" s="16" t="str">
        <f t="shared" si="6"/>
        <v>1-16</v>
      </c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9" t="s">
        <v>217</v>
      </c>
      <c r="B85" s="10" t="s">
        <v>218</v>
      </c>
      <c r="C85" s="11" t="s">
        <v>180</v>
      </c>
      <c r="D85" s="12" t="s">
        <v>213</v>
      </c>
      <c r="E85" s="13" t="str">
        <f t="array" ref="E85">INDEX(Turmas!C2:C106,MATCH(D85,Turmas!A2:A106,0))</f>
        <v>Tarde</v>
      </c>
      <c r="F85" s="14">
        <v>0.0</v>
      </c>
      <c r="G85" s="15">
        <v>1.0</v>
      </c>
      <c r="H85" s="15">
        <v>0.0</v>
      </c>
      <c r="I85" s="16" t="str">
        <f t="shared" si="1"/>
        <v>1-6,13-16</v>
      </c>
      <c r="J85" s="16" t="str">
        <f t="shared" si="2"/>
        <v>1-6,13-16</v>
      </c>
      <c r="K85" s="16" t="str">
        <f t="shared" si="3"/>
        <v>1-6,13-16</v>
      </c>
      <c r="L85" s="16" t="str">
        <f t="shared" si="4"/>
        <v>1-6,13-16</v>
      </c>
      <c r="M85" s="16" t="str">
        <f t="shared" si="5"/>
        <v>1-6,13-16</v>
      </c>
      <c r="N85" s="16" t="str">
        <f t="shared" si="6"/>
        <v>1-16</v>
      </c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9" t="s">
        <v>219</v>
      </c>
      <c r="B86" s="10" t="s">
        <v>220</v>
      </c>
      <c r="C86" s="11" t="s">
        <v>221</v>
      </c>
      <c r="D86" s="12" t="s">
        <v>213</v>
      </c>
      <c r="E86" s="13" t="str">
        <f t="array" ref="E86">INDEX(Turmas!C2:C106,MATCH(D86,Turmas!A2:A106,0))</f>
        <v>Tarde</v>
      </c>
      <c r="F86" s="14">
        <v>0.0</v>
      </c>
      <c r="G86" s="15">
        <v>3.0</v>
      </c>
      <c r="H86" s="15">
        <v>0.0</v>
      </c>
      <c r="I86" s="16" t="str">
        <f t="shared" si="1"/>
        <v>1-6,13-16</v>
      </c>
      <c r="J86" s="16" t="str">
        <f t="shared" si="2"/>
        <v>1-6,13-16</v>
      </c>
      <c r="K86" s="16" t="str">
        <f t="shared" si="3"/>
        <v>1-6,13-16</v>
      </c>
      <c r="L86" s="16" t="str">
        <f t="shared" si="4"/>
        <v>1-6,13-16</v>
      </c>
      <c r="M86" s="16" t="str">
        <f t="shared" si="5"/>
        <v>1-6,13-16</v>
      </c>
      <c r="N86" s="16" t="str">
        <f t="shared" si="6"/>
        <v>1-16</v>
      </c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9" t="s">
        <v>222</v>
      </c>
      <c r="B87" s="10" t="s">
        <v>223</v>
      </c>
      <c r="C87" s="11" t="s">
        <v>224</v>
      </c>
      <c r="D87" s="12" t="s">
        <v>213</v>
      </c>
      <c r="E87" s="13" t="str">
        <f t="array" ref="E87">INDEX(Turmas!C2:C106,MATCH(D87,Turmas!A2:A106,0))</f>
        <v>Tarde</v>
      </c>
      <c r="F87" s="14">
        <v>0.0</v>
      </c>
      <c r="G87" s="15">
        <v>2.0</v>
      </c>
      <c r="H87" s="15">
        <v>0.0</v>
      </c>
      <c r="I87" s="16" t="str">
        <f t="shared" si="1"/>
        <v>1-6,13-16</v>
      </c>
      <c r="J87" s="16" t="str">
        <f t="shared" si="2"/>
        <v>1-6,13-16</v>
      </c>
      <c r="K87" s="16" t="str">
        <f t="shared" si="3"/>
        <v>1-6,13-16</v>
      </c>
      <c r="L87" s="16" t="str">
        <f t="shared" si="4"/>
        <v>1-6,13-16</v>
      </c>
      <c r="M87" s="16" t="str">
        <f t="shared" si="5"/>
        <v>1-6,13-16</v>
      </c>
      <c r="N87" s="16" t="str">
        <f t="shared" si="6"/>
        <v>1-16</v>
      </c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9" t="s">
        <v>225</v>
      </c>
      <c r="B88" s="10" t="s">
        <v>226</v>
      </c>
      <c r="C88" s="11" t="s">
        <v>227</v>
      </c>
      <c r="D88" s="12" t="s">
        <v>213</v>
      </c>
      <c r="E88" s="13" t="str">
        <f t="array" ref="E88">INDEX(Turmas!C2:C106,MATCH(D88,Turmas!A2:A106,0))</f>
        <v>Tarde</v>
      </c>
      <c r="F88" s="14">
        <v>0.0</v>
      </c>
      <c r="G88" s="15">
        <v>3.0</v>
      </c>
      <c r="H88" s="15">
        <v>0.0</v>
      </c>
      <c r="I88" s="16" t="str">
        <f t="shared" si="1"/>
        <v>1-6,13-16</v>
      </c>
      <c r="J88" s="16" t="str">
        <f t="shared" si="2"/>
        <v>1-6,13-16</v>
      </c>
      <c r="K88" s="16" t="str">
        <f t="shared" si="3"/>
        <v>1-6,13-16</v>
      </c>
      <c r="L88" s="16" t="str">
        <f t="shared" si="4"/>
        <v>1-6,13-16</v>
      </c>
      <c r="M88" s="16" t="str">
        <f t="shared" si="5"/>
        <v>1-6,13-16</v>
      </c>
      <c r="N88" s="16" t="str">
        <f t="shared" si="6"/>
        <v>1-16</v>
      </c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9" t="s">
        <v>228</v>
      </c>
      <c r="B89" s="10" t="s">
        <v>229</v>
      </c>
      <c r="C89" s="11" t="s">
        <v>230</v>
      </c>
      <c r="D89" s="12" t="s">
        <v>231</v>
      </c>
      <c r="E89" s="13" t="str">
        <f t="array" ref="E89">INDEX(Turmas!C2:C106,MATCH(D89,Turmas!A2:A106,0))</f>
        <v>Manhã</v>
      </c>
      <c r="F89" s="14">
        <v>0.0</v>
      </c>
      <c r="G89" s="15">
        <v>3.0</v>
      </c>
      <c r="H89" s="15">
        <v>0.0</v>
      </c>
      <c r="I89" s="16" t="str">
        <f t="shared" si="1"/>
        <v>7-16</v>
      </c>
      <c r="J89" s="16" t="str">
        <f t="shared" si="2"/>
        <v>7-16</v>
      </c>
      <c r="K89" s="16" t="str">
        <f t="shared" si="3"/>
        <v>7-16</v>
      </c>
      <c r="L89" s="16" t="str">
        <f t="shared" si="4"/>
        <v>7-16</v>
      </c>
      <c r="M89" s="16" t="str">
        <f t="shared" si="5"/>
        <v>7-16</v>
      </c>
      <c r="N89" s="16" t="str">
        <f t="shared" si="6"/>
        <v>1-16</v>
      </c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9" t="s">
        <v>232</v>
      </c>
      <c r="B90" s="10" t="s">
        <v>233</v>
      </c>
      <c r="C90" s="11" t="s">
        <v>234</v>
      </c>
      <c r="D90" s="12" t="s">
        <v>231</v>
      </c>
      <c r="E90" s="13" t="str">
        <f t="array" ref="E90">INDEX(Turmas!C2:C106,MATCH(D90,Turmas!A2:A106,0))</f>
        <v>Manhã</v>
      </c>
      <c r="F90" s="14">
        <v>0.0</v>
      </c>
      <c r="G90" s="15">
        <v>3.0</v>
      </c>
      <c r="H90" s="15">
        <v>0.0</v>
      </c>
      <c r="I90" s="16" t="str">
        <f t="shared" si="1"/>
        <v>7-16</v>
      </c>
      <c r="J90" s="16" t="str">
        <f t="shared" si="2"/>
        <v>7-16</v>
      </c>
      <c r="K90" s="16" t="str">
        <f t="shared" si="3"/>
        <v>7-16</v>
      </c>
      <c r="L90" s="16" t="str">
        <f t="shared" si="4"/>
        <v>7-16</v>
      </c>
      <c r="M90" s="16" t="str">
        <f t="shared" si="5"/>
        <v>7-16</v>
      </c>
      <c r="N90" s="16" t="str">
        <f t="shared" si="6"/>
        <v>1-16</v>
      </c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9" t="s">
        <v>235</v>
      </c>
      <c r="B91" s="10" t="s">
        <v>236</v>
      </c>
      <c r="C91" s="11" t="s">
        <v>237</v>
      </c>
      <c r="D91" s="12" t="s">
        <v>231</v>
      </c>
      <c r="E91" s="13" t="str">
        <f t="array" ref="E91">INDEX(Turmas!C2:C106,MATCH(D91,Turmas!A2:A106,0))</f>
        <v>Manhã</v>
      </c>
      <c r="F91" s="14">
        <v>0.0</v>
      </c>
      <c r="G91" s="15">
        <v>3.0</v>
      </c>
      <c r="H91" s="15">
        <v>0.0</v>
      </c>
      <c r="I91" s="16" t="str">
        <f t="shared" si="1"/>
        <v>7-16</v>
      </c>
      <c r="J91" s="16" t="str">
        <f t="shared" si="2"/>
        <v>7-16</v>
      </c>
      <c r="K91" s="16" t="str">
        <f t="shared" si="3"/>
        <v>7-16</v>
      </c>
      <c r="L91" s="16" t="str">
        <f t="shared" si="4"/>
        <v>7-16</v>
      </c>
      <c r="M91" s="16" t="str">
        <f t="shared" si="5"/>
        <v>7-16</v>
      </c>
      <c r="N91" s="16" t="str">
        <f t="shared" si="6"/>
        <v>1-16</v>
      </c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9" t="s">
        <v>238</v>
      </c>
      <c r="B92" s="10" t="s">
        <v>239</v>
      </c>
      <c r="C92" s="11" t="s">
        <v>240</v>
      </c>
      <c r="D92" s="12" t="s">
        <v>231</v>
      </c>
      <c r="E92" s="13" t="str">
        <f t="array" ref="E92">INDEX(Turmas!C2:C106,MATCH(D92,Turmas!A2:A106,0))</f>
        <v>Manhã</v>
      </c>
      <c r="F92" s="14">
        <v>0.0</v>
      </c>
      <c r="G92" s="15">
        <v>2.0</v>
      </c>
      <c r="H92" s="15">
        <v>0.0</v>
      </c>
      <c r="I92" s="16" t="str">
        <f t="shared" si="1"/>
        <v>7-16</v>
      </c>
      <c r="J92" s="16" t="str">
        <f t="shared" si="2"/>
        <v>7-16</v>
      </c>
      <c r="K92" s="16" t="str">
        <f t="shared" si="3"/>
        <v>7-16</v>
      </c>
      <c r="L92" s="16" t="str">
        <f t="shared" si="4"/>
        <v>7-16</v>
      </c>
      <c r="M92" s="16" t="str">
        <f t="shared" si="5"/>
        <v>7-16</v>
      </c>
      <c r="N92" s="16" t="str">
        <f t="shared" si="6"/>
        <v>1-16</v>
      </c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9" t="s">
        <v>241</v>
      </c>
      <c r="B93" s="10" t="s">
        <v>242</v>
      </c>
      <c r="C93" s="11" t="s">
        <v>221</v>
      </c>
      <c r="D93" s="12" t="s">
        <v>231</v>
      </c>
      <c r="E93" s="13" t="str">
        <f t="array" ref="E93">INDEX(Turmas!C2:C106,MATCH(D93,Turmas!A2:A106,0))</f>
        <v>Manhã</v>
      </c>
      <c r="F93" s="14">
        <v>0.0</v>
      </c>
      <c r="G93" s="15">
        <v>4.0</v>
      </c>
      <c r="H93" s="15">
        <v>0.0</v>
      </c>
      <c r="I93" s="16" t="str">
        <f t="shared" si="1"/>
        <v>7-16</v>
      </c>
      <c r="J93" s="16" t="str">
        <f t="shared" si="2"/>
        <v>7-16</v>
      </c>
      <c r="K93" s="16" t="str">
        <f t="shared" si="3"/>
        <v>7-16</v>
      </c>
      <c r="L93" s="16" t="str">
        <f t="shared" si="4"/>
        <v>7-16</v>
      </c>
      <c r="M93" s="16" t="str">
        <f t="shared" si="5"/>
        <v>7-16</v>
      </c>
      <c r="N93" s="16" t="str">
        <f t="shared" si="6"/>
        <v>1-16</v>
      </c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9" t="s">
        <v>243</v>
      </c>
      <c r="B94" s="10" t="s">
        <v>244</v>
      </c>
      <c r="C94" s="11" t="s">
        <v>77</v>
      </c>
      <c r="D94" s="12" t="s">
        <v>231</v>
      </c>
      <c r="E94" s="13" t="str">
        <f t="array" ref="E94">INDEX(Turmas!C2:C106,MATCH(D94,Turmas!A2:A106,0))</f>
        <v>Manhã</v>
      </c>
      <c r="F94" s="14">
        <v>0.0</v>
      </c>
      <c r="G94" s="15">
        <v>2.0</v>
      </c>
      <c r="H94" s="15">
        <v>0.0</v>
      </c>
      <c r="I94" s="16" t="str">
        <f t="shared" si="1"/>
        <v>7-16</v>
      </c>
      <c r="J94" s="16" t="str">
        <f t="shared" si="2"/>
        <v>7-16</v>
      </c>
      <c r="K94" s="16" t="str">
        <f t="shared" si="3"/>
        <v>7-16</v>
      </c>
      <c r="L94" s="16" t="str">
        <f t="shared" si="4"/>
        <v>7-16</v>
      </c>
      <c r="M94" s="16" t="str">
        <f t="shared" si="5"/>
        <v>7-16</v>
      </c>
      <c r="N94" s="16" t="str">
        <f t="shared" si="6"/>
        <v>1-16</v>
      </c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9" t="s">
        <v>245</v>
      </c>
      <c r="B95" s="10" t="s">
        <v>246</v>
      </c>
      <c r="C95" s="11" t="s">
        <v>174</v>
      </c>
      <c r="D95" s="12" t="s">
        <v>231</v>
      </c>
      <c r="E95" s="13" t="str">
        <f t="array" ref="E95">INDEX(Turmas!C2:C106,MATCH(D95,Turmas!A2:A106,0))</f>
        <v>Manhã</v>
      </c>
      <c r="F95" s="14">
        <v>0.0</v>
      </c>
      <c r="G95" s="15">
        <v>3.0</v>
      </c>
      <c r="H95" s="15">
        <v>0.0</v>
      </c>
      <c r="I95" s="16" t="str">
        <f t="shared" si="1"/>
        <v>7-16</v>
      </c>
      <c r="J95" s="16" t="str">
        <f t="shared" si="2"/>
        <v>7-16</v>
      </c>
      <c r="K95" s="16" t="str">
        <f t="shared" si="3"/>
        <v>7-16</v>
      </c>
      <c r="L95" s="16" t="str">
        <f t="shared" si="4"/>
        <v>7-16</v>
      </c>
      <c r="M95" s="16" t="str">
        <f t="shared" si="5"/>
        <v>7-16</v>
      </c>
      <c r="N95" s="16" t="str">
        <f t="shared" si="6"/>
        <v>1-16</v>
      </c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9" t="s">
        <v>247</v>
      </c>
      <c r="B96" s="10" t="s">
        <v>248</v>
      </c>
      <c r="C96" s="11" t="s">
        <v>249</v>
      </c>
      <c r="D96" s="12" t="s">
        <v>250</v>
      </c>
      <c r="E96" s="13" t="str">
        <f t="array" ref="E96">INDEX(Turmas!C2:C106,MATCH(D96,Turmas!A2:A106,0))</f>
        <v>Manhã</v>
      </c>
      <c r="F96" s="14">
        <v>0.0</v>
      </c>
      <c r="G96" s="15">
        <v>4.0</v>
      </c>
      <c r="H96" s="15">
        <v>0.0</v>
      </c>
      <c r="I96" s="16" t="str">
        <f t="shared" si="1"/>
        <v>7-16</v>
      </c>
      <c r="J96" s="16" t="str">
        <f t="shared" si="2"/>
        <v>7-16</v>
      </c>
      <c r="K96" s="16" t="str">
        <f t="shared" si="3"/>
        <v>7-16</v>
      </c>
      <c r="L96" s="16" t="str">
        <f t="shared" si="4"/>
        <v>7-16</v>
      </c>
      <c r="M96" s="16" t="str">
        <f t="shared" si="5"/>
        <v>7-16</v>
      </c>
      <c r="N96" s="16" t="str">
        <f t="shared" si="6"/>
        <v>1-16</v>
      </c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9" t="s">
        <v>251</v>
      </c>
      <c r="B97" s="10" t="s">
        <v>252</v>
      </c>
      <c r="C97" s="11" t="s">
        <v>240</v>
      </c>
      <c r="D97" s="12" t="s">
        <v>250</v>
      </c>
      <c r="E97" s="13" t="str">
        <f t="array" ref="E97">INDEX(Turmas!C2:C106,MATCH(D97,Turmas!A2:A106,0))</f>
        <v>Manhã</v>
      </c>
      <c r="F97" s="14">
        <v>0.0</v>
      </c>
      <c r="G97" s="15">
        <v>3.0</v>
      </c>
      <c r="H97" s="15">
        <v>0.0</v>
      </c>
      <c r="I97" s="16" t="str">
        <f t="shared" si="1"/>
        <v>7-16</v>
      </c>
      <c r="J97" s="16" t="str">
        <f t="shared" si="2"/>
        <v>7-16</v>
      </c>
      <c r="K97" s="16" t="str">
        <f t="shared" si="3"/>
        <v>7-16</v>
      </c>
      <c r="L97" s="16" t="str">
        <f t="shared" si="4"/>
        <v>7-16</v>
      </c>
      <c r="M97" s="16" t="str">
        <f t="shared" si="5"/>
        <v>7-16</v>
      </c>
      <c r="N97" s="16" t="str">
        <f t="shared" si="6"/>
        <v>1-16</v>
      </c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9" t="s">
        <v>253</v>
      </c>
      <c r="B98" s="10" t="s">
        <v>254</v>
      </c>
      <c r="C98" s="11" t="s">
        <v>255</v>
      </c>
      <c r="D98" s="12" t="s">
        <v>250</v>
      </c>
      <c r="E98" s="13" t="str">
        <f t="array" ref="E98">INDEX(Turmas!C2:C106,MATCH(D98,Turmas!A2:A106,0))</f>
        <v>Manhã</v>
      </c>
      <c r="F98" s="14">
        <v>0.0</v>
      </c>
      <c r="G98" s="15">
        <v>3.0</v>
      </c>
      <c r="H98" s="15">
        <v>0.0</v>
      </c>
      <c r="I98" s="16" t="str">
        <f t="shared" si="1"/>
        <v>7-16</v>
      </c>
      <c r="J98" s="16" t="str">
        <f t="shared" si="2"/>
        <v>7-16</v>
      </c>
      <c r="K98" s="16" t="str">
        <f t="shared" si="3"/>
        <v>7-16</v>
      </c>
      <c r="L98" s="16" t="str">
        <f t="shared" si="4"/>
        <v>7-16</v>
      </c>
      <c r="M98" s="16" t="str">
        <f t="shared" si="5"/>
        <v>7-16</v>
      </c>
      <c r="N98" s="16" t="str">
        <f t="shared" si="6"/>
        <v>1-16</v>
      </c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9" t="s">
        <v>256</v>
      </c>
      <c r="B99" s="10" t="s">
        <v>257</v>
      </c>
      <c r="C99" s="11" t="s">
        <v>184</v>
      </c>
      <c r="D99" s="12" t="s">
        <v>250</v>
      </c>
      <c r="E99" s="13" t="str">
        <f t="array" ref="E99">INDEX(Turmas!C2:C106,MATCH(D99,Turmas!A2:A106,0))</f>
        <v>Manhã</v>
      </c>
      <c r="F99" s="14">
        <v>0.0</v>
      </c>
      <c r="G99" s="15">
        <v>2.0</v>
      </c>
      <c r="H99" s="15">
        <v>0.0</v>
      </c>
      <c r="I99" s="16" t="str">
        <f t="shared" si="1"/>
        <v>7-16</v>
      </c>
      <c r="J99" s="16" t="str">
        <f t="shared" si="2"/>
        <v>7-16</v>
      </c>
      <c r="K99" s="16" t="str">
        <f t="shared" si="3"/>
        <v>7-16</v>
      </c>
      <c r="L99" s="16" t="str">
        <f t="shared" si="4"/>
        <v>7-16</v>
      </c>
      <c r="M99" s="16" t="str">
        <f t="shared" si="5"/>
        <v>7-16</v>
      </c>
      <c r="N99" s="16" t="str">
        <f t="shared" si="6"/>
        <v>1-16</v>
      </c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9" t="s">
        <v>258</v>
      </c>
      <c r="B100" s="10" t="s">
        <v>259</v>
      </c>
      <c r="C100" s="11" t="s">
        <v>260</v>
      </c>
      <c r="D100" s="12" t="s">
        <v>250</v>
      </c>
      <c r="E100" s="13" t="str">
        <f t="array" ref="E100">INDEX(Turmas!C2:C106,MATCH(D100,Turmas!A2:A106,0))</f>
        <v>Manhã</v>
      </c>
      <c r="F100" s="14">
        <v>0.0</v>
      </c>
      <c r="G100" s="15">
        <v>3.0</v>
      </c>
      <c r="H100" s="15">
        <v>0.0</v>
      </c>
      <c r="I100" s="16" t="str">
        <f t="shared" si="1"/>
        <v>7-16</v>
      </c>
      <c r="J100" s="16" t="str">
        <f t="shared" si="2"/>
        <v>7-16</v>
      </c>
      <c r="K100" s="16" t="str">
        <f t="shared" si="3"/>
        <v>7-16</v>
      </c>
      <c r="L100" s="16" t="str">
        <f t="shared" si="4"/>
        <v>7-16</v>
      </c>
      <c r="M100" s="16" t="str">
        <f t="shared" si="5"/>
        <v>7-16</v>
      </c>
      <c r="N100" s="16" t="str">
        <f t="shared" si="6"/>
        <v>1-16</v>
      </c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9" t="s">
        <v>261</v>
      </c>
      <c r="B101" s="10" t="s">
        <v>262</v>
      </c>
      <c r="C101" s="11" t="s">
        <v>174</v>
      </c>
      <c r="D101" s="12" t="s">
        <v>250</v>
      </c>
      <c r="E101" s="13" t="str">
        <f t="array" ref="E101">INDEX(Turmas!C2:C106,MATCH(D101,Turmas!A2:A106,0))</f>
        <v>Manhã</v>
      </c>
      <c r="F101" s="14">
        <v>0.0</v>
      </c>
      <c r="G101" s="15">
        <v>3.0</v>
      </c>
      <c r="H101" s="15">
        <v>0.0</v>
      </c>
      <c r="I101" s="16" t="str">
        <f t="shared" si="1"/>
        <v>7-16</v>
      </c>
      <c r="J101" s="16" t="str">
        <f t="shared" si="2"/>
        <v>7-16</v>
      </c>
      <c r="K101" s="16" t="str">
        <f t="shared" si="3"/>
        <v>7-16</v>
      </c>
      <c r="L101" s="16" t="str">
        <f t="shared" si="4"/>
        <v>7-16</v>
      </c>
      <c r="M101" s="16" t="str">
        <f t="shared" si="5"/>
        <v>7-16</v>
      </c>
      <c r="N101" s="16" t="str">
        <f t="shared" si="6"/>
        <v>1-16</v>
      </c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9" t="s">
        <v>263</v>
      </c>
      <c r="B102" s="10" t="s">
        <v>264</v>
      </c>
      <c r="C102" s="11" t="s">
        <v>156</v>
      </c>
      <c r="D102" s="12" t="s">
        <v>265</v>
      </c>
      <c r="E102" s="13" t="str">
        <f t="array" ref="E102">INDEX(Turmas!C2:C106,MATCH(D102,Turmas!A2:A106,0))</f>
        <v>Tarde</v>
      </c>
      <c r="F102" s="14">
        <v>0.0</v>
      </c>
      <c r="G102" s="15">
        <v>3.0</v>
      </c>
      <c r="H102" s="15">
        <v>0.0</v>
      </c>
      <c r="I102" s="16" t="str">
        <f t="shared" si="1"/>
        <v>1-6,13-16</v>
      </c>
      <c r="J102" s="16" t="str">
        <f t="shared" si="2"/>
        <v>1-6,13-16</v>
      </c>
      <c r="K102" s="16" t="str">
        <f t="shared" si="3"/>
        <v>1-6,13-16</v>
      </c>
      <c r="L102" s="16" t="str">
        <f t="shared" si="4"/>
        <v>1-6,13-16</v>
      </c>
      <c r="M102" s="16" t="str">
        <f t="shared" si="5"/>
        <v>1-6,13-16</v>
      </c>
      <c r="N102" s="16" t="str">
        <f t="shared" si="6"/>
        <v>1-16</v>
      </c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9" t="s">
        <v>266</v>
      </c>
      <c r="B103" s="10" t="s">
        <v>267</v>
      </c>
      <c r="C103" s="11" t="s">
        <v>207</v>
      </c>
      <c r="D103" s="12" t="s">
        <v>265</v>
      </c>
      <c r="E103" s="13" t="str">
        <f t="array" ref="E103">INDEX(Turmas!C2:C106,MATCH(D103,Turmas!A2:A106,0))</f>
        <v>Tarde</v>
      </c>
      <c r="F103" s="14">
        <v>0.0</v>
      </c>
      <c r="G103" s="15">
        <v>3.0</v>
      </c>
      <c r="H103" s="15">
        <v>0.0</v>
      </c>
      <c r="I103" s="16" t="str">
        <f t="shared" si="1"/>
        <v>1-6,13-16</v>
      </c>
      <c r="J103" s="16" t="str">
        <f t="shared" si="2"/>
        <v>1-6,13-16</v>
      </c>
      <c r="K103" s="16" t="str">
        <f t="shared" si="3"/>
        <v>1-6,13-16</v>
      </c>
      <c r="L103" s="16" t="str">
        <f t="shared" si="4"/>
        <v>1-6,13-16</v>
      </c>
      <c r="M103" s="16" t="str">
        <f t="shared" si="5"/>
        <v>1-6,13-16</v>
      </c>
      <c r="N103" s="16" t="str">
        <f t="shared" si="6"/>
        <v>1-16</v>
      </c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9" t="s">
        <v>268</v>
      </c>
      <c r="B104" s="10" t="s">
        <v>269</v>
      </c>
      <c r="C104" s="11" t="s">
        <v>270</v>
      </c>
      <c r="D104" s="12" t="s">
        <v>265</v>
      </c>
      <c r="E104" s="13" t="str">
        <f t="array" ref="E104">INDEX(Turmas!C2:C106,MATCH(D104,Turmas!A2:A106,0))</f>
        <v>Tarde</v>
      </c>
      <c r="F104" s="14">
        <v>0.0</v>
      </c>
      <c r="G104" s="15">
        <v>4.0</v>
      </c>
      <c r="H104" s="15">
        <v>0.0</v>
      </c>
      <c r="I104" s="16" t="str">
        <f t="shared" si="1"/>
        <v>1-6,13-16</v>
      </c>
      <c r="J104" s="16" t="str">
        <f t="shared" si="2"/>
        <v>1-6,13-16</v>
      </c>
      <c r="K104" s="16" t="str">
        <f t="shared" si="3"/>
        <v>1-6,13-16</v>
      </c>
      <c r="L104" s="16" t="str">
        <f t="shared" si="4"/>
        <v>1-6,13-16</v>
      </c>
      <c r="M104" s="16" t="str">
        <f t="shared" si="5"/>
        <v>1-6,13-16</v>
      </c>
      <c r="N104" s="16" t="str">
        <f t="shared" si="6"/>
        <v>1-16</v>
      </c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9" t="s">
        <v>271</v>
      </c>
      <c r="B105" s="10" t="s">
        <v>272</v>
      </c>
      <c r="C105" s="11" t="s">
        <v>273</v>
      </c>
      <c r="D105" s="12" t="s">
        <v>265</v>
      </c>
      <c r="E105" s="13" t="str">
        <f t="array" ref="E105">INDEX(Turmas!C2:C106,MATCH(D105,Turmas!A2:A106,0))</f>
        <v>Tarde</v>
      </c>
      <c r="F105" s="14">
        <v>0.0</v>
      </c>
      <c r="G105" s="15">
        <v>4.0</v>
      </c>
      <c r="H105" s="15">
        <v>0.0</v>
      </c>
      <c r="I105" s="16" t="str">
        <f t="shared" si="1"/>
        <v>1-6,13-16</v>
      </c>
      <c r="J105" s="16" t="str">
        <f t="shared" si="2"/>
        <v>1-6,13-16</v>
      </c>
      <c r="K105" s="16" t="str">
        <f t="shared" si="3"/>
        <v>1-6,13-16</v>
      </c>
      <c r="L105" s="16" t="str">
        <f t="shared" si="4"/>
        <v>1-6,13-16</v>
      </c>
      <c r="M105" s="16" t="str">
        <f t="shared" si="5"/>
        <v>1-6,13-16</v>
      </c>
      <c r="N105" s="16" t="str">
        <f t="shared" si="6"/>
        <v>1-16</v>
      </c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9" t="s">
        <v>274</v>
      </c>
      <c r="B106" s="10" t="s">
        <v>275</v>
      </c>
      <c r="C106" s="11" t="s">
        <v>276</v>
      </c>
      <c r="D106" s="23" t="s">
        <v>265</v>
      </c>
      <c r="E106" s="13" t="str">
        <f t="array" ref="E106">INDEX(Turmas!C2:C106,MATCH(D106,Turmas!A2:A106,0))</f>
        <v>Tarde</v>
      </c>
      <c r="F106" s="14">
        <v>0.0</v>
      </c>
      <c r="G106" s="15">
        <v>3.0</v>
      </c>
      <c r="H106" s="15">
        <v>0.0</v>
      </c>
      <c r="I106" s="16" t="str">
        <f t="shared" si="1"/>
        <v>1-6,13-16</v>
      </c>
      <c r="J106" s="16" t="str">
        <f t="shared" si="2"/>
        <v>1-6,13-16</v>
      </c>
      <c r="K106" s="16" t="str">
        <f t="shared" si="3"/>
        <v>1-6,13-16</v>
      </c>
      <c r="L106" s="16" t="str">
        <f t="shared" si="4"/>
        <v>1-6,13-16</v>
      </c>
      <c r="M106" s="16" t="str">
        <f t="shared" si="5"/>
        <v>1-6,13-16</v>
      </c>
      <c r="N106" s="16" t="str">
        <f t="shared" si="6"/>
        <v>1-16</v>
      </c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9" t="s">
        <v>277</v>
      </c>
      <c r="B107" s="10" t="s">
        <v>278</v>
      </c>
      <c r="C107" s="11" t="s">
        <v>240</v>
      </c>
      <c r="D107" s="23" t="s">
        <v>265</v>
      </c>
      <c r="E107" s="13" t="str">
        <f t="array" ref="E107">INDEX(Turmas!C2:C106,MATCH(D107,Turmas!A2:A106,0))</f>
        <v>Tarde</v>
      </c>
      <c r="F107" s="14">
        <v>0.0</v>
      </c>
      <c r="G107" s="15">
        <v>4.0</v>
      </c>
      <c r="H107" s="15">
        <v>0.0</v>
      </c>
      <c r="I107" s="16" t="str">
        <f t="shared" si="1"/>
        <v>1-6,13-16</v>
      </c>
      <c r="J107" s="16" t="str">
        <f t="shared" si="2"/>
        <v>1-6,13-16</v>
      </c>
      <c r="K107" s="16" t="str">
        <f t="shared" si="3"/>
        <v>1-6,13-16</v>
      </c>
      <c r="L107" s="16" t="str">
        <f t="shared" si="4"/>
        <v>1-6,13-16</v>
      </c>
      <c r="M107" s="16" t="str">
        <f t="shared" si="5"/>
        <v>1-6,13-16</v>
      </c>
      <c r="N107" s="16" t="str">
        <f t="shared" si="6"/>
        <v>1-16</v>
      </c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9" t="s">
        <v>279</v>
      </c>
      <c r="B108" s="10" t="s">
        <v>149</v>
      </c>
      <c r="C108" s="11" t="s">
        <v>280</v>
      </c>
      <c r="D108" s="23" t="s">
        <v>265</v>
      </c>
      <c r="E108" s="13" t="str">
        <f t="array" ref="E108">INDEX(Turmas!C2:C106,MATCH(D108,Turmas!A2:A106,0))</f>
        <v>Tarde</v>
      </c>
      <c r="F108" s="14">
        <v>0.0</v>
      </c>
      <c r="G108" s="15">
        <v>4.0</v>
      </c>
      <c r="H108" s="15">
        <v>0.0</v>
      </c>
      <c r="I108" s="16" t="str">
        <f t="shared" si="1"/>
        <v>1-6,13-16</v>
      </c>
      <c r="J108" s="16" t="str">
        <f t="shared" si="2"/>
        <v>1-6,13-16</v>
      </c>
      <c r="K108" s="16" t="str">
        <f t="shared" si="3"/>
        <v>1-6,13-16</v>
      </c>
      <c r="L108" s="16" t="str">
        <f t="shared" si="4"/>
        <v>1-6,13-16</v>
      </c>
      <c r="M108" s="16" t="str">
        <f t="shared" si="5"/>
        <v>1-6,13-16</v>
      </c>
      <c r="N108" s="16" t="str">
        <f t="shared" si="6"/>
        <v>1-16</v>
      </c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9" t="s">
        <v>281</v>
      </c>
      <c r="B109" s="10" t="s">
        <v>282</v>
      </c>
      <c r="C109" s="11" t="s">
        <v>192</v>
      </c>
      <c r="D109" s="23" t="s">
        <v>283</v>
      </c>
      <c r="E109" s="13" t="str">
        <f t="array" ref="E109">INDEX(Turmas!C2:C106,MATCH(D109,Turmas!A2:A106,0))</f>
        <v>Manhã</v>
      </c>
      <c r="F109" s="14">
        <v>0.0</v>
      </c>
      <c r="G109" s="15">
        <v>3.0</v>
      </c>
      <c r="H109" s="15">
        <v>0.0</v>
      </c>
      <c r="I109" s="16" t="str">
        <f t="shared" si="1"/>
        <v>7-16</v>
      </c>
      <c r="J109" s="16" t="str">
        <f t="shared" si="2"/>
        <v>7-16</v>
      </c>
      <c r="K109" s="16" t="str">
        <f t="shared" si="3"/>
        <v>7-16</v>
      </c>
      <c r="L109" s="16" t="str">
        <f t="shared" si="4"/>
        <v>7-16</v>
      </c>
      <c r="M109" s="16" t="str">
        <f t="shared" si="5"/>
        <v>7-16</v>
      </c>
      <c r="N109" s="16" t="str">
        <f t="shared" si="6"/>
        <v>1-16</v>
      </c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9" t="s">
        <v>284</v>
      </c>
      <c r="B110" s="10" t="s">
        <v>285</v>
      </c>
      <c r="C110" s="11" t="s">
        <v>286</v>
      </c>
      <c r="D110" s="23" t="s">
        <v>283</v>
      </c>
      <c r="E110" s="13" t="str">
        <f t="array" ref="E110">INDEX(Turmas!C2:C106,MATCH(D110,Turmas!A2:A106,0))</f>
        <v>Manhã</v>
      </c>
      <c r="F110" s="14">
        <v>0.0</v>
      </c>
      <c r="G110" s="15">
        <v>2.0</v>
      </c>
      <c r="H110" s="15">
        <v>0.0</v>
      </c>
      <c r="I110" s="16" t="str">
        <f t="shared" si="1"/>
        <v>7-16</v>
      </c>
      <c r="J110" s="16" t="str">
        <f t="shared" si="2"/>
        <v>7-16</v>
      </c>
      <c r="K110" s="16" t="str">
        <f t="shared" si="3"/>
        <v>7-16</v>
      </c>
      <c r="L110" s="16" t="str">
        <f t="shared" si="4"/>
        <v>7-16</v>
      </c>
      <c r="M110" s="16" t="str">
        <f t="shared" si="5"/>
        <v>7-16</v>
      </c>
      <c r="N110" s="16" t="str">
        <f t="shared" si="6"/>
        <v>1-16</v>
      </c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9" t="s">
        <v>287</v>
      </c>
      <c r="B111" s="10" t="s">
        <v>288</v>
      </c>
      <c r="C111" s="11" t="s">
        <v>289</v>
      </c>
      <c r="D111" s="23" t="s">
        <v>283</v>
      </c>
      <c r="E111" s="13" t="str">
        <f t="array" ref="E111">INDEX(Turmas!C2:C106,MATCH(D111,Turmas!A2:A106,0))</f>
        <v>Manhã</v>
      </c>
      <c r="F111" s="14">
        <v>0.0</v>
      </c>
      <c r="G111" s="15">
        <v>3.0</v>
      </c>
      <c r="H111" s="15">
        <v>0.0</v>
      </c>
      <c r="I111" s="16" t="str">
        <f t="shared" si="1"/>
        <v>7-16</v>
      </c>
      <c r="J111" s="16" t="str">
        <f t="shared" si="2"/>
        <v>7-16</v>
      </c>
      <c r="K111" s="16" t="str">
        <f t="shared" si="3"/>
        <v>7-16</v>
      </c>
      <c r="L111" s="16" t="str">
        <f t="shared" si="4"/>
        <v>7-16</v>
      </c>
      <c r="M111" s="16" t="str">
        <f t="shared" si="5"/>
        <v>7-16</v>
      </c>
      <c r="N111" s="16" t="str">
        <f t="shared" si="6"/>
        <v>1-16</v>
      </c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9" t="s">
        <v>290</v>
      </c>
      <c r="B112" s="10" t="s">
        <v>291</v>
      </c>
      <c r="C112" s="11" t="s">
        <v>159</v>
      </c>
      <c r="D112" s="23" t="s">
        <v>283</v>
      </c>
      <c r="E112" s="13" t="str">
        <f t="array" ref="E112">INDEX(Turmas!C2:C106,MATCH(D112,Turmas!A2:A106,0))</f>
        <v>Manhã</v>
      </c>
      <c r="F112" s="14">
        <v>0.0</v>
      </c>
      <c r="G112" s="15">
        <v>3.0</v>
      </c>
      <c r="H112" s="15">
        <v>0.0</v>
      </c>
      <c r="I112" s="16" t="str">
        <f t="shared" si="1"/>
        <v>7-16</v>
      </c>
      <c r="J112" s="16" t="str">
        <f t="shared" si="2"/>
        <v>7-16</v>
      </c>
      <c r="K112" s="16" t="str">
        <f t="shared" si="3"/>
        <v>7-16</v>
      </c>
      <c r="L112" s="16" t="str">
        <f t="shared" si="4"/>
        <v>7-16</v>
      </c>
      <c r="M112" s="16" t="str">
        <f t="shared" si="5"/>
        <v>7-16</v>
      </c>
      <c r="N112" s="16" t="str">
        <f t="shared" si="6"/>
        <v>1-16</v>
      </c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9" t="s">
        <v>292</v>
      </c>
      <c r="B113" s="10" t="s">
        <v>293</v>
      </c>
      <c r="C113" s="11" t="s">
        <v>294</v>
      </c>
      <c r="D113" s="23" t="s">
        <v>283</v>
      </c>
      <c r="E113" s="13" t="str">
        <f t="array" ref="E113">INDEX(Turmas!C2:C106,MATCH(D113,Turmas!A2:A106,0))</f>
        <v>Manhã</v>
      </c>
      <c r="F113" s="14">
        <v>0.0</v>
      </c>
      <c r="G113" s="15">
        <v>4.0</v>
      </c>
      <c r="H113" s="15">
        <v>0.0</v>
      </c>
      <c r="I113" s="16" t="str">
        <f t="shared" si="1"/>
        <v>7-16</v>
      </c>
      <c r="J113" s="16" t="str">
        <f t="shared" si="2"/>
        <v>7-16</v>
      </c>
      <c r="K113" s="16" t="str">
        <f t="shared" si="3"/>
        <v>7-16</v>
      </c>
      <c r="L113" s="16" t="str">
        <f t="shared" si="4"/>
        <v>7-16</v>
      </c>
      <c r="M113" s="16" t="str">
        <f t="shared" si="5"/>
        <v>7-16</v>
      </c>
      <c r="N113" s="16" t="str">
        <f t="shared" si="6"/>
        <v>1-16</v>
      </c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9" t="s">
        <v>295</v>
      </c>
      <c r="B114" s="10" t="s">
        <v>296</v>
      </c>
      <c r="C114" s="11" t="s">
        <v>297</v>
      </c>
      <c r="D114" s="23" t="s">
        <v>283</v>
      </c>
      <c r="E114" s="13" t="str">
        <f t="array" ref="E114">INDEX(Turmas!C2:C106,MATCH(D114,Turmas!A2:A106,0))</f>
        <v>Manhã</v>
      </c>
      <c r="F114" s="14">
        <v>0.0</v>
      </c>
      <c r="G114" s="15">
        <v>3.0</v>
      </c>
      <c r="H114" s="15">
        <v>0.0</v>
      </c>
      <c r="I114" s="16" t="str">
        <f t="shared" si="1"/>
        <v>7-16</v>
      </c>
      <c r="J114" s="16" t="str">
        <f t="shared" si="2"/>
        <v>7-16</v>
      </c>
      <c r="K114" s="16" t="str">
        <f t="shared" si="3"/>
        <v>7-16</v>
      </c>
      <c r="L114" s="16" t="str">
        <f t="shared" si="4"/>
        <v>7-16</v>
      </c>
      <c r="M114" s="16" t="str">
        <f t="shared" si="5"/>
        <v>7-16</v>
      </c>
      <c r="N114" s="16" t="str">
        <f t="shared" si="6"/>
        <v>1-16</v>
      </c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9" t="s">
        <v>298</v>
      </c>
      <c r="B115" s="10" t="s">
        <v>299</v>
      </c>
      <c r="C115" s="11" t="s">
        <v>187</v>
      </c>
      <c r="D115" s="23" t="s">
        <v>300</v>
      </c>
      <c r="E115" s="13" t="str">
        <f t="array" ref="E115">INDEX(Turmas!C2:C106,MATCH(D115,Turmas!A2:A106,0))</f>
        <v>Tarde</v>
      </c>
      <c r="F115" s="14">
        <v>0.0</v>
      </c>
      <c r="G115" s="15">
        <v>3.0</v>
      </c>
      <c r="H115" s="15">
        <v>0.0</v>
      </c>
      <c r="I115" s="16" t="str">
        <f t="shared" si="1"/>
        <v>1-6,13-16</v>
      </c>
      <c r="J115" s="16" t="str">
        <f t="shared" si="2"/>
        <v>1-6,13-16</v>
      </c>
      <c r="K115" s="16" t="str">
        <f t="shared" si="3"/>
        <v>1-6,13-16</v>
      </c>
      <c r="L115" s="16" t="str">
        <f t="shared" si="4"/>
        <v>1-6,13-16</v>
      </c>
      <c r="M115" s="16" t="str">
        <f t="shared" si="5"/>
        <v>1-6,13-16</v>
      </c>
      <c r="N115" s="16" t="str">
        <f t="shared" si="6"/>
        <v>1-16</v>
      </c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9" t="s">
        <v>301</v>
      </c>
      <c r="B116" s="10" t="s">
        <v>302</v>
      </c>
      <c r="C116" s="11" t="s">
        <v>23</v>
      </c>
      <c r="D116" s="23" t="s">
        <v>300</v>
      </c>
      <c r="E116" s="13" t="str">
        <f t="array" ref="E116">INDEX(Turmas!C2:C106,MATCH(D116,Turmas!A2:A106,0))</f>
        <v>Tarde</v>
      </c>
      <c r="F116" s="14">
        <v>0.0</v>
      </c>
      <c r="G116" s="15">
        <v>2.0</v>
      </c>
      <c r="H116" s="15">
        <v>0.0</v>
      </c>
      <c r="I116" s="16" t="str">
        <f t="shared" si="1"/>
        <v>1-6,13-16</v>
      </c>
      <c r="J116" s="16" t="str">
        <f t="shared" si="2"/>
        <v>1-6,13-16</v>
      </c>
      <c r="K116" s="16" t="str">
        <f t="shared" si="3"/>
        <v>1-6,13-16</v>
      </c>
      <c r="L116" s="16" t="str">
        <f t="shared" si="4"/>
        <v>1-6,13-16</v>
      </c>
      <c r="M116" s="16" t="str">
        <f t="shared" si="5"/>
        <v>1-6,13-16</v>
      </c>
      <c r="N116" s="16" t="str">
        <f t="shared" si="6"/>
        <v>1-16</v>
      </c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9" t="s">
        <v>303</v>
      </c>
      <c r="B117" s="10" t="s">
        <v>304</v>
      </c>
      <c r="C117" s="11" t="s">
        <v>187</v>
      </c>
      <c r="D117" s="23" t="s">
        <v>300</v>
      </c>
      <c r="E117" s="13" t="str">
        <f t="array" ref="E117">INDEX(Turmas!C2:C106,MATCH(D117,Turmas!A2:A106,0))</f>
        <v>Tarde</v>
      </c>
      <c r="F117" s="14">
        <v>0.0</v>
      </c>
      <c r="G117" s="15">
        <v>3.0</v>
      </c>
      <c r="H117" s="15">
        <v>0.0</v>
      </c>
      <c r="I117" s="16" t="str">
        <f t="shared" si="1"/>
        <v>1-6,13-16</v>
      </c>
      <c r="J117" s="16" t="str">
        <f t="shared" si="2"/>
        <v>1-6,13-16</v>
      </c>
      <c r="K117" s="16" t="str">
        <f t="shared" si="3"/>
        <v>1-6,13-16</v>
      </c>
      <c r="L117" s="16" t="str">
        <f t="shared" si="4"/>
        <v>1-6,13-16</v>
      </c>
      <c r="M117" s="16" t="str">
        <f t="shared" si="5"/>
        <v>1-6,13-16</v>
      </c>
      <c r="N117" s="16" t="str">
        <f t="shared" si="6"/>
        <v>1-16</v>
      </c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9" t="s">
        <v>305</v>
      </c>
      <c r="B118" s="10" t="s">
        <v>306</v>
      </c>
      <c r="C118" s="11" t="s">
        <v>180</v>
      </c>
      <c r="D118" s="23" t="s">
        <v>300</v>
      </c>
      <c r="E118" s="13" t="str">
        <f t="array" ref="E118">INDEX(Turmas!C2:C106,MATCH(D118,Turmas!A2:A106,0))</f>
        <v>Tarde</v>
      </c>
      <c r="F118" s="14">
        <v>0.0</v>
      </c>
      <c r="G118" s="15">
        <v>3.0</v>
      </c>
      <c r="H118" s="15">
        <v>0.0</v>
      </c>
      <c r="I118" s="16" t="str">
        <f t="shared" si="1"/>
        <v>1-6,13-16</v>
      </c>
      <c r="J118" s="16" t="str">
        <f t="shared" si="2"/>
        <v>1-6,13-16</v>
      </c>
      <c r="K118" s="16" t="str">
        <f t="shared" si="3"/>
        <v>1-6,13-16</v>
      </c>
      <c r="L118" s="16" t="str">
        <f t="shared" si="4"/>
        <v>1-6,13-16</v>
      </c>
      <c r="M118" s="16" t="str">
        <f t="shared" si="5"/>
        <v>1-6,13-16</v>
      </c>
      <c r="N118" s="16" t="str">
        <f t="shared" si="6"/>
        <v>1-16</v>
      </c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9" t="s">
        <v>307</v>
      </c>
      <c r="B119" s="10" t="s">
        <v>308</v>
      </c>
      <c r="C119" s="11" t="s">
        <v>309</v>
      </c>
      <c r="D119" s="23" t="s">
        <v>300</v>
      </c>
      <c r="E119" s="13" t="str">
        <f t="array" ref="E119">INDEX(Turmas!C2:C106,MATCH(D119,Turmas!A2:A106,0))</f>
        <v>Tarde</v>
      </c>
      <c r="F119" s="14">
        <v>0.0</v>
      </c>
      <c r="G119" s="15">
        <v>2.0</v>
      </c>
      <c r="H119" s="15">
        <v>0.0</v>
      </c>
      <c r="I119" s="16" t="str">
        <f t="shared" si="1"/>
        <v>1-6,13-16</v>
      </c>
      <c r="J119" s="16" t="str">
        <f t="shared" si="2"/>
        <v>1-6,13-16</v>
      </c>
      <c r="K119" s="16" t="str">
        <f t="shared" si="3"/>
        <v>1-6,13-16</v>
      </c>
      <c r="L119" s="16" t="str">
        <f t="shared" si="4"/>
        <v>1-6,13-16</v>
      </c>
      <c r="M119" s="16" t="str">
        <f t="shared" si="5"/>
        <v>1-6,13-16</v>
      </c>
      <c r="N119" s="16" t="str">
        <f t="shared" si="6"/>
        <v>1-16</v>
      </c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9" t="s">
        <v>310</v>
      </c>
      <c r="B120" s="10" t="s">
        <v>311</v>
      </c>
      <c r="C120" s="11" t="s">
        <v>312</v>
      </c>
      <c r="D120" s="23" t="s">
        <v>300</v>
      </c>
      <c r="E120" s="13" t="str">
        <f t="array" ref="E120">INDEX(Turmas!C2:C106,MATCH(D120,Turmas!A2:A106,0))</f>
        <v>Tarde</v>
      </c>
      <c r="F120" s="14">
        <v>0.0</v>
      </c>
      <c r="G120" s="15">
        <v>2.0</v>
      </c>
      <c r="H120" s="15">
        <v>0.0</v>
      </c>
      <c r="I120" s="16" t="str">
        <f t="shared" si="1"/>
        <v>1-6,13-16</v>
      </c>
      <c r="J120" s="16" t="str">
        <f t="shared" si="2"/>
        <v>1-6,13-16</v>
      </c>
      <c r="K120" s="16" t="str">
        <f t="shared" si="3"/>
        <v>1-6,13-16</v>
      </c>
      <c r="L120" s="16" t="str">
        <f t="shared" si="4"/>
        <v>1-6,13-16</v>
      </c>
      <c r="M120" s="16" t="str">
        <f t="shared" si="5"/>
        <v>1-6,13-16</v>
      </c>
      <c r="N120" s="16" t="str">
        <f t="shared" si="6"/>
        <v>1-16</v>
      </c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9" t="s">
        <v>313</v>
      </c>
      <c r="B121" s="10" t="s">
        <v>314</v>
      </c>
      <c r="C121" s="11" t="s">
        <v>315</v>
      </c>
      <c r="D121" s="23" t="s">
        <v>300</v>
      </c>
      <c r="E121" s="13" t="str">
        <f t="array" ref="E121">INDEX(Turmas!C2:C106,MATCH(D121,Turmas!A2:A106,0))</f>
        <v>Tarde</v>
      </c>
      <c r="F121" s="14">
        <v>0.0</v>
      </c>
      <c r="G121" s="15">
        <v>3.0</v>
      </c>
      <c r="H121" s="15">
        <v>0.0</v>
      </c>
      <c r="I121" s="16" t="str">
        <f t="shared" si="1"/>
        <v>1-6,13-16</v>
      </c>
      <c r="J121" s="16" t="str">
        <f t="shared" si="2"/>
        <v>1-6,13-16</v>
      </c>
      <c r="K121" s="16" t="str">
        <f t="shared" si="3"/>
        <v>1-6,13-16</v>
      </c>
      <c r="L121" s="16" t="str">
        <f t="shared" si="4"/>
        <v>1-6,13-16</v>
      </c>
      <c r="M121" s="16" t="str">
        <f t="shared" si="5"/>
        <v>1-6,13-16</v>
      </c>
      <c r="N121" s="16" t="str">
        <f t="shared" si="6"/>
        <v>1-16</v>
      </c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9" t="s">
        <v>316</v>
      </c>
      <c r="B122" s="10" t="s">
        <v>317</v>
      </c>
      <c r="C122" s="11" t="s">
        <v>26</v>
      </c>
      <c r="D122" s="23" t="s">
        <v>300</v>
      </c>
      <c r="E122" s="13" t="str">
        <f t="array" ref="E122">INDEX(Turmas!C2:C106,MATCH(D122,Turmas!A2:A106,0))</f>
        <v>Tarde</v>
      </c>
      <c r="F122" s="14">
        <v>0.0</v>
      </c>
      <c r="G122" s="15">
        <v>4.0</v>
      </c>
      <c r="H122" s="15">
        <v>0.0</v>
      </c>
      <c r="I122" s="16" t="str">
        <f t="shared" si="1"/>
        <v>1-6,13-16</v>
      </c>
      <c r="J122" s="16" t="str">
        <f t="shared" si="2"/>
        <v>1-6,13-16</v>
      </c>
      <c r="K122" s="16" t="str">
        <f t="shared" si="3"/>
        <v>1-6,13-16</v>
      </c>
      <c r="L122" s="16" t="str">
        <f t="shared" si="4"/>
        <v>1-6,13-16</v>
      </c>
      <c r="M122" s="16" t="str">
        <f t="shared" si="5"/>
        <v>1-6,13-16</v>
      </c>
      <c r="N122" s="16" t="str">
        <f t="shared" si="6"/>
        <v>1-16</v>
      </c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9" t="s">
        <v>318</v>
      </c>
      <c r="B123" s="10" t="s">
        <v>319</v>
      </c>
      <c r="C123" s="11" t="s">
        <v>320</v>
      </c>
      <c r="D123" s="23" t="s">
        <v>321</v>
      </c>
      <c r="E123" s="13" t="str">
        <f t="array" ref="E123">INDEX(Turmas!C2:C106,MATCH(D123,Turmas!A2:A106,0))</f>
        <v>Tarde</v>
      </c>
      <c r="F123" s="14">
        <v>0.0</v>
      </c>
      <c r="G123" s="15">
        <v>4.0</v>
      </c>
      <c r="H123" s="15">
        <v>0.0</v>
      </c>
      <c r="I123" s="16" t="str">
        <f t="shared" si="1"/>
        <v>1-6,13-16</v>
      </c>
      <c r="J123" s="16" t="str">
        <f t="shared" si="2"/>
        <v>1-6,13-16</v>
      </c>
      <c r="K123" s="16" t="str">
        <f t="shared" si="3"/>
        <v>1-6,13-16</v>
      </c>
      <c r="L123" s="16" t="str">
        <f t="shared" si="4"/>
        <v>1-6,13-16</v>
      </c>
      <c r="M123" s="16" t="str">
        <f t="shared" si="5"/>
        <v>1-6,13-16</v>
      </c>
      <c r="N123" s="16" t="str">
        <f t="shared" si="6"/>
        <v>1-16</v>
      </c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9" t="s">
        <v>322</v>
      </c>
      <c r="B124" s="10" t="s">
        <v>323</v>
      </c>
      <c r="C124" s="11" t="s">
        <v>187</v>
      </c>
      <c r="D124" s="23" t="s">
        <v>324</v>
      </c>
      <c r="E124" s="13" t="str">
        <f t="array" ref="E124">INDEX(Turmas!C2:C106,MATCH(D124,Turmas!A2:A106,0))</f>
        <v>Tarde</v>
      </c>
      <c r="F124" s="14">
        <v>0.0</v>
      </c>
      <c r="G124" s="15">
        <v>2.0</v>
      </c>
      <c r="H124" s="15">
        <v>0.0</v>
      </c>
      <c r="I124" s="16" t="str">
        <f t="shared" si="1"/>
        <v>1-6,13-16</v>
      </c>
      <c r="J124" s="16" t="str">
        <f t="shared" si="2"/>
        <v>1-6,13-16</v>
      </c>
      <c r="K124" s="16" t="str">
        <f t="shared" si="3"/>
        <v>1-6,13-16</v>
      </c>
      <c r="L124" s="16" t="str">
        <f t="shared" si="4"/>
        <v>1-6,13-16</v>
      </c>
      <c r="M124" s="16" t="str">
        <f t="shared" si="5"/>
        <v>1-6,13-16</v>
      </c>
      <c r="N124" s="16" t="str">
        <f t="shared" si="6"/>
        <v>1-16</v>
      </c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9" t="s">
        <v>325</v>
      </c>
      <c r="B125" s="10" t="s">
        <v>326</v>
      </c>
      <c r="C125" s="11" t="s">
        <v>286</v>
      </c>
      <c r="D125" s="24" t="s">
        <v>327</v>
      </c>
      <c r="E125" s="13" t="str">
        <f t="array" ref="E125">INDEX(Turmas!C2:C106,MATCH(D125,Turmas!A2:A106,0))</f>
        <v>Tarde</v>
      </c>
      <c r="F125" s="14">
        <v>0.0</v>
      </c>
      <c r="G125" s="15">
        <v>4.0</v>
      </c>
      <c r="H125" s="15">
        <v>0.0</v>
      </c>
      <c r="I125" s="16" t="str">
        <f t="shared" si="1"/>
        <v>1-6,13-16</v>
      </c>
      <c r="J125" s="16" t="str">
        <f t="shared" si="2"/>
        <v>1-6,13-16</v>
      </c>
      <c r="K125" s="16" t="str">
        <f t="shared" si="3"/>
        <v>1-6,13-16</v>
      </c>
      <c r="L125" s="16" t="str">
        <f t="shared" si="4"/>
        <v>1-6,13-16</v>
      </c>
      <c r="M125" s="16" t="str">
        <f t="shared" si="5"/>
        <v>1-6,13-16</v>
      </c>
      <c r="N125" s="16" t="str">
        <f t="shared" si="6"/>
        <v>1-16</v>
      </c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9" t="s">
        <v>328</v>
      </c>
      <c r="B126" s="10" t="s">
        <v>329</v>
      </c>
      <c r="C126" s="11" t="s">
        <v>260</v>
      </c>
      <c r="D126" s="24" t="s">
        <v>327</v>
      </c>
      <c r="E126" s="13" t="str">
        <f t="array" ref="E126">INDEX(Turmas!C2:C106,MATCH(D126,Turmas!A2:A106,0))</f>
        <v>Tarde</v>
      </c>
      <c r="F126" s="14">
        <v>0.0</v>
      </c>
      <c r="G126" s="15">
        <v>2.0</v>
      </c>
      <c r="H126" s="15">
        <v>0.0</v>
      </c>
      <c r="I126" s="16" t="str">
        <f t="shared" si="1"/>
        <v>1-6,13-16</v>
      </c>
      <c r="J126" s="16" t="str">
        <f t="shared" si="2"/>
        <v>1-6,13-16</v>
      </c>
      <c r="K126" s="16" t="str">
        <f t="shared" si="3"/>
        <v>1-6,13-16</v>
      </c>
      <c r="L126" s="16" t="str">
        <f t="shared" si="4"/>
        <v>1-6,13-16</v>
      </c>
      <c r="M126" s="16" t="str">
        <f t="shared" si="5"/>
        <v>1-6,13-16</v>
      </c>
      <c r="N126" s="16" t="str">
        <f t="shared" si="6"/>
        <v>1-16</v>
      </c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9" t="s">
        <v>330</v>
      </c>
      <c r="B127" s="10" t="s">
        <v>331</v>
      </c>
      <c r="C127" s="11" t="s">
        <v>332</v>
      </c>
      <c r="D127" s="24" t="s">
        <v>327</v>
      </c>
      <c r="E127" s="13" t="str">
        <f t="array" ref="E127">INDEX(Turmas!C2:C106,MATCH(D127,Turmas!A2:A106,0))</f>
        <v>Tarde</v>
      </c>
      <c r="F127" s="14">
        <v>0.0</v>
      </c>
      <c r="G127" s="15">
        <v>2.0</v>
      </c>
      <c r="H127" s="15">
        <v>0.0</v>
      </c>
      <c r="I127" s="16" t="str">
        <f t="shared" si="1"/>
        <v>1-6,13-16</v>
      </c>
      <c r="J127" s="16" t="str">
        <f t="shared" si="2"/>
        <v>1-6,13-16</v>
      </c>
      <c r="K127" s="16" t="str">
        <f t="shared" si="3"/>
        <v>1-6,13-16</v>
      </c>
      <c r="L127" s="16" t="str">
        <f t="shared" si="4"/>
        <v>1-6,13-16</v>
      </c>
      <c r="M127" s="16" t="str">
        <f t="shared" si="5"/>
        <v>1-6,13-16</v>
      </c>
      <c r="N127" s="16" t="str">
        <f t="shared" si="6"/>
        <v>1-16</v>
      </c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9" t="s">
        <v>333</v>
      </c>
      <c r="B128" s="10" t="s">
        <v>334</v>
      </c>
      <c r="C128" s="11" t="s">
        <v>177</v>
      </c>
      <c r="D128" s="24" t="s">
        <v>335</v>
      </c>
      <c r="E128" s="13" t="str">
        <f t="array" ref="E128">INDEX(Turmas!C2:C106,MATCH(D128,Turmas!A2:A106,0))</f>
        <v>Tarde</v>
      </c>
      <c r="F128" s="14">
        <v>0.0</v>
      </c>
      <c r="G128" s="15">
        <v>3.0</v>
      </c>
      <c r="H128" s="15">
        <v>0.0</v>
      </c>
      <c r="I128" s="16" t="str">
        <f t="shared" si="1"/>
        <v>1-6,13-16</v>
      </c>
      <c r="J128" s="16" t="str">
        <f t="shared" si="2"/>
        <v>1-6,13-16</v>
      </c>
      <c r="K128" s="16" t="str">
        <f t="shared" si="3"/>
        <v>1-6,13-16</v>
      </c>
      <c r="L128" s="16" t="str">
        <f t="shared" si="4"/>
        <v>1-6,13-16</v>
      </c>
      <c r="M128" s="16" t="str">
        <f t="shared" si="5"/>
        <v>1-6,13-16</v>
      </c>
      <c r="N128" s="16" t="str">
        <f t="shared" si="6"/>
        <v>1-16</v>
      </c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9" t="s">
        <v>336</v>
      </c>
      <c r="B129" s="10" t="s">
        <v>337</v>
      </c>
      <c r="C129" s="11" t="s">
        <v>204</v>
      </c>
      <c r="D129" s="24" t="s">
        <v>335</v>
      </c>
      <c r="E129" s="13" t="str">
        <f t="array" ref="E129">INDEX(Turmas!C2:C106,MATCH(D129,Turmas!A2:A106,0))</f>
        <v>Tarde</v>
      </c>
      <c r="F129" s="14">
        <v>0.0</v>
      </c>
      <c r="G129" s="15">
        <v>3.0</v>
      </c>
      <c r="H129" s="15">
        <v>0.0</v>
      </c>
      <c r="I129" s="16" t="str">
        <f t="shared" si="1"/>
        <v>1-6,13-16</v>
      </c>
      <c r="J129" s="16" t="str">
        <f t="shared" si="2"/>
        <v>1-6,13-16</v>
      </c>
      <c r="K129" s="16" t="str">
        <f t="shared" si="3"/>
        <v>1-6,13-16</v>
      </c>
      <c r="L129" s="16" t="str">
        <f t="shared" si="4"/>
        <v>1-6,13-16</v>
      </c>
      <c r="M129" s="16" t="str">
        <f t="shared" si="5"/>
        <v>1-6,13-16</v>
      </c>
      <c r="N129" s="16" t="str">
        <f t="shared" si="6"/>
        <v>1-16</v>
      </c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9" t="s">
        <v>338</v>
      </c>
      <c r="B130" s="10" t="s">
        <v>339</v>
      </c>
      <c r="C130" s="11" t="s">
        <v>207</v>
      </c>
      <c r="D130" s="24" t="s">
        <v>335</v>
      </c>
      <c r="E130" s="13" t="str">
        <f t="array" ref="E130">INDEX(Turmas!C2:C106,MATCH(D130,Turmas!A2:A106,0))</f>
        <v>Tarde</v>
      </c>
      <c r="F130" s="14">
        <v>0.0</v>
      </c>
      <c r="G130" s="15">
        <v>3.0</v>
      </c>
      <c r="H130" s="15">
        <v>0.0</v>
      </c>
      <c r="I130" s="16" t="str">
        <f t="shared" si="1"/>
        <v>1-6,13-16</v>
      </c>
      <c r="J130" s="16" t="str">
        <f t="shared" si="2"/>
        <v>1-6,13-16</v>
      </c>
      <c r="K130" s="16" t="str">
        <f t="shared" si="3"/>
        <v>1-6,13-16</v>
      </c>
      <c r="L130" s="16" t="str">
        <f t="shared" si="4"/>
        <v>1-6,13-16</v>
      </c>
      <c r="M130" s="16" t="str">
        <f t="shared" si="5"/>
        <v>1-6,13-16</v>
      </c>
      <c r="N130" s="16" t="str">
        <f t="shared" si="6"/>
        <v>1-16</v>
      </c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9" t="s">
        <v>340</v>
      </c>
      <c r="B131" s="10" t="s">
        <v>142</v>
      </c>
      <c r="C131" s="11" t="s">
        <v>341</v>
      </c>
      <c r="D131" s="23" t="s">
        <v>342</v>
      </c>
      <c r="E131" s="13" t="str">
        <f t="array" ref="E131">INDEX(Turmas!C2:C106,MATCH(D131,Turmas!A2:A106,0))</f>
        <v>Noite</v>
      </c>
      <c r="F131" s="14">
        <v>0.0</v>
      </c>
      <c r="G131" s="15">
        <v>3.0</v>
      </c>
      <c r="H131" s="15">
        <v>0.0</v>
      </c>
      <c r="I131" s="16" t="str">
        <f t="shared" si="1"/>
        <v>1-12</v>
      </c>
      <c r="J131" s="16" t="str">
        <f t="shared" si="2"/>
        <v>1-12</v>
      </c>
      <c r="K131" s="16" t="str">
        <f t="shared" si="3"/>
        <v>1-12</v>
      </c>
      <c r="L131" s="16" t="str">
        <f t="shared" si="4"/>
        <v>1-12</v>
      </c>
      <c r="M131" s="16" t="str">
        <f t="shared" si="5"/>
        <v>1-12</v>
      </c>
      <c r="N131" s="16" t="str">
        <f t="shared" si="6"/>
        <v>0</v>
      </c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9" t="s">
        <v>343</v>
      </c>
      <c r="B132" s="10" t="s">
        <v>344</v>
      </c>
      <c r="C132" s="11" t="s">
        <v>80</v>
      </c>
      <c r="D132" s="23" t="s">
        <v>342</v>
      </c>
      <c r="E132" s="13" t="str">
        <f t="array" ref="E132">INDEX(Turmas!C2:C106,MATCH(D132,Turmas!A2:A106,0))</f>
        <v>Noite</v>
      </c>
      <c r="F132" s="20">
        <v>0.0</v>
      </c>
      <c r="G132" s="15">
        <v>4.0</v>
      </c>
      <c r="H132" s="15">
        <v>0.0</v>
      </c>
      <c r="I132" s="16" t="str">
        <f t="shared" si="1"/>
        <v>1-12</v>
      </c>
      <c r="J132" s="16" t="str">
        <f t="shared" si="2"/>
        <v>1-12</v>
      </c>
      <c r="K132" s="16" t="str">
        <f t="shared" si="3"/>
        <v>1-12</v>
      </c>
      <c r="L132" s="16" t="str">
        <f t="shared" si="4"/>
        <v>1-12</v>
      </c>
      <c r="M132" s="16" t="str">
        <f t="shared" si="5"/>
        <v>1-12</v>
      </c>
      <c r="N132" s="16" t="str">
        <f t="shared" si="6"/>
        <v>0</v>
      </c>
      <c r="O132" s="21"/>
      <c r="P132" s="21"/>
      <c r="Q132" s="21"/>
      <c r="R132" s="21"/>
      <c r="S132" s="21"/>
      <c r="T132" s="21"/>
      <c r="U132" s="21"/>
      <c r="V132" s="21"/>
      <c r="W132" s="21"/>
    </row>
    <row r="133" ht="14.25" customHeight="1">
      <c r="A133" s="9" t="s">
        <v>345</v>
      </c>
      <c r="B133" s="10" t="s">
        <v>346</v>
      </c>
      <c r="C133" s="11" t="s">
        <v>347</v>
      </c>
      <c r="D133" s="23" t="s">
        <v>342</v>
      </c>
      <c r="E133" s="13" t="str">
        <f t="array" ref="E133">INDEX(Turmas!C2:C106,MATCH(D133,Turmas!A2:A106,0))</f>
        <v>Noite</v>
      </c>
      <c r="F133" s="14">
        <v>0.0</v>
      </c>
      <c r="G133" s="15">
        <v>4.0</v>
      </c>
      <c r="H133" s="15">
        <v>0.0</v>
      </c>
      <c r="I133" s="16" t="str">
        <f t="shared" si="1"/>
        <v>1-12</v>
      </c>
      <c r="J133" s="16" t="str">
        <f t="shared" si="2"/>
        <v>1-12</v>
      </c>
      <c r="K133" s="16" t="str">
        <f t="shared" si="3"/>
        <v>1-12</v>
      </c>
      <c r="L133" s="16" t="str">
        <f t="shared" si="4"/>
        <v>1-12</v>
      </c>
      <c r="M133" s="16" t="str">
        <f t="shared" si="5"/>
        <v>1-12</v>
      </c>
      <c r="N133" s="16" t="str">
        <f t="shared" si="6"/>
        <v>0</v>
      </c>
      <c r="O133" s="17"/>
      <c r="P133" s="17"/>
      <c r="Q133" s="17"/>
      <c r="R133" s="17"/>
      <c r="S133" s="17"/>
      <c r="T133" s="17"/>
      <c r="U133" s="17"/>
      <c r="V133" s="17"/>
      <c r="W133" s="17"/>
    </row>
    <row r="134" ht="14.25" customHeight="1">
      <c r="A134" s="9" t="s">
        <v>348</v>
      </c>
      <c r="B134" s="19" t="s">
        <v>349</v>
      </c>
      <c r="C134" s="11" t="s">
        <v>350</v>
      </c>
      <c r="D134" s="23" t="s">
        <v>342</v>
      </c>
      <c r="E134" s="13" t="str">
        <f t="array" ref="E134">INDEX(Turmas!C2:C106,MATCH(D134,Turmas!A2:A106,0))</f>
        <v>Noite</v>
      </c>
      <c r="F134" s="14">
        <v>0.0</v>
      </c>
      <c r="G134" s="15">
        <v>2.0</v>
      </c>
      <c r="H134" s="15">
        <v>0.0</v>
      </c>
      <c r="I134" s="16" t="str">
        <f t="shared" si="1"/>
        <v>1-12</v>
      </c>
      <c r="J134" s="16" t="str">
        <f t="shared" si="2"/>
        <v>1-12</v>
      </c>
      <c r="K134" s="16" t="str">
        <f t="shared" si="3"/>
        <v>1-12</v>
      </c>
      <c r="L134" s="16" t="str">
        <f t="shared" si="4"/>
        <v>1-12</v>
      </c>
      <c r="M134" s="16" t="str">
        <f t="shared" si="5"/>
        <v>1-12</v>
      </c>
      <c r="N134" s="16" t="str">
        <f t="shared" si="6"/>
        <v>0</v>
      </c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9" t="s">
        <v>351</v>
      </c>
      <c r="B135" s="19" t="s">
        <v>352</v>
      </c>
      <c r="C135" s="11" t="s">
        <v>347</v>
      </c>
      <c r="D135" s="23" t="s">
        <v>342</v>
      </c>
      <c r="E135" s="13" t="str">
        <f t="array" ref="E135">INDEX(Turmas!C2:C106,MATCH(D135,Turmas!A2:A106,0))</f>
        <v>Noite</v>
      </c>
      <c r="F135" s="14">
        <v>0.0</v>
      </c>
      <c r="G135" s="15">
        <v>2.0</v>
      </c>
      <c r="H135" s="15">
        <v>0.0</v>
      </c>
      <c r="I135" s="16" t="str">
        <f t="shared" si="1"/>
        <v>1-12</v>
      </c>
      <c r="J135" s="16" t="str">
        <f t="shared" si="2"/>
        <v>1-12</v>
      </c>
      <c r="K135" s="16" t="str">
        <f t="shared" si="3"/>
        <v>1-12</v>
      </c>
      <c r="L135" s="16" t="str">
        <f t="shared" si="4"/>
        <v>1-12</v>
      </c>
      <c r="M135" s="16" t="str">
        <f t="shared" si="5"/>
        <v>1-12</v>
      </c>
      <c r="N135" s="16" t="str">
        <f t="shared" si="6"/>
        <v>0</v>
      </c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9" t="s">
        <v>353</v>
      </c>
      <c r="B136" s="19" t="s">
        <v>354</v>
      </c>
      <c r="C136" s="11" t="s">
        <v>16</v>
      </c>
      <c r="D136" s="23" t="s">
        <v>342</v>
      </c>
      <c r="E136" s="13" t="str">
        <f t="array" ref="E136">INDEX(Turmas!C2:C106,MATCH(D136,Turmas!A2:A106,0))</f>
        <v>Noite</v>
      </c>
      <c r="F136" s="14">
        <v>0.0</v>
      </c>
      <c r="G136" s="15">
        <v>2.0</v>
      </c>
      <c r="H136" s="15">
        <v>0.0</v>
      </c>
      <c r="I136" s="16" t="str">
        <f t="shared" si="1"/>
        <v>1-12</v>
      </c>
      <c r="J136" s="16" t="str">
        <f t="shared" si="2"/>
        <v>1-12</v>
      </c>
      <c r="K136" s="16" t="str">
        <f t="shared" si="3"/>
        <v>1-12</v>
      </c>
      <c r="L136" s="16" t="str">
        <f t="shared" si="4"/>
        <v>1-12</v>
      </c>
      <c r="M136" s="16" t="str">
        <f t="shared" si="5"/>
        <v>1-12</v>
      </c>
      <c r="N136" s="16" t="str">
        <f t="shared" si="6"/>
        <v>0</v>
      </c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9" t="s">
        <v>355</v>
      </c>
      <c r="B137" s="19" t="s">
        <v>356</v>
      </c>
      <c r="C137" s="11" t="s">
        <v>347</v>
      </c>
      <c r="D137" s="23" t="s">
        <v>342</v>
      </c>
      <c r="E137" s="13" t="str">
        <f t="array" ref="E137">INDEX(Turmas!C2:C106,MATCH(D137,Turmas!A2:A106,0))</f>
        <v>Noite</v>
      </c>
      <c r="F137" s="14">
        <v>0.0</v>
      </c>
      <c r="G137" s="15">
        <v>2.0</v>
      </c>
      <c r="H137" s="15">
        <v>0.0</v>
      </c>
      <c r="I137" s="16" t="str">
        <f t="shared" si="1"/>
        <v>1-12</v>
      </c>
      <c r="J137" s="16" t="str">
        <f t="shared" si="2"/>
        <v>1-12</v>
      </c>
      <c r="K137" s="16" t="str">
        <f t="shared" si="3"/>
        <v>1-12</v>
      </c>
      <c r="L137" s="16" t="str">
        <f t="shared" si="4"/>
        <v>1-12</v>
      </c>
      <c r="M137" s="16" t="str">
        <f t="shared" si="5"/>
        <v>1-12</v>
      </c>
      <c r="N137" s="16" t="str">
        <f t="shared" si="6"/>
        <v>0</v>
      </c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9" t="s">
        <v>357</v>
      </c>
      <c r="B138" s="19" t="s">
        <v>358</v>
      </c>
      <c r="C138" s="11" t="s">
        <v>359</v>
      </c>
      <c r="D138" s="23" t="s">
        <v>360</v>
      </c>
      <c r="E138" s="13" t="str">
        <f t="array" ref="E138">INDEX(Turmas!C2:C106,MATCH(D138,Turmas!A2:A106,0))</f>
        <v>Noite</v>
      </c>
      <c r="F138" s="14">
        <v>0.0</v>
      </c>
      <c r="G138" s="15">
        <v>4.0</v>
      </c>
      <c r="H138" s="15">
        <v>0.0</v>
      </c>
      <c r="I138" s="16" t="str">
        <f t="shared" si="1"/>
        <v>1-12</v>
      </c>
      <c r="J138" s="16" t="str">
        <f t="shared" si="2"/>
        <v>1-12</v>
      </c>
      <c r="K138" s="16" t="str">
        <f t="shared" si="3"/>
        <v>1-12</v>
      </c>
      <c r="L138" s="16" t="str">
        <f t="shared" si="4"/>
        <v>1-12</v>
      </c>
      <c r="M138" s="16" t="str">
        <f t="shared" si="5"/>
        <v>1-12</v>
      </c>
      <c r="N138" s="16" t="str">
        <f t="shared" si="6"/>
        <v>0</v>
      </c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9" t="s">
        <v>361</v>
      </c>
      <c r="B139" s="19" t="s">
        <v>362</v>
      </c>
      <c r="C139" s="11" t="s">
        <v>363</v>
      </c>
      <c r="D139" s="23" t="s">
        <v>360</v>
      </c>
      <c r="E139" s="13" t="str">
        <f t="array" ref="E139">INDEX(Turmas!C2:C106,MATCH(D139,Turmas!A2:A106,0))</f>
        <v>Noite</v>
      </c>
      <c r="F139" s="14">
        <v>0.0</v>
      </c>
      <c r="G139" s="15">
        <v>4.0</v>
      </c>
      <c r="H139" s="15">
        <v>0.0</v>
      </c>
      <c r="I139" s="16" t="str">
        <f t="shared" si="1"/>
        <v>1-12</v>
      </c>
      <c r="J139" s="16" t="str">
        <f t="shared" si="2"/>
        <v>1-12</v>
      </c>
      <c r="K139" s="16" t="str">
        <f t="shared" si="3"/>
        <v>1-12</v>
      </c>
      <c r="L139" s="16" t="str">
        <f t="shared" si="4"/>
        <v>1-12</v>
      </c>
      <c r="M139" s="16" t="str">
        <f t="shared" si="5"/>
        <v>1-12</v>
      </c>
      <c r="N139" s="16" t="str">
        <f t="shared" si="6"/>
        <v>0</v>
      </c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9" t="s">
        <v>364</v>
      </c>
      <c r="B140" s="19" t="s">
        <v>365</v>
      </c>
      <c r="C140" s="11" t="s">
        <v>366</v>
      </c>
      <c r="D140" s="23" t="s">
        <v>360</v>
      </c>
      <c r="E140" s="13" t="str">
        <f t="array" ref="E140">INDEX(Turmas!C2:C106,MATCH(D140,Turmas!A2:A106,0))</f>
        <v>Noite</v>
      </c>
      <c r="F140" s="14">
        <v>0.0</v>
      </c>
      <c r="G140" s="15">
        <v>4.0</v>
      </c>
      <c r="H140" s="15">
        <v>0.0</v>
      </c>
      <c r="I140" s="16" t="str">
        <f t="shared" si="1"/>
        <v>1-12</v>
      </c>
      <c r="J140" s="16" t="str">
        <f t="shared" si="2"/>
        <v>1-12</v>
      </c>
      <c r="K140" s="16" t="str">
        <f t="shared" si="3"/>
        <v>1-12</v>
      </c>
      <c r="L140" s="16" t="str">
        <f t="shared" si="4"/>
        <v>1-12</v>
      </c>
      <c r="M140" s="16" t="str">
        <f t="shared" si="5"/>
        <v>1-12</v>
      </c>
      <c r="N140" s="16" t="str">
        <f t="shared" si="6"/>
        <v>0</v>
      </c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9" t="s">
        <v>367</v>
      </c>
      <c r="B141" s="19" t="s">
        <v>368</v>
      </c>
      <c r="C141" s="11" t="s">
        <v>347</v>
      </c>
      <c r="D141" s="23" t="s">
        <v>360</v>
      </c>
      <c r="E141" s="13" t="str">
        <f t="array" ref="E141">INDEX(Turmas!C2:C106,MATCH(D141,Turmas!A2:A106,0))</f>
        <v>Noite</v>
      </c>
      <c r="F141" s="14">
        <v>0.0</v>
      </c>
      <c r="G141" s="15">
        <v>4.0</v>
      </c>
      <c r="H141" s="15">
        <v>0.0</v>
      </c>
      <c r="I141" s="16" t="str">
        <f t="shared" si="1"/>
        <v>1-12</v>
      </c>
      <c r="J141" s="16" t="str">
        <f t="shared" si="2"/>
        <v>1-12</v>
      </c>
      <c r="K141" s="16" t="str">
        <f t="shared" si="3"/>
        <v>1-12</v>
      </c>
      <c r="L141" s="16" t="str">
        <f t="shared" si="4"/>
        <v>1-12</v>
      </c>
      <c r="M141" s="16" t="str">
        <f t="shared" si="5"/>
        <v>1-12</v>
      </c>
      <c r="N141" s="16" t="str">
        <f t="shared" si="6"/>
        <v>0</v>
      </c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9" t="s">
        <v>369</v>
      </c>
      <c r="B142" s="19" t="s">
        <v>370</v>
      </c>
      <c r="C142" s="11" t="s">
        <v>371</v>
      </c>
      <c r="D142" s="23" t="s">
        <v>360</v>
      </c>
      <c r="E142" s="13" t="str">
        <f t="array" ref="E142">INDEX(Turmas!C2:C106,MATCH(D142,Turmas!A2:A106,0))</f>
        <v>Noite</v>
      </c>
      <c r="F142" s="14">
        <v>0.0</v>
      </c>
      <c r="G142" s="15">
        <v>4.0</v>
      </c>
      <c r="H142" s="15">
        <v>0.0</v>
      </c>
      <c r="I142" s="16" t="str">
        <f t="shared" si="1"/>
        <v>1-12</v>
      </c>
      <c r="J142" s="16" t="str">
        <f t="shared" si="2"/>
        <v>1-12</v>
      </c>
      <c r="K142" s="16" t="str">
        <f t="shared" si="3"/>
        <v>1-12</v>
      </c>
      <c r="L142" s="16" t="str">
        <f t="shared" si="4"/>
        <v>1-12</v>
      </c>
      <c r="M142" s="16" t="str">
        <f t="shared" si="5"/>
        <v>1-12</v>
      </c>
      <c r="N142" s="16" t="str">
        <f t="shared" si="6"/>
        <v>0</v>
      </c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9" t="s">
        <v>372</v>
      </c>
      <c r="B143" s="19" t="s">
        <v>191</v>
      </c>
      <c r="C143" s="11" t="s">
        <v>373</v>
      </c>
      <c r="D143" s="23" t="s">
        <v>374</v>
      </c>
      <c r="E143" s="13" t="str">
        <f t="array" ref="E143">INDEX(Turmas!C2:C106,MATCH(D143,Turmas!A2:A106,0))</f>
        <v>Tarde</v>
      </c>
      <c r="F143" s="14">
        <v>0.0</v>
      </c>
      <c r="G143" s="15">
        <v>4.0</v>
      </c>
      <c r="H143" s="15">
        <v>0.0</v>
      </c>
      <c r="I143" s="16" t="str">
        <f t="shared" si="1"/>
        <v>1-6,13-16</v>
      </c>
      <c r="J143" s="16" t="str">
        <f t="shared" si="2"/>
        <v>1-6,13-16</v>
      </c>
      <c r="K143" s="16" t="str">
        <f t="shared" si="3"/>
        <v>1-6,13-16</v>
      </c>
      <c r="L143" s="16" t="str">
        <f t="shared" si="4"/>
        <v>1-6,13-16</v>
      </c>
      <c r="M143" s="16" t="str">
        <f t="shared" si="5"/>
        <v>1-6,13-16</v>
      </c>
      <c r="N143" s="16" t="str">
        <f t="shared" si="6"/>
        <v>1-16</v>
      </c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9" t="s">
        <v>375</v>
      </c>
      <c r="B144" s="19" t="s">
        <v>376</v>
      </c>
      <c r="C144" s="11" t="s">
        <v>377</v>
      </c>
      <c r="D144" s="23" t="s">
        <v>374</v>
      </c>
      <c r="E144" s="13" t="str">
        <f t="array" ref="E144">INDEX(Turmas!C2:C106,MATCH(D144,Turmas!A2:A106,0))</f>
        <v>Tarde</v>
      </c>
      <c r="F144" s="14">
        <v>0.0</v>
      </c>
      <c r="G144" s="15">
        <v>4.0</v>
      </c>
      <c r="H144" s="15">
        <v>0.0</v>
      </c>
      <c r="I144" s="16" t="str">
        <f t="shared" si="1"/>
        <v>1-6,13-16</v>
      </c>
      <c r="J144" s="16" t="str">
        <f t="shared" si="2"/>
        <v>1-6,13-16</v>
      </c>
      <c r="K144" s="16" t="str">
        <f t="shared" si="3"/>
        <v>1-6,13-16</v>
      </c>
      <c r="L144" s="16" t="str">
        <f t="shared" si="4"/>
        <v>1-6,13-16</v>
      </c>
      <c r="M144" s="16" t="str">
        <f t="shared" si="5"/>
        <v>1-6,13-16</v>
      </c>
      <c r="N144" s="16" t="str">
        <f t="shared" si="6"/>
        <v>1-16</v>
      </c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9" t="s">
        <v>378</v>
      </c>
      <c r="B145" s="19" t="s">
        <v>206</v>
      </c>
      <c r="C145" s="11" t="s">
        <v>286</v>
      </c>
      <c r="D145" s="23" t="s">
        <v>374</v>
      </c>
      <c r="E145" s="13" t="str">
        <f t="array" ref="E145">INDEX(Turmas!C2:C106,MATCH(D145,Turmas!A2:A106,0))</f>
        <v>Tarde</v>
      </c>
      <c r="F145" s="14">
        <v>0.0</v>
      </c>
      <c r="G145" s="15">
        <v>2.0</v>
      </c>
      <c r="H145" s="15">
        <v>0.0</v>
      </c>
      <c r="I145" s="16" t="str">
        <f t="shared" si="1"/>
        <v>1-6,13-16</v>
      </c>
      <c r="J145" s="16" t="str">
        <f t="shared" si="2"/>
        <v>1-6,13-16</v>
      </c>
      <c r="K145" s="16" t="str">
        <f t="shared" si="3"/>
        <v>1-6,13-16</v>
      </c>
      <c r="L145" s="16" t="str">
        <f t="shared" si="4"/>
        <v>1-6,13-16</v>
      </c>
      <c r="M145" s="16" t="str">
        <f t="shared" si="5"/>
        <v>1-6,13-16</v>
      </c>
      <c r="N145" s="16" t="str">
        <f t="shared" si="6"/>
        <v>1-16</v>
      </c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9" t="s">
        <v>379</v>
      </c>
      <c r="B146" s="19" t="s">
        <v>380</v>
      </c>
      <c r="C146" s="11" t="s">
        <v>77</v>
      </c>
      <c r="D146" s="23" t="s">
        <v>374</v>
      </c>
      <c r="E146" s="13" t="str">
        <f t="array" ref="E146">INDEX(Turmas!C2:C106,MATCH(D146,Turmas!A2:A106,0))</f>
        <v>Tarde</v>
      </c>
      <c r="F146" s="14">
        <v>0.0</v>
      </c>
      <c r="G146" s="15">
        <v>3.0</v>
      </c>
      <c r="H146" s="15">
        <v>0.0</v>
      </c>
      <c r="I146" s="16" t="str">
        <f t="shared" si="1"/>
        <v>1-6,13-16</v>
      </c>
      <c r="J146" s="16" t="str">
        <f t="shared" si="2"/>
        <v>1-6,13-16</v>
      </c>
      <c r="K146" s="16" t="str">
        <f t="shared" si="3"/>
        <v>1-6,13-16</v>
      </c>
      <c r="L146" s="16" t="str">
        <f t="shared" si="4"/>
        <v>1-6,13-16</v>
      </c>
      <c r="M146" s="16" t="str">
        <f t="shared" si="5"/>
        <v>1-6,13-16</v>
      </c>
      <c r="N146" s="16" t="str">
        <f t="shared" si="6"/>
        <v>1-16</v>
      </c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9" t="s">
        <v>381</v>
      </c>
      <c r="B147" s="19" t="s">
        <v>382</v>
      </c>
      <c r="C147" s="11" t="s">
        <v>43</v>
      </c>
      <c r="D147" s="23" t="s">
        <v>383</v>
      </c>
      <c r="E147" s="13" t="str">
        <f t="array" ref="E147">INDEX(Turmas!C2:C106,MATCH(D147,Turmas!A2:A106,0))</f>
        <v>Manhã</v>
      </c>
      <c r="F147" s="14">
        <v>0.0</v>
      </c>
      <c r="G147" s="15">
        <v>4.0</v>
      </c>
      <c r="H147" s="15">
        <v>0.0</v>
      </c>
      <c r="I147" s="16" t="str">
        <f t="shared" si="1"/>
        <v>7-16</v>
      </c>
      <c r="J147" s="16" t="str">
        <f t="shared" si="2"/>
        <v>7-16</v>
      </c>
      <c r="K147" s="16" t="str">
        <f t="shared" si="3"/>
        <v>7-16</v>
      </c>
      <c r="L147" s="16" t="str">
        <f t="shared" si="4"/>
        <v>7-16</v>
      </c>
      <c r="M147" s="16" t="str">
        <f t="shared" si="5"/>
        <v>7-16</v>
      </c>
      <c r="N147" s="16" t="str">
        <f t="shared" si="6"/>
        <v>1-16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9" t="s">
        <v>384</v>
      </c>
      <c r="B148" s="19" t="s">
        <v>233</v>
      </c>
      <c r="C148" s="11" t="s">
        <v>385</v>
      </c>
      <c r="D148" s="23" t="s">
        <v>383</v>
      </c>
      <c r="E148" s="13" t="str">
        <f t="array" ref="E148">INDEX(Turmas!C2:C106,MATCH(D148,Turmas!A2:A106,0))</f>
        <v>Manhã</v>
      </c>
      <c r="F148" s="14">
        <v>0.0</v>
      </c>
      <c r="G148" s="15">
        <v>2.0</v>
      </c>
      <c r="H148" s="15">
        <v>0.0</v>
      </c>
      <c r="I148" s="16" t="str">
        <f t="shared" si="1"/>
        <v>7-16</v>
      </c>
      <c r="J148" s="16" t="str">
        <f t="shared" si="2"/>
        <v>7-16</v>
      </c>
      <c r="K148" s="16" t="str">
        <f t="shared" si="3"/>
        <v>7-16</v>
      </c>
      <c r="L148" s="16" t="str">
        <f t="shared" si="4"/>
        <v>7-16</v>
      </c>
      <c r="M148" s="16" t="str">
        <f t="shared" si="5"/>
        <v>7-16</v>
      </c>
      <c r="N148" s="16" t="str">
        <f t="shared" si="6"/>
        <v>1-16</v>
      </c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9" t="s">
        <v>386</v>
      </c>
      <c r="B149" s="19" t="s">
        <v>387</v>
      </c>
      <c r="C149" s="11" t="s">
        <v>216</v>
      </c>
      <c r="D149" s="23" t="s">
        <v>383</v>
      </c>
      <c r="E149" s="13" t="str">
        <f t="array" ref="E149">INDEX(Turmas!C2:C106,MATCH(D149,Turmas!A2:A106,0))</f>
        <v>Manhã</v>
      </c>
      <c r="F149" s="14">
        <v>0.0</v>
      </c>
      <c r="G149" s="15">
        <v>3.0</v>
      </c>
      <c r="H149" s="15">
        <v>0.0</v>
      </c>
      <c r="I149" s="16" t="str">
        <f t="shared" si="1"/>
        <v>7-16</v>
      </c>
      <c r="J149" s="16" t="str">
        <f t="shared" si="2"/>
        <v>7-16</v>
      </c>
      <c r="K149" s="16" t="str">
        <f t="shared" si="3"/>
        <v>7-16</v>
      </c>
      <c r="L149" s="16" t="str">
        <f t="shared" si="4"/>
        <v>7-16</v>
      </c>
      <c r="M149" s="16" t="str">
        <f t="shared" si="5"/>
        <v>7-16</v>
      </c>
      <c r="N149" s="16" t="str">
        <f t="shared" si="6"/>
        <v>1-16</v>
      </c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9" t="s">
        <v>388</v>
      </c>
      <c r="B150" s="19" t="s">
        <v>389</v>
      </c>
      <c r="C150" s="11" t="s">
        <v>390</v>
      </c>
      <c r="D150" s="23" t="s">
        <v>383</v>
      </c>
      <c r="E150" s="13" t="str">
        <f t="array" ref="E150">INDEX(Turmas!C2:C106,MATCH(D150,Turmas!A2:A106,0))</f>
        <v>Manhã</v>
      </c>
      <c r="F150" s="14">
        <v>0.0</v>
      </c>
      <c r="G150" s="15">
        <v>2.0</v>
      </c>
      <c r="H150" s="15">
        <v>0.0</v>
      </c>
      <c r="I150" s="16" t="str">
        <f t="shared" si="1"/>
        <v>7-16</v>
      </c>
      <c r="J150" s="16" t="str">
        <f t="shared" si="2"/>
        <v>7-16</v>
      </c>
      <c r="K150" s="16" t="str">
        <f t="shared" si="3"/>
        <v>7-16</v>
      </c>
      <c r="L150" s="16" t="str">
        <f t="shared" si="4"/>
        <v>7-16</v>
      </c>
      <c r="M150" s="16" t="str">
        <f t="shared" si="5"/>
        <v>7-16</v>
      </c>
      <c r="N150" s="16" t="str">
        <f t="shared" si="6"/>
        <v>1-16</v>
      </c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9" t="s">
        <v>391</v>
      </c>
      <c r="B151" s="19" t="s">
        <v>392</v>
      </c>
      <c r="C151" s="11" t="s">
        <v>393</v>
      </c>
      <c r="D151" s="23" t="s">
        <v>383</v>
      </c>
      <c r="E151" s="13" t="str">
        <f t="array" ref="E151">INDEX(Turmas!C2:C106,MATCH(D151,Turmas!A2:A106,0))</f>
        <v>Manhã</v>
      </c>
      <c r="F151" s="14">
        <v>0.0</v>
      </c>
      <c r="G151" s="15">
        <v>3.0</v>
      </c>
      <c r="H151" s="15">
        <v>0.0</v>
      </c>
      <c r="I151" s="16" t="str">
        <f t="shared" si="1"/>
        <v>7-16</v>
      </c>
      <c r="J151" s="16" t="str">
        <f t="shared" si="2"/>
        <v>7-16</v>
      </c>
      <c r="K151" s="16" t="str">
        <f t="shared" si="3"/>
        <v>7-16</v>
      </c>
      <c r="L151" s="16" t="str">
        <f t="shared" si="4"/>
        <v>7-16</v>
      </c>
      <c r="M151" s="16" t="str">
        <f t="shared" si="5"/>
        <v>7-16</v>
      </c>
      <c r="N151" s="16" t="str">
        <f t="shared" si="6"/>
        <v>1-16</v>
      </c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9" t="s">
        <v>394</v>
      </c>
      <c r="B152" s="19" t="s">
        <v>395</v>
      </c>
      <c r="C152" s="11" t="s">
        <v>396</v>
      </c>
      <c r="D152" s="23" t="s">
        <v>383</v>
      </c>
      <c r="E152" s="13" t="str">
        <f t="array" ref="E152">INDEX(Turmas!C2:C106,MATCH(D152,Turmas!A2:A106,0))</f>
        <v>Manhã</v>
      </c>
      <c r="F152" s="14">
        <v>30.0</v>
      </c>
      <c r="G152" s="15">
        <v>2.0</v>
      </c>
      <c r="H152" s="15">
        <v>0.0</v>
      </c>
      <c r="I152" s="16" t="str">
        <f t="shared" si="1"/>
        <v>7-16</v>
      </c>
      <c r="J152" s="16" t="str">
        <f t="shared" si="2"/>
        <v>7-16</v>
      </c>
      <c r="K152" s="16" t="str">
        <f t="shared" si="3"/>
        <v>7-16</v>
      </c>
      <c r="L152" s="16" t="str">
        <f t="shared" si="4"/>
        <v>7-16</v>
      </c>
      <c r="M152" s="16" t="str">
        <f t="shared" si="5"/>
        <v>7-16</v>
      </c>
      <c r="N152" s="16" t="str">
        <f t="shared" si="6"/>
        <v>1-16</v>
      </c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9" t="s">
        <v>397</v>
      </c>
      <c r="B153" s="19" t="s">
        <v>398</v>
      </c>
      <c r="C153" s="11" t="s">
        <v>350</v>
      </c>
      <c r="D153" s="23" t="s">
        <v>399</v>
      </c>
      <c r="E153" s="13" t="str">
        <f t="array" ref="E153">INDEX(Turmas!C2:C106,MATCH(D153,Turmas!A2:A106,0))</f>
        <v>Tarde</v>
      </c>
      <c r="F153" s="14">
        <v>0.0</v>
      </c>
      <c r="G153" s="15">
        <v>3.0</v>
      </c>
      <c r="H153" s="15">
        <v>0.0</v>
      </c>
      <c r="I153" s="16" t="str">
        <f t="shared" si="1"/>
        <v>1-6,13-16</v>
      </c>
      <c r="J153" s="16" t="str">
        <f t="shared" si="2"/>
        <v>1-6,13-16</v>
      </c>
      <c r="K153" s="16" t="str">
        <f t="shared" si="3"/>
        <v>1-6,13-16</v>
      </c>
      <c r="L153" s="16" t="str">
        <f t="shared" si="4"/>
        <v>1-6,13-16</v>
      </c>
      <c r="M153" s="16" t="str">
        <f t="shared" si="5"/>
        <v>1-6,13-16</v>
      </c>
      <c r="N153" s="16" t="str">
        <f t="shared" si="6"/>
        <v>1-16</v>
      </c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9" t="s">
        <v>400</v>
      </c>
      <c r="B154" s="19" t="s">
        <v>401</v>
      </c>
      <c r="C154" s="11" t="s">
        <v>402</v>
      </c>
      <c r="D154" s="23" t="s">
        <v>399</v>
      </c>
      <c r="E154" s="13" t="str">
        <f t="array" ref="E154">INDEX(Turmas!C2:C106,MATCH(D154,Turmas!A2:A106,0))</f>
        <v>Tarde</v>
      </c>
      <c r="F154" s="14">
        <v>0.0</v>
      </c>
      <c r="G154" s="15">
        <v>3.0</v>
      </c>
      <c r="H154" s="15">
        <v>0.0</v>
      </c>
      <c r="I154" s="16" t="str">
        <f t="shared" si="1"/>
        <v>1-6,13-16</v>
      </c>
      <c r="J154" s="16" t="str">
        <f t="shared" si="2"/>
        <v>1-6,13-16</v>
      </c>
      <c r="K154" s="16" t="str">
        <f t="shared" si="3"/>
        <v>1-6,13-16</v>
      </c>
      <c r="L154" s="16" t="str">
        <f t="shared" si="4"/>
        <v>1-6,13-16</v>
      </c>
      <c r="M154" s="16" t="str">
        <f t="shared" si="5"/>
        <v>1-6,13-16</v>
      </c>
      <c r="N154" s="16" t="str">
        <f t="shared" si="6"/>
        <v>1-16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9" t="s">
        <v>403</v>
      </c>
      <c r="B155" s="19" t="s">
        <v>404</v>
      </c>
      <c r="C155" s="11" t="s">
        <v>377</v>
      </c>
      <c r="D155" s="23" t="s">
        <v>399</v>
      </c>
      <c r="E155" s="13" t="str">
        <f t="array" ref="E155">INDEX(Turmas!C2:C106,MATCH(D155,Turmas!A2:A106,0))</f>
        <v>Tarde</v>
      </c>
      <c r="F155" s="14">
        <v>0.0</v>
      </c>
      <c r="G155" s="15">
        <v>4.0</v>
      </c>
      <c r="H155" s="15">
        <v>0.0</v>
      </c>
      <c r="I155" s="16" t="str">
        <f t="shared" si="1"/>
        <v>1-6,13-16</v>
      </c>
      <c r="J155" s="16" t="str">
        <f t="shared" si="2"/>
        <v>1-6,13-16</v>
      </c>
      <c r="K155" s="16" t="str">
        <f t="shared" si="3"/>
        <v>1-6,13-16</v>
      </c>
      <c r="L155" s="16" t="str">
        <f t="shared" si="4"/>
        <v>1-6,13-16</v>
      </c>
      <c r="M155" s="16" t="str">
        <f t="shared" si="5"/>
        <v>1-6,13-16</v>
      </c>
      <c r="N155" s="16" t="str">
        <f t="shared" si="6"/>
        <v>1-16</v>
      </c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9" t="s">
        <v>405</v>
      </c>
      <c r="B156" s="19" t="s">
        <v>406</v>
      </c>
      <c r="C156" s="11" t="s">
        <v>407</v>
      </c>
      <c r="D156" s="23" t="s">
        <v>399</v>
      </c>
      <c r="E156" s="13" t="str">
        <f t="array" ref="E156">INDEX(Turmas!C2:C106,MATCH(D156,Turmas!A2:A106,0))</f>
        <v>Tarde</v>
      </c>
      <c r="F156" s="14">
        <v>0.0</v>
      </c>
      <c r="G156" s="15">
        <v>3.0</v>
      </c>
      <c r="H156" s="15">
        <v>0.0</v>
      </c>
      <c r="I156" s="16" t="str">
        <f t="shared" si="1"/>
        <v>1-6,13-16</v>
      </c>
      <c r="J156" s="16" t="str">
        <f t="shared" si="2"/>
        <v>1-6,13-16</v>
      </c>
      <c r="K156" s="16" t="str">
        <f t="shared" si="3"/>
        <v>1-6,13-16</v>
      </c>
      <c r="L156" s="16" t="str">
        <f t="shared" si="4"/>
        <v>1-6,13-16</v>
      </c>
      <c r="M156" s="16" t="str">
        <f t="shared" si="5"/>
        <v>1-6,13-16</v>
      </c>
      <c r="N156" s="16" t="str">
        <f t="shared" si="6"/>
        <v>1-16</v>
      </c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9" t="s">
        <v>408</v>
      </c>
      <c r="B157" s="19" t="s">
        <v>409</v>
      </c>
      <c r="C157" s="11" t="s">
        <v>363</v>
      </c>
      <c r="D157" s="23" t="s">
        <v>399</v>
      </c>
      <c r="E157" s="13" t="str">
        <f t="array" ref="E157">INDEX(Turmas!C2:C106,MATCH(D157,Turmas!A2:A106,0))</f>
        <v>Tarde</v>
      </c>
      <c r="F157" s="14">
        <v>0.0</v>
      </c>
      <c r="G157" s="15">
        <v>2.0</v>
      </c>
      <c r="H157" s="15">
        <v>0.0</v>
      </c>
      <c r="I157" s="16" t="str">
        <f t="shared" si="1"/>
        <v>1-6,13-16</v>
      </c>
      <c r="J157" s="16" t="str">
        <f t="shared" si="2"/>
        <v>1-6,13-16</v>
      </c>
      <c r="K157" s="16" t="str">
        <f t="shared" si="3"/>
        <v>1-6,13-16</v>
      </c>
      <c r="L157" s="16" t="str">
        <f t="shared" si="4"/>
        <v>1-6,13-16</v>
      </c>
      <c r="M157" s="16" t="str">
        <f t="shared" si="5"/>
        <v>1-6,13-16</v>
      </c>
      <c r="N157" s="16" t="str">
        <f t="shared" si="6"/>
        <v>1-16</v>
      </c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9" t="s">
        <v>410</v>
      </c>
      <c r="B158" s="19" t="s">
        <v>411</v>
      </c>
      <c r="C158" s="11" t="s">
        <v>366</v>
      </c>
      <c r="D158" s="23" t="s">
        <v>412</v>
      </c>
      <c r="E158" s="13" t="str">
        <f t="array" ref="E158">INDEX(Turmas!C2:C106,MATCH(D158,Turmas!A2:A106,0))</f>
        <v>Manhã</v>
      </c>
      <c r="F158" s="14">
        <v>0.0</v>
      </c>
      <c r="G158" s="15">
        <v>2.0</v>
      </c>
      <c r="H158" s="15">
        <v>0.0</v>
      </c>
      <c r="I158" s="16" t="str">
        <f t="shared" si="1"/>
        <v>7-16</v>
      </c>
      <c r="J158" s="16" t="str">
        <f t="shared" si="2"/>
        <v>7-16</v>
      </c>
      <c r="K158" s="16" t="str">
        <f t="shared" si="3"/>
        <v>7-16</v>
      </c>
      <c r="L158" s="16" t="str">
        <f t="shared" si="4"/>
        <v>7-16</v>
      </c>
      <c r="M158" s="16" t="str">
        <f t="shared" si="5"/>
        <v>7-16</v>
      </c>
      <c r="N158" s="16" t="str">
        <f t="shared" si="6"/>
        <v>1-16</v>
      </c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9" t="s">
        <v>413</v>
      </c>
      <c r="B159" s="10" t="s">
        <v>414</v>
      </c>
      <c r="C159" s="11" t="s">
        <v>402</v>
      </c>
      <c r="D159" s="12" t="s">
        <v>412</v>
      </c>
      <c r="E159" s="13" t="str">
        <f t="array" ref="E159">INDEX(Turmas!C2:C106,MATCH(D159,Turmas!A2:A106,0))</f>
        <v>Manhã</v>
      </c>
      <c r="F159" s="14">
        <v>0.0</v>
      </c>
      <c r="G159" s="15">
        <v>3.0</v>
      </c>
      <c r="H159" s="15">
        <v>0.0</v>
      </c>
      <c r="I159" s="16" t="str">
        <f t="shared" si="1"/>
        <v>7-16</v>
      </c>
      <c r="J159" s="16" t="str">
        <f t="shared" si="2"/>
        <v>7-16</v>
      </c>
      <c r="K159" s="16" t="str">
        <f t="shared" si="3"/>
        <v>7-16</v>
      </c>
      <c r="L159" s="16" t="str">
        <f t="shared" si="4"/>
        <v>7-16</v>
      </c>
      <c r="M159" s="16" t="str">
        <f t="shared" si="5"/>
        <v>7-16</v>
      </c>
      <c r="N159" s="16" t="str">
        <f t="shared" si="6"/>
        <v>1-16</v>
      </c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9" t="s">
        <v>415</v>
      </c>
      <c r="B160" s="10" t="s">
        <v>416</v>
      </c>
      <c r="C160" s="11" t="s">
        <v>371</v>
      </c>
      <c r="D160" s="12" t="s">
        <v>412</v>
      </c>
      <c r="E160" s="13" t="str">
        <f t="array" ref="E160">INDEX(Turmas!C2:C106,MATCH(D160,Turmas!A2:A106,0))</f>
        <v>Manhã</v>
      </c>
      <c r="F160" s="14">
        <v>0.0</v>
      </c>
      <c r="G160" s="15">
        <v>3.0</v>
      </c>
      <c r="H160" s="15">
        <v>0.0</v>
      </c>
      <c r="I160" s="16" t="str">
        <f t="shared" si="1"/>
        <v>7-16</v>
      </c>
      <c r="J160" s="16" t="str">
        <f t="shared" si="2"/>
        <v>7-16</v>
      </c>
      <c r="K160" s="16" t="str">
        <f t="shared" si="3"/>
        <v>7-16</v>
      </c>
      <c r="L160" s="16" t="str">
        <f t="shared" si="4"/>
        <v>7-16</v>
      </c>
      <c r="M160" s="16" t="str">
        <f t="shared" si="5"/>
        <v>7-16</v>
      </c>
      <c r="N160" s="16" t="str">
        <f t="shared" si="6"/>
        <v>1-16</v>
      </c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9" t="s">
        <v>417</v>
      </c>
      <c r="B161" s="10" t="s">
        <v>418</v>
      </c>
      <c r="C161" s="11" t="s">
        <v>363</v>
      </c>
      <c r="D161" s="12" t="s">
        <v>412</v>
      </c>
      <c r="E161" s="13" t="str">
        <f t="array" ref="E161">INDEX(Turmas!C2:C106,MATCH(D161,Turmas!A2:A106,0))</f>
        <v>Manhã</v>
      </c>
      <c r="F161" s="14">
        <v>0.0</v>
      </c>
      <c r="G161" s="15">
        <v>3.0</v>
      </c>
      <c r="H161" s="15">
        <v>0.0</v>
      </c>
      <c r="I161" s="16" t="str">
        <f t="shared" si="1"/>
        <v>7-16</v>
      </c>
      <c r="J161" s="16" t="str">
        <f t="shared" si="2"/>
        <v>7-16</v>
      </c>
      <c r="K161" s="16" t="str">
        <f t="shared" si="3"/>
        <v>7-16</v>
      </c>
      <c r="L161" s="16" t="str">
        <f t="shared" si="4"/>
        <v>7-16</v>
      </c>
      <c r="M161" s="16" t="str">
        <f t="shared" si="5"/>
        <v>7-16</v>
      </c>
      <c r="N161" s="16" t="str">
        <f t="shared" si="6"/>
        <v>1-16</v>
      </c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9" t="s">
        <v>419</v>
      </c>
      <c r="B162" s="10" t="s">
        <v>420</v>
      </c>
      <c r="C162" s="11" t="s">
        <v>371</v>
      </c>
      <c r="D162" s="12" t="s">
        <v>421</v>
      </c>
      <c r="E162" s="13" t="str">
        <f t="array" ref="E162">INDEX(Turmas!C2:C106,MATCH(D162,Turmas!A2:A106,0))</f>
        <v>Tarde</v>
      </c>
      <c r="F162" s="14">
        <v>0.0</v>
      </c>
      <c r="G162" s="15">
        <v>3.0</v>
      </c>
      <c r="H162" s="15">
        <v>0.0</v>
      </c>
      <c r="I162" s="16" t="str">
        <f t="shared" si="1"/>
        <v>1-6,13-16</v>
      </c>
      <c r="J162" s="16" t="str">
        <f t="shared" si="2"/>
        <v>1-6,13-16</v>
      </c>
      <c r="K162" s="16" t="str">
        <f t="shared" si="3"/>
        <v>1-6,13-16</v>
      </c>
      <c r="L162" s="16" t="str">
        <f t="shared" si="4"/>
        <v>1-6,13-16</v>
      </c>
      <c r="M162" s="16" t="str">
        <f t="shared" si="5"/>
        <v>1-6,13-16</v>
      </c>
      <c r="N162" s="16" t="str">
        <f t="shared" si="6"/>
        <v>1-16</v>
      </c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9" t="s">
        <v>422</v>
      </c>
      <c r="B163" s="10" t="s">
        <v>423</v>
      </c>
      <c r="C163" s="11" t="s">
        <v>347</v>
      </c>
      <c r="D163" s="12" t="s">
        <v>421</v>
      </c>
      <c r="E163" s="13" t="str">
        <f t="array" ref="E163">INDEX(Turmas!C2:C106,MATCH(D163,Turmas!A2:A106,0))</f>
        <v>Tarde</v>
      </c>
      <c r="F163" s="14">
        <v>0.0</v>
      </c>
      <c r="G163" s="15">
        <v>4.0</v>
      </c>
      <c r="H163" s="15">
        <v>0.0</v>
      </c>
      <c r="I163" s="16" t="str">
        <f t="shared" si="1"/>
        <v>1-6,13-16</v>
      </c>
      <c r="J163" s="16" t="str">
        <f t="shared" si="2"/>
        <v>1-6,13-16</v>
      </c>
      <c r="K163" s="16" t="str">
        <f t="shared" si="3"/>
        <v>1-6,13-16</v>
      </c>
      <c r="L163" s="16" t="str">
        <f t="shared" si="4"/>
        <v>1-6,13-16</v>
      </c>
      <c r="M163" s="16" t="str">
        <f t="shared" si="5"/>
        <v>1-6,13-16</v>
      </c>
      <c r="N163" s="16" t="str">
        <f t="shared" si="6"/>
        <v>1-16</v>
      </c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9" t="s">
        <v>424</v>
      </c>
      <c r="B164" s="10" t="s">
        <v>425</v>
      </c>
      <c r="C164" s="11" t="s">
        <v>363</v>
      </c>
      <c r="D164" s="12" t="s">
        <v>421</v>
      </c>
      <c r="E164" s="13" t="str">
        <f t="array" ref="E164">INDEX(Turmas!C2:C106,MATCH(D164,Turmas!A2:A106,0))</f>
        <v>Tarde</v>
      </c>
      <c r="F164" s="14">
        <v>0.0</v>
      </c>
      <c r="G164" s="15">
        <v>2.0</v>
      </c>
      <c r="H164" s="15">
        <v>0.0</v>
      </c>
      <c r="I164" s="16" t="str">
        <f t="shared" si="1"/>
        <v>1-6,13-16</v>
      </c>
      <c r="J164" s="16" t="str">
        <f t="shared" si="2"/>
        <v>1-6,13-16</v>
      </c>
      <c r="K164" s="16" t="str">
        <f t="shared" si="3"/>
        <v>1-6,13-16</v>
      </c>
      <c r="L164" s="16" t="str">
        <f t="shared" si="4"/>
        <v>1-6,13-16</v>
      </c>
      <c r="M164" s="16" t="str">
        <f t="shared" si="5"/>
        <v>1-6,13-16</v>
      </c>
      <c r="N164" s="16" t="str">
        <f t="shared" si="6"/>
        <v>1-16</v>
      </c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9" t="s">
        <v>426</v>
      </c>
      <c r="B165" s="10" t="s">
        <v>306</v>
      </c>
      <c r="C165" s="11" t="s">
        <v>427</v>
      </c>
      <c r="D165" s="12" t="s">
        <v>421</v>
      </c>
      <c r="E165" s="13" t="str">
        <f t="array" ref="E165">INDEX(Turmas!C2:C106,MATCH(D165,Turmas!A2:A106,0))</f>
        <v>Tarde</v>
      </c>
      <c r="F165" s="14">
        <v>0.0</v>
      </c>
      <c r="G165" s="15">
        <v>2.0</v>
      </c>
      <c r="H165" s="15">
        <v>0.0</v>
      </c>
      <c r="I165" s="16" t="str">
        <f t="shared" si="1"/>
        <v>1-6,13-16</v>
      </c>
      <c r="J165" s="16" t="str">
        <f t="shared" si="2"/>
        <v>1-6,13-16</v>
      </c>
      <c r="K165" s="16" t="str">
        <f t="shared" si="3"/>
        <v>1-6,13-16</v>
      </c>
      <c r="L165" s="16" t="str">
        <f t="shared" si="4"/>
        <v>1-6,13-16</v>
      </c>
      <c r="M165" s="16" t="str">
        <f t="shared" si="5"/>
        <v>1-6,13-16</v>
      </c>
      <c r="N165" s="16" t="str">
        <f t="shared" si="6"/>
        <v>1-16</v>
      </c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9" t="s">
        <v>428</v>
      </c>
      <c r="B166" s="10" t="s">
        <v>429</v>
      </c>
      <c r="C166" s="11" t="s">
        <v>366</v>
      </c>
      <c r="D166" s="12" t="s">
        <v>421</v>
      </c>
      <c r="E166" s="13" t="str">
        <f t="array" ref="E166">INDEX(Turmas!C2:C106,MATCH(D166,Turmas!A2:A106,0))</f>
        <v>Tarde</v>
      </c>
      <c r="F166" s="14">
        <v>0.0</v>
      </c>
      <c r="G166" s="15">
        <v>3.0</v>
      </c>
      <c r="H166" s="15">
        <v>0.0</v>
      </c>
      <c r="I166" s="16" t="str">
        <f t="shared" si="1"/>
        <v>1-6,13-16</v>
      </c>
      <c r="J166" s="16" t="str">
        <f t="shared" si="2"/>
        <v>1-6,13-16</v>
      </c>
      <c r="K166" s="16" t="str">
        <f t="shared" si="3"/>
        <v>1-6,13-16</v>
      </c>
      <c r="L166" s="16" t="str">
        <f t="shared" si="4"/>
        <v>1-6,13-16</v>
      </c>
      <c r="M166" s="16" t="str">
        <f t="shared" si="5"/>
        <v>1-6,13-16</v>
      </c>
      <c r="N166" s="16" t="str">
        <f t="shared" si="6"/>
        <v>1-16</v>
      </c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9" t="s">
        <v>430</v>
      </c>
      <c r="B167" s="10" t="s">
        <v>431</v>
      </c>
      <c r="C167" s="11" t="s">
        <v>427</v>
      </c>
      <c r="D167" s="12" t="s">
        <v>421</v>
      </c>
      <c r="E167" s="13" t="str">
        <f t="array" ref="E167">INDEX(Turmas!C2:C106,MATCH(D167,Turmas!A2:A106,0))</f>
        <v>Tarde</v>
      </c>
      <c r="F167" s="14">
        <v>0.0</v>
      </c>
      <c r="G167" s="15">
        <v>3.0</v>
      </c>
      <c r="H167" s="15">
        <v>0.0</v>
      </c>
      <c r="I167" s="16" t="str">
        <f t="shared" si="1"/>
        <v>1-6,13-16</v>
      </c>
      <c r="J167" s="16" t="str">
        <f t="shared" si="2"/>
        <v>1-6,13-16</v>
      </c>
      <c r="K167" s="16" t="str">
        <f t="shared" si="3"/>
        <v>1-6,13-16</v>
      </c>
      <c r="L167" s="16" t="str">
        <f t="shared" si="4"/>
        <v>1-6,13-16</v>
      </c>
      <c r="M167" s="16" t="str">
        <f t="shared" si="5"/>
        <v>1-6,13-16</v>
      </c>
      <c r="N167" s="16" t="str">
        <f t="shared" si="6"/>
        <v>1-16</v>
      </c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9" t="s">
        <v>432</v>
      </c>
      <c r="B168" s="10" t="s">
        <v>433</v>
      </c>
      <c r="C168" s="11" t="s">
        <v>434</v>
      </c>
      <c r="D168" s="12" t="s">
        <v>421</v>
      </c>
      <c r="E168" s="13" t="str">
        <f t="array" ref="E168">INDEX(Turmas!C2:C106,MATCH(D168,Turmas!A2:A106,0))</f>
        <v>Tarde</v>
      </c>
      <c r="F168" s="14">
        <v>0.0</v>
      </c>
      <c r="G168" s="15">
        <v>4.0</v>
      </c>
      <c r="H168" s="15">
        <v>0.0</v>
      </c>
      <c r="I168" s="16" t="str">
        <f t="shared" si="1"/>
        <v>1-6,13-16</v>
      </c>
      <c r="J168" s="16" t="str">
        <f t="shared" si="2"/>
        <v>1-6,13-16</v>
      </c>
      <c r="K168" s="16" t="str">
        <f t="shared" si="3"/>
        <v>1-6,13-16</v>
      </c>
      <c r="L168" s="16" t="str">
        <f t="shared" si="4"/>
        <v>1-6,13-16</v>
      </c>
      <c r="M168" s="16" t="str">
        <f t="shared" si="5"/>
        <v>1-6,13-16</v>
      </c>
      <c r="N168" s="16" t="str">
        <f t="shared" si="6"/>
        <v>1-16</v>
      </c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9" t="s">
        <v>435</v>
      </c>
      <c r="B169" s="10" t="s">
        <v>226</v>
      </c>
      <c r="C169" s="11" t="s">
        <v>436</v>
      </c>
      <c r="D169" s="12" t="s">
        <v>437</v>
      </c>
      <c r="E169" s="13" t="str">
        <f t="array" ref="E169">INDEX(Turmas!C2:C106,MATCH(D169,Turmas!A2:A106,0))</f>
        <v>Tarde</v>
      </c>
      <c r="F169" s="14">
        <v>0.0</v>
      </c>
      <c r="G169" s="15">
        <v>3.0</v>
      </c>
      <c r="H169" s="15">
        <v>0.0</v>
      </c>
      <c r="I169" s="16" t="str">
        <f t="shared" si="1"/>
        <v>1-6,13-16</v>
      </c>
      <c r="J169" s="16" t="str">
        <f t="shared" si="2"/>
        <v>1-6,13-16</v>
      </c>
      <c r="K169" s="16" t="str">
        <f t="shared" si="3"/>
        <v>1-6,13-16</v>
      </c>
      <c r="L169" s="16" t="str">
        <f t="shared" si="4"/>
        <v>1-6,13-16</v>
      </c>
      <c r="M169" s="16" t="str">
        <f t="shared" si="5"/>
        <v>1-6,13-16</v>
      </c>
      <c r="N169" s="16" t="str">
        <f t="shared" si="6"/>
        <v>1-16</v>
      </c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9" t="s">
        <v>372</v>
      </c>
      <c r="B170" s="10" t="s">
        <v>191</v>
      </c>
      <c r="C170" s="11" t="s">
        <v>230</v>
      </c>
      <c r="D170" s="12" t="s">
        <v>438</v>
      </c>
      <c r="E170" s="13" t="str">
        <f t="array" ref="E170">INDEX(Turmas!C2:C106,MATCH(D170,Turmas!A2:A106,0))</f>
        <v>Noite</v>
      </c>
      <c r="F170" s="14">
        <v>0.0</v>
      </c>
      <c r="G170" s="15">
        <v>3.0</v>
      </c>
      <c r="H170" s="15">
        <v>0.0</v>
      </c>
      <c r="I170" s="16" t="str">
        <f t="shared" si="1"/>
        <v>1-12</v>
      </c>
      <c r="J170" s="16" t="str">
        <f t="shared" si="2"/>
        <v>1-12</v>
      </c>
      <c r="K170" s="16" t="str">
        <f t="shared" si="3"/>
        <v>1-12</v>
      </c>
      <c r="L170" s="16" t="str">
        <f t="shared" si="4"/>
        <v>1-12</v>
      </c>
      <c r="M170" s="16" t="str">
        <f t="shared" si="5"/>
        <v>1-12</v>
      </c>
      <c r="N170" s="16" t="str">
        <f t="shared" si="6"/>
        <v>0</v>
      </c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9" t="s">
        <v>372</v>
      </c>
      <c r="B171" s="10" t="s">
        <v>191</v>
      </c>
      <c r="C171" s="11" t="s">
        <v>230</v>
      </c>
      <c r="D171" s="12" t="s">
        <v>438</v>
      </c>
      <c r="E171" s="13" t="str">
        <f t="array" ref="E171">INDEX(Turmas!C2:C106,MATCH(D171,Turmas!A2:A106,0))</f>
        <v>Noite</v>
      </c>
      <c r="F171" s="14">
        <v>0.0</v>
      </c>
      <c r="G171" s="15">
        <v>3.0</v>
      </c>
      <c r="H171" s="15">
        <v>0.0</v>
      </c>
      <c r="I171" s="16" t="str">
        <f t="shared" si="1"/>
        <v>1-12</v>
      </c>
      <c r="J171" s="16" t="str">
        <f t="shared" si="2"/>
        <v>1-12</v>
      </c>
      <c r="K171" s="16" t="str">
        <f t="shared" si="3"/>
        <v>1-12</v>
      </c>
      <c r="L171" s="16" t="str">
        <f t="shared" si="4"/>
        <v>1-12</v>
      </c>
      <c r="M171" s="16" t="str">
        <f t="shared" si="5"/>
        <v>1-12</v>
      </c>
      <c r="N171" s="16" t="str">
        <f t="shared" si="6"/>
        <v>0</v>
      </c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9" t="s">
        <v>439</v>
      </c>
      <c r="B172" s="10" t="s">
        <v>440</v>
      </c>
      <c r="C172" s="11" t="s">
        <v>441</v>
      </c>
      <c r="D172" s="12" t="s">
        <v>438</v>
      </c>
      <c r="E172" s="13" t="str">
        <f t="array" ref="E172">INDEX(Turmas!C2:C106,MATCH(D172,Turmas!A2:A106,0))</f>
        <v>Noite</v>
      </c>
      <c r="F172" s="14">
        <v>0.0</v>
      </c>
      <c r="G172" s="15">
        <v>3.0</v>
      </c>
      <c r="H172" s="15">
        <v>0.0</v>
      </c>
      <c r="I172" s="16" t="str">
        <f t="shared" si="1"/>
        <v>1-12</v>
      </c>
      <c r="J172" s="16" t="str">
        <f t="shared" si="2"/>
        <v>1-12</v>
      </c>
      <c r="K172" s="16" t="str">
        <f t="shared" si="3"/>
        <v>1-12</v>
      </c>
      <c r="L172" s="16" t="str">
        <f t="shared" si="4"/>
        <v>1-12</v>
      </c>
      <c r="M172" s="16" t="str">
        <f t="shared" si="5"/>
        <v>1-12</v>
      </c>
      <c r="N172" s="16" t="str">
        <f t="shared" si="6"/>
        <v>0</v>
      </c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9" t="s">
        <v>442</v>
      </c>
      <c r="B173" s="10" t="s">
        <v>443</v>
      </c>
      <c r="C173" s="11" t="s">
        <v>444</v>
      </c>
      <c r="D173" s="12" t="s">
        <v>438</v>
      </c>
      <c r="E173" s="13" t="str">
        <f t="array" ref="E173">INDEX(Turmas!C2:C106,MATCH(D173,Turmas!A2:A106,0))</f>
        <v>Noite</v>
      </c>
      <c r="F173" s="14">
        <v>0.0</v>
      </c>
      <c r="G173" s="15">
        <v>4.0</v>
      </c>
      <c r="H173" s="15">
        <v>0.0</v>
      </c>
      <c r="I173" s="16" t="str">
        <f t="shared" si="1"/>
        <v>1-12</v>
      </c>
      <c r="J173" s="16" t="str">
        <f t="shared" si="2"/>
        <v>1-12</v>
      </c>
      <c r="K173" s="16" t="str">
        <f t="shared" si="3"/>
        <v>1-12</v>
      </c>
      <c r="L173" s="16" t="str">
        <f t="shared" si="4"/>
        <v>1-12</v>
      </c>
      <c r="M173" s="16" t="str">
        <f t="shared" si="5"/>
        <v>1-12</v>
      </c>
      <c r="N173" s="16" t="str">
        <f t="shared" si="6"/>
        <v>0</v>
      </c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9" t="s">
        <v>445</v>
      </c>
      <c r="B174" s="10" t="s">
        <v>446</v>
      </c>
      <c r="C174" s="11" t="s">
        <v>447</v>
      </c>
      <c r="D174" s="12" t="s">
        <v>438</v>
      </c>
      <c r="E174" s="13" t="str">
        <f t="array" ref="E174">INDEX(Turmas!C2:C106,MATCH(D174,Turmas!A2:A106,0))</f>
        <v>Noite</v>
      </c>
      <c r="F174" s="14">
        <v>0.0</v>
      </c>
      <c r="G174" s="15">
        <v>2.0</v>
      </c>
      <c r="H174" s="15">
        <v>0.0</v>
      </c>
      <c r="I174" s="16" t="str">
        <f t="shared" si="1"/>
        <v>1-12</v>
      </c>
      <c r="J174" s="16" t="str">
        <f t="shared" si="2"/>
        <v>1-12</v>
      </c>
      <c r="K174" s="16" t="str">
        <f t="shared" si="3"/>
        <v>1-12</v>
      </c>
      <c r="L174" s="16" t="str">
        <f t="shared" si="4"/>
        <v>1-12</v>
      </c>
      <c r="M174" s="16" t="str">
        <f t="shared" si="5"/>
        <v>1-12</v>
      </c>
      <c r="N174" s="16" t="str">
        <f t="shared" si="6"/>
        <v>0</v>
      </c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9" t="s">
        <v>378</v>
      </c>
      <c r="B175" s="10" t="s">
        <v>206</v>
      </c>
      <c r="C175" s="11" t="s">
        <v>448</v>
      </c>
      <c r="D175" s="12" t="s">
        <v>438</v>
      </c>
      <c r="E175" s="13" t="str">
        <f t="array" ref="E175">INDEX(Turmas!C2:C106,MATCH(D175,Turmas!A2:A106,0))</f>
        <v>Noite</v>
      </c>
      <c r="F175" s="14">
        <v>0.0</v>
      </c>
      <c r="G175" s="15">
        <v>2.0</v>
      </c>
      <c r="H175" s="15">
        <v>0.0</v>
      </c>
      <c r="I175" s="16" t="str">
        <f t="shared" si="1"/>
        <v>1-12</v>
      </c>
      <c r="J175" s="16" t="str">
        <f t="shared" si="2"/>
        <v>1-12</v>
      </c>
      <c r="K175" s="16" t="str">
        <f t="shared" si="3"/>
        <v>1-12</v>
      </c>
      <c r="L175" s="16" t="str">
        <f t="shared" si="4"/>
        <v>1-12</v>
      </c>
      <c r="M175" s="16" t="str">
        <f t="shared" si="5"/>
        <v>1-12</v>
      </c>
      <c r="N175" s="16" t="str">
        <f t="shared" si="6"/>
        <v>0</v>
      </c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9" t="s">
        <v>379</v>
      </c>
      <c r="B176" s="10" t="s">
        <v>380</v>
      </c>
      <c r="C176" s="11" t="s">
        <v>449</v>
      </c>
      <c r="D176" s="12" t="s">
        <v>438</v>
      </c>
      <c r="E176" s="13" t="str">
        <f t="array" ref="E176">INDEX(Turmas!C2:C106,MATCH(D176,Turmas!A2:A106,0))</f>
        <v>Noite</v>
      </c>
      <c r="F176" s="14">
        <v>0.0</v>
      </c>
      <c r="G176" s="15">
        <v>2.0</v>
      </c>
      <c r="H176" s="15">
        <v>0.0</v>
      </c>
      <c r="I176" s="16" t="str">
        <f t="shared" si="1"/>
        <v>1-12</v>
      </c>
      <c r="J176" s="16" t="str">
        <f t="shared" si="2"/>
        <v>1-12</v>
      </c>
      <c r="K176" s="16" t="str">
        <f t="shared" si="3"/>
        <v>1-12</v>
      </c>
      <c r="L176" s="16" t="str">
        <f t="shared" si="4"/>
        <v>1-12</v>
      </c>
      <c r="M176" s="16" t="str">
        <f t="shared" si="5"/>
        <v>1-12</v>
      </c>
      <c r="N176" s="16" t="str">
        <f t="shared" si="6"/>
        <v>0</v>
      </c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9" t="s">
        <v>450</v>
      </c>
      <c r="B177" s="10" t="s">
        <v>451</v>
      </c>
      <c r="C177" s="11" t="s">
        <v>452</v>
      </c>
      <c r="D177" s="12" t="s">
        <v>453</v>
      </c>
      <c r="E177" s="13" t="str">
        <f t="array" ref="E177">INDEX(Turmas!C2:C106,MATCH(D177,Turmas!A2:A106,0))</f>
        <v>Noite</v>
      </c>
      <c r="F177" s="14">
        <v>0.0</v>
      </c>
      <c r="G177" s="15">
        <v>4.0</v>
      </c>
      <c r="H177" s="15">
        <v>0.0</v>
      </c>
      <c r="I177" s="16" t="str">
        <f t="shared" si="1"/>
        <v>1-12</v>
      </c>
      <c r="J177" s="16" t="str">
        <f t="shared" si="2"/>
        <v>1-12</v>
      </c>
      <c r="K177" s="16" t="str">
        <f t="shared" si="3"/>
        <v>1-12</v>
      </c>
      <c r="L177" s="16" t="str">
        <f t="shared" si="4"/>
        <v>1-12</v>
      </c>
      <c r="M177" s="16" t="str">
        <f t="shared" si="5"/>
        <v>1-12</v>
      </c>
      <c r="N177" s="16" t="str">
        <f t="shared" si="6"/>
        <v>0</v>
      </c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9" t="s">
        <v>454</v>
      </c>
      <c r="B178" s="10" t="s">
        <v>455</v>
      </c>
      <c r="C178" s="11" t="s">
        <v>249</v>
      </c>
      <c r="D178" s="12" t="s">
        <v>453</v>
      </c>
      <c r="E178" s="13" t="str">
        <f t="array" ref="E178">INDEX(Turmas!C2:C106,MATCH(D178,Turmas!A2:A106,0))</f>
        <v>Noite</v>
      </c>
      <c r="F178" s="14">
        <v>0.0</v>
      </c>
      <c r="G178" s="15">
        <v>4.0</v>
      </c>
      <c r="H178" s="15">
        <v>0.0</v>
      </c>
      <c r="I178" s="16" t="str">
        <f t="shared" si="1"/>
        <v>1-12</v>
      </c>
      <c r="J178" s="16" t="str">
        <f t="shared" si="2"/>
        <v>1-12</v>
      </c>
      <c r="K178" s="16" t="str">
        <f t="shared" si="3"/>
        <v>1-12</v>
      </c>
      <c r="L178" s="16" t="str">
        <f t="shared" si="4"/>
        <v>1-12</v>
      </c>
      <c r="M178" s="16" t="str">
        <f t="shared" si="5"/>
        <v>1-12</v>
      </c>
      <c r="N178" s="16" t="str">
        <f t="shared" si="6"/>
        <v>0</v>
      </c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9" t="s">
        <v>456</v>
      </c>
      <c r="B179" s="10" t="s">
        <v>457</v>
      </c>
      <c r="C179" s="11" t="s">
        <v>320</v>
      </c>
      <c r="D179" s="12" t="s">
        <v>453</v>
      </c>
      <c r="E179" s="13" t="str">
        <f t="array" ref="E179">INDEX(Turmas!C2:C106,MATCH(D179,Turmas!A2:A106,0))</f>
        <v>Noite</v>
      </c>
      <c r="F179" s="14">
        <v>0.0</v>
      </c>
      <c r="G179" s="15">
        <v>4.0</v>
      </c>
      <c r="H179" s="15">
        <v>0.0</v>
      </c>
      <c r="I179" s="16" t="str">
        <f t="shared" si="1"/>
        <v>1-12</v>
      </c>
      <c r="J179" s="16" t="str">
        <f t="shared" si="2"/>
        <v>1-12</v>
      </c>
      <c r="K179" s="16" t="str">
        <f t="shared" si="3"/>
        <v>1-12</v>
      </c>
      <c r="L179" s="16" t="str">
        <f t="shared" si="4"/>
        <v>1-12</v>
      </c>
      <c r="M179" s="16" t="str">
        <f t="shared" si="5"/>
        <v>1-12</v>
      </c>
      <c r="N179" s="16" t="str">
        <f t="shared" si="6"/>
        <v>0</v>
      </c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9" t="s">
        <v>458</v>
      </c>
      <c r="B180" s="10" t="s">
        <v>459</v>
      </c>
      <c r="C180" s="11" t="s">
        <v>460</v>
      </c>
      <c r="D180" s="12" t="s">
        <v>453</v>
      </c>
      <c r="E180" s="13" t="str">
        <f t="array" ref="E180">INDEX(Turmas!C2:C106,MATCH(D180,Turmas!A2:A106,0))</f>
        <v>Noite</v>
      </c>
      <c r="F180" s="14">
        <v>0.0</v>
      </c>
      <c r="G180" s="15">
        <v>4.0</v>
      </c>
      <c r="H180" s="15">
        <v>0.0</v>
      </c>
      <c r="I180" s="16" t="str">
        <f t="shared" si="1"/>
        <v>1-12</v>
      </c>
      <c r="J180" s="16" t="str">
        <f t="shared" si="2"/>
        <v>1-12</v>
      </c>
      <c r="K180" s="16" t="str">
        <f t="shared" si="3"/>
        <v>1-12</v>
      </c>
      <c r="L180" s="16" t="str">
        <f t="shared" si="4"/>
        <v>1-12</v>
      </c>
      <c r="M180" s="16" t="str">
        <f t="shared" si="5"/>
        <v>1-12</v>
      </c>
      <c r="N180" s="16" t="str">
        <f t="shared" si="6"/>
        <v>0</v>
      </c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9" t="s">
        <v>461</v>
      </c>
      <c r="B181" s="10" t="s">
        <v>462</v>
      </c>
      <c r="C181" s="11" t="s">
        <v>463</v>
      </c>
      <c r="D181" s="12" t="s">
        <v>453</v>
      </c>
      <c r="E181" s="13" t="str">
        <f t="array" ref="E181">INDEX(Turmas!C2:C106,MATCH(D181,Turmas!A2:A106,0))</f>
        <v>Noite</v>
      </c>
      <c r="F181" s="14">
        <v>0.0</v>
      </c>
      <c r="G181" s="15">
        <v>2.0</v>
      </c>
      <c r="H181" s="15">
        <v>0.0</v>
      </c>
      <c r="I181" s="16" t="str">
        <f t="shared" si="1"/>
        <v>1-12</v>
      </c>
      <c r="J181" s="16" t="str">
        <f t="shared" si="2"/>
        <v>1-12</v>
      </c>
      <c r="K181" s="16" t="str">
        <f t="shared" si="3"/>
        <v>1-12</v>
      </c>
      <c r="L181" s="16" t="str">
        <f t="shared" si="4"/>
        <v>1-12</v>
      </c>
      <c r="M181" s="16" t="str">
        <f t="shared" si="5"/>
        <v>1-12</v>
      </c>
      <c r="N181" s="16" t="str">
        <f t="shared" si="6"/>
        <v>0</v>
      </c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9" t="s">
        <v>464</v>
      </c>
      <c r="B182" s="10" t="s">
        <v>465</v>
      </c>
      <c r="C182" s="11" t="s">
        <v>466</v>
      </c>
      <c r="D182" s="12" t="s">
        <v>467</v>
      </c>
      <c r="E182" s="13" t="str">
        <f t="array" ref="E182">INDEX(Turmas!C2:C106,MATCH(D182,Turmas!A2:A106,0))</f>
        <v>Noite</v>
      </c>
      <c r="F182" s="14">
        <v>0.0</v>
      </c>
      <c r="G182" s="15">
        <v>4.0</v>
      </c>
      <c r="H182" s="15">
        <v>0.0</v>
      </c>
      <c r="I182" s="16" t="str">
        <f t="shared" si="1"/>
        <v>1-12</v>
      </c>
      <c r="J182" s="16" t="str">
        <f t="shared" si="2"/>
        <v>1-12</v>
      </c>
      <c r="K182" s="16" t="str">
        <f t="shared" si="3"/>
        <v>1-12</v>
      </c>
      <c r="L182" s="16" t="str">
        <f t="shared" si="4"/>
        <v>1-12</v>
      </c>
      <c r="M182" s="16" t="str">
        <f t="shared" si="5"/>
        <v>1-12</v>
      </c>
      <c r="N182" s="16" t="str">
        <f t="shared" si="6"/>
        <v>0</v>
      </c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9" t="s">
        <v>468</v>
      </c>
      <c r="B183" s="10" t="s">
        <v>275</v>
      </c>
      <c r="C183" s="11" t="s">
        <v>469</v>
      </c>
      <c r="D183" s="12" t="s">
        <v>467</v>
      </c>
      <c r="E183" s="13" t="str">
        <f t="array" ref="E183">INDEX(Turmas!C2:C106,MATCH(D183,Turmas!A2:A106,0))</f>
        <v>Noite</v>
      </c>
      <c r="F183" s="14">
        <v>0.0</v>
      </c>
      <c r="G183" s="15">
        <v>2.0</v>
      </c>
      <c r="H183" s="15">
        <v>0.0</v>
      </c>
      <c r="I183" s="16" t="str">
        <f t="shared" si="1"/>
        <v>1-12</v>
      </c>
      <c r="J183" s="16" t="str">
        <f t="shared" si="2"/>
        <v>1-12</v>
      </c>
      <c r="K183" s="16" t="str">
        <f t="shared" si="3"/>
        <v>1-12</v>
      </c>
      <c r="L183" s="16" t="str">
        <f t="shared" si="4"/>
        <v>1-12</v>
      </c>
      <c r="M183" s="16" t="str">
        <f t="shared" si="5"/>
        <v>1-12</v>
      </c>
      <c r="N183" s="16" t="str">
        <f t="shared" si="6"/>
        <v>0</v>
      </c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9" t="s">
        <v>470</v>
      </c>
      <c r="B184" s="10" t="s">
        <v>471</v>
      </c>
      <c r="C184" s="11" t="s">
        <v>224</v>
      </c>
      <c r="D184" s="12" t="s">
        <v>467</v>
      </c>
      <c r="E184" s="13" t="str">
        <f t="array" ref="E184">INDEX(Turmas!C2:C106,MATCH(D184,Turmas!A2:A106,0))</f>
        <v>Noite</v>
      </c>
      <c r="F184" s="14">
        <v>0.0</v>
      </c>
      <c r="G184" s="15">
        <v>4.0</v>
      </c>
      <c r="H184" s="15">
        <v>0.0</v>
      </c>
      <c r="I184" s="16" t="str">
        <f t="shared" si="1"/>
        <v>1-12</v>
      </c>
      <c r="J184" s="16" t="str">
        <f t="shared" si="2"/>
        <v>1-12</v>
      </c>
      <c r="K184" s="16" t="str">
        <f t="shared" si="3"/>
        <v>1-12</v>
      </c>
      <c r="L184" s="16" t="str">
        <f t="shared" si="4"/>
        <v>1-12</v>
      </c>
      <c r="M184" s="16" t="str">
        <f t="shared" si="5"/>
        <v>1-12</v>
      </c>
      <c r="N184" s="16" t="str">
        <f t="shared" si="6"/>
        <v>0</v>
      </c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9" t="s">
        <v>472</v>
      </c>
      <c r="B185" s="10" t="s">
        <v>473</v>
      </c>
      <c r="C185" s="11" t="s">
        <v>447</v>
      </c>
      <c r="D185" s="12" t="s">
        <v>467</v>
      </c>
      <c r="E185" s="13" t="str">
        <f t="array" ref="E185">INDEX(Turmas!C2:C106,MATCH(D185,Turmas!A2:A106,0))</f>
        <v>Noite</v>
      </c>
      <c r="F185" s="14">
        <v>0.0</v>
      </c>
      <c r="G185" s="15">
        <v>4.0</v>
      </c>
      <c r="H185" s="15">
        <v>0.0</v>
      </c>
      <c r="I185" s="16" t="str">
        <f t="shared" si="1"/>
        <v>1-12</v>
      </c>
      <c r="J185" s="16" t="str">
        <f t="shared" si="2"/>
        <v>1-12</v>
      </c>
      <c r="K185" s="16" t="str">
        <f t="shared" si="3"/>
        <v>1-12</v>
      </c>
      <c r="L185" s="16" t="str">
        <f t="shared" si="4"/>
        <v>1-12</v>
      </c>
      <c r="M185" s="16" t="str">
        <f t="shared" si="5"/>
        <v>1-12</v>
      </c>
      <c r="N185" s="16" t="str">
        <f t="shared" si="6"/>
        <v>0</v>
      </c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9" t="s">
        <v>474</v>
      </c>
      <c r="B186" s="10" t="s">
        <v>475</v>
      </c>
      <c r="C186" s="11" t="s">
        <v>476</v>
      </c>
      <c r="D186" s="23" t="s">
        <v>467</v>
      </c>
      <c r="E186" s="13" t="str">
        <f t="array" ref="E186">INDEX(Turmas!C2:C106,MATCH(D186,Turmas!A2:A106,0))</f>
        <v>Noite</v>
      </c>
      <c r="F186" s="14">
        <v>0.0</v>
      </c>
      <c r="G186" s="15">
        <v>2.0</v>
      </c>
      <c r="H186" s="15">
        <v>0.0</v>
      </c>
      <c r="I186" s="16" t="str">
        <f t="shared" si="1"/>
        <v>1-12</v>
      </c>
      <c r="J186" s="16" t="str">
        <f t="shared" si="2"/>
        <v>1-12</v>
      </c>
      <c r="K186" s="16" t="str">
        <f t="shared" si="3"/>
        <v>1-12</v>
      </c>
      <c r="L186" s="16" t="str">
        <f t="shared" si="4"/>
        <v>1-12</v>
      </c>
      <c r="M186" s="16" t="str">
        <f t="shared" si="5"/>
        <v>1-12</v>
      </c>
      <c r="N186" s="16" t="str">
        <f t="shared" si="6"/>
        <v>0</v>
      </c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9" t="s">
        <v>477</v>
      </c>
      <c r="B187" s="10" t="s">
        <v>478</v>
      </c>
      <c r="C187" s="11" t="s">
        <v>26</v>
      </c>
      <c r="D187" s="23" t="s">
        <v>467</v>
      </c>
      <c r="E187" s="13" t="str">
        <f t="array" ref="E187">INDEX(Turmas!C2:C106,MATCH(D187,Turmas!A2:A106,0))</f>
        <v>Noite</v>
      </c>
      <c r="F187" s="14">
        <v>0.0</v>
      </c>
      <c r="G187" s="15">
        <v>4.0</v>
      </c>
      <c r="H187" s="15">
        <v>0.0</v>
      </c>
      <c r="I187" s="16" t="str">
        <f t="shared" si="1"/>
        <v>1-12</v>
      </c>
      <c r="J187" s="16" t="str">
        <f t="shared" si="2"/>
        <v>1-12</v>
      </c>
      <c r="K187" s="16" t="str">
        <f t="shared" si="3"/>
        <v>1-12</v>
      </c>
      <c r="L187" s="16" t="str">
        <f t="shared" si="4"/>
        <v>1-12</v>
      </c>
      <c r="M187" s="16" t="str">
        <f t="shared" si="5"/>
        <v>1-12</v>
      </c>
      <c r="N187" s="16" t="str">
        <f t="shared" si="6"/>
        <v>0</v>
      </c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9" t="s">
        <v>479</v>
      </c>
      <c r="B188" s="10" t="s">
        <v>480</v>
      </c>
      <c r="C188" s="11" t="s">
        <v>481</v>
      </c>
      <c r="D188" s="23" t="s">
        <v>482</v>
      </c>
      <c r="E188" s="13" t="str">
        <f t="array" ref="E188">INDEX(Turmas!C2:C106,MATCH(D188,Turmas!A2:A106,0))</f>
        <v>Noite</v>
      </c>
      <c r="F188" s="14">
        <v>0.0</v>
      </c>
      <c r="G188" s="15">
        <v>2.0</v>
      </c>
      <c r="H188" s="15">
        <v>0.0</v>
      </c>
      <c r="I188" s="16" t="str">
        <f t="shared" si="1"/>
        <v>1-12</v>
      </c>
      <c r="J188" s="16" t="str">
        <f t="shared" si="2"/>
        <v>1-12</v>
      </c>
      <c r="K188" s="16" t="str">
        <f t="shared" si="3"/>
        <v>1-12</v>
      </c>
      <c r="L188" s="16" t="str">
        <f t="shared" si="4"/>
        <v>1-12</v>
      </c>
      <c r="M188" s="16" t="str">
        <f t="shared" si="5"/>
        <v>1-12</v>
      </c>
      <c r="N188" s="16" t="str">
        <f t="shared" si="6"/>
        <v>0</v>
      </c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9" t="s">
        <v>483</v>
      </c>
      <c r="B189" s="10" t="s">
        <v>484</v>
      </c>
      <c r="C189" s="11" t="s">
        <v>16</v>
      </c>
      <c r="D189" s="23" t="s">
        <v>482</v>
      </c>
      <c r="E189" s="13" t="str">
        <f t="array" ref="E189">INDEX(Turmas!C2:C106,MATCH(D189,Turmas!A2:A106,0))</f>
        <v>Noite</v>
      </c>
      <c r="F189" s="14">
        <v>0.0</v>
      </c>
      <c r="G189" s="15">
        <v>2.0</v>
      </c>
      <c r="H189" s="15">
        <v>0.0</v>
      </c>
      <c r="I189" s="16" t="str">
        <f t="shared" si="1"/>
        <v>1-12</v>
      </c>
      <c r="J189" s="16" t="str">
        <f t="shared" si="2"/>
        <v>1-12</v>
      </c>
      <c r="K189" s="16" t="str">
        <f t="shared" si="3"/>
        <v>1-12</v>
      </c>
      <c r="L189" s="16" t="str">
        <f t="shared" si="4"/>
        <v>1-12</v>
      </c>
      <c r="M189" s="16" t="str">
        <f t="shared" si="5"/>
        <v>1-12</v>
      </c>
      <c r="N189" s="16" t="str">
        <f t="shared" si="6"/>
        <v>0</v>
      </c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9" t="s">
        <v>485</v>
      </c>
      <c r="B190" s="10" t="s">
        <v>486</v>
      </c>
      <c r="C190" s="11" t="s">
        <v>487</v>
      </c>
      <c r="D190" s="23" t="s">
        <v>482</v>
      </c>
      <c r="E190" s="13" t="str">
        <f t="array" ref="E190">INDEX(Turmas!C2:C106,MATCH(D190,Turmas!A2:A106,0))</f>
        <v>Noite</v>
      </c>
      <c r="F190" s="14">
        <v>0.0</v>
      </c>
      <c r="G190" s="15">
        <v>2.0</v>
      </c>
      <c r="H190" s="15">
        <v>0.0</v>
      </c>
      <c r="I190" s="16" t="str">
        <f t="shared" si="1"/>
        <v>1-12</v>
      </c>
      <c r="J190" s="16" t="str">
        <f t="shared" si="2"/>
        <v>1-12</v>
      </c>
      <c r="K190" s="16" t="str">
        <f t="shared" si="3"/>
        <v>1-12</v>
      </c>
      <c r="L190" s="16" t="str">
        <f t="shared" si="4"/>
        <v>1-12</v>
      </c>
      <c r="M190" s="16" t="str">
        <f t="shared" si="5"/>
        <v>1-12</v>
      </c>
      <c r="N190" s="16" t="str">
        <f t="shared" si="6"/>
        <v>0</v>
      </c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9" t="s">
        <v>488</v>
      </c>
      <c r="B191" s="10" t="s">
        <v>489</v>
      </c>
      <c r="C191" s="11" t="s">
        <v>490</v>
      </c>
      <c r="D191" s="23" t="s">
        <v>482</v>
      </c>
      <c r="E191" s="13" t="str">
        <f t="array" ref="E191">INDEX(Turmas!C2:C106,MATCH(D191,Turmas!A2:A106,0))</f>
        <v>Noite</v>
      </c>
      <c r="F191" s="14">
        <v>0.0</v>
      </c>
      <c r="G191" s="15">
        <v>4.0</v>
      </c>
      <c r="H191" s="15">
        <v>0.0</v>
      </c>
      <c r="I191" s="16" t="str">
        <f t="shared" si="1"/>
        <v>1-12</v>
      </c>
      <c r="J191" s="16" t="str">
        <f t="shared" si="2"/>
        <v>1-12</v>
      </c>
      <c r="K191" s="16" t="str">
        <f t="shared" si="3"/>
        <v>1-12</v>
      </c>
      <c r="L191" s="16" t="str">
        <f t="shared" si="4"/>
        <v>1-12</v>
      </c>
      <c r="M191" s="16" t="str">
        <f t="shared" si="5"/>
        <v>1-12</v>
      </c>
      <c r="N191" s="16" t="str">
        <f t="shared" si="6"/>
        <v>0</v>
      </c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9" t="s">
        <v>491</v>
      </c>
      <c r="B192" s="10" t="s">
        <v>492</v>
      </c>
      <c r="C192" s="11" t="s">
        <v>493</v>
      </c>
      <c r="D192" s="23" t="s">
        <v>482</v>
      </c>
      <c r="E192" s="13" t="str">
        <f t="array" ref="E192">INDEX(Turmas!C2:C106,MATCH(D192,Turmas!A2:A106,0))</f>
        <v>Noite</v>
      </c>
      <c r="F192" s="14">
        <v>0.0</v>
      </c>
      <c r="G192" s="15">
        <v>4.0</v>
      </c>
      <c r="H192" s="15">
        <v>0.0</v>
      </c>
      <c r="I192" s="16" t="str">
        <f t="shared" si="1"/>
        <v>1-12</v>
      </c>
      <c r="J192" s="16" t="str">
        <f t="shared" si="2"/>
        <v>1-12</v>
      </c>
      <c r="K192" s="16" t="str">
        <f t="shared" si="3"/>
        <v>1-12</v>
      </c>
      <c r="L192" s="16" t="str">
        <f t="shared" si="4"/>
        <v>1-12</v>
      </c>
      <c r="M192" s="16" t="str">
        <f t="shared" si="5"/>
        <v>1-12</v>
      </c>
      <c r="N192" s="16" t="str">
        <f t="shared" si="6"/>
        <v>0</v>
      </c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9" t="s">
        <v>494</v>
      </c>
      <c r="B193" s="10" t="s">
        <v>495</v>
      </c>
      <c r="C193" s="11" t="s">
        <v>476</v>
      </c>
      <c r="D193" s="23" t="s">
        <v>482</v>
      </c>
      <c r="E193" s="13" t="str">
        <f t="array" ref="E193">INDEX(Turmas!C2:C106,MATCH(D193,Turmas!A2:A106,0))</f>
        <v>Noite</v>
      </c>
      <c r="F193" s="14">
        <v>0.0</v>
      </c>
      <c r="G193" s="15">
        <v>2.0</v>
      </c>
      <c r="H193" s="15">
        <v>0.0</v>
      </c>
      <c r="I193" s="16" t="str">
        <f t="shared" si="1"/>
        <v>1-12</v>
      </c>
      <c r="J193" s="16" t="str">
        <f t="shared" si="2"/>
        <v>1-12</v>
      </c>
      <c r="K193" s="16" t="str">
        <f t="shared" si="3"/>
        <v>1-12</v>
      </c>
      <c r="L193" s="16" t="str">
        <f t="shared" si="4"/>
        <v>1-12</v>
      </c>
      <c r="M193" s="16" t="str">
        <f t="shared" si="5"/>
        <v>1-12</v>
      </c>
      <c r="N193" s="16" t="str">
        <f t="shared" si="6"/>
        <v>0</v>
      </c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9" t="s">
        <v>372</v>
      </c>
      <c r="B194" s="10" t="s">
        <v>191</v>
      </c>
      <c r="C194" s="11" t="s">
        <v>496</v>
      </c>
      <c r="D194" s="23" t="s">
        <v>497</v>
      </c>
      <c r="E194" s="13" t="str">
        <f t="array" ref="E194">INDEX(Turmas!C2:C106,MATCH(D194,Turmas!A2:A106,0))</f>
        <v>Tarde</v>
      </c>
      <c r="F194" s="14">
        <v>0.0</v>
      </c>
      <c r="G194" s="15">
        <v>4.0</v>
      </c>
      <c r="H194" s="15">
        <v>0.0</v>
      </c>
      <c r="I194" s="16" t="str">
        <f t="shared" si="1"/>
        <v>1-6,13-16</v>
      </c>
      <c r="J194" s="16" t="str">
        <f t="shared" si="2"/>
        <v>1-6,13-16</v>
      </c>
      <c r="K194" s="16" t="str">
        <f t="shared" si="3"/>
        <v>1-6,13-16</v>
      </c>
      <c r="L194" s="16" t="str">
        <f t="shared" si="4"/>
        <v>1-6,13-16</v>
      </c>
      <c r="M194" s="16" t="str">
        <f t="shared" si="5"/>
        <v>1-6,13-16</v>
      </c>
      <c r="N194" s="16" t="str">
        <f t="shared" si="6"/>
        <v>1-16</v>
      </c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9" t="s">
        <v>439</v>
      </c>
      <c r="B195" s="10" t="s">
        <v>440</v>
      </c>
      <c r="C195" s="11" t="s">
        <v>441</v>
      </c>
      <c r="D195" s="23" t="s">
        <v>497</v>
      </c>
      <c r="E195" s="13" t="str">
        <f t="array" ref="E195">INDEX(Turmas!C2:C106,MATCH(D195,Turmas!A2:A106,0))</f>
        <v>Tarde</v>
      </c>
      <c r="F195" s="20">
        <v>0.0</v>
      </c>
      <c r="G195" s="15">
        <v>3.0</v>
      </c>
      <c r="H195" s="15">
        <v>0.0</v>
      </c>
      <c r="I195" s="16" t="str">
        <f t="shared" si="1"/>
        <v>1-6,13-16</v>
      </c>
      <c r="J195" s="16" t="str">
        <f t="shared" si="2"/>
        <v>1-6,13-16</v>
      </c>
      <c r="K195" s="16" t="str">
        <f t="shared" si="3"/>
        <v>1-6,13-16</v>
      </c>
      <c r="L195" s="16" t="str">
        <f t="shared" si="4"/>
        <v>1-6,13-16</v>
      </c>
      <c r="M195" s="16" t="str">
        <f t="shared" si="5"/>
        <v>1-6,13-16</v>
      </c>
      <c r="N195" s="16" t="str">
        <f t="shared" si="6"/>
        <v>1-16</v>
      </c>
      <c r="O195" s="21"/>
      <c r="P195" s="21"/>
      <c r="Q195" s="21"/>
      <c r="R195" s="21"/>
      <c r="S195" s="21"/>
      <c r="T195" s="21"/>
      <c r="U195" s="21"/>
      <c r="V195" s="21"/>
      <c r="W195" s="21"/>
    </row>
    <row r="196" ht="14.25" customHeight="1">
      <c r="A196" s="9" t="s">
        <v>498</v>
      </c>
      <c r="B196" s="10" t="s">
        <v>499</v>
      </c>
      <c r="C196" s="11" t="s">
        <v>60</v>
      </c>
      <c r="D196" s="23" t="s">
        <v>497</v>
      </c>
      <c r="E196" s="13" t="str">
        <f t="array" ref="E196">INDEX(Turmas!C2:C106,MATCH(D196,Turmas!A2:A106,0))</f>
        <v>Tarde</v>
      </c>
      <c r="F196" s="14">
        <v>0.0</v>
      </c>
      <c r="G196" s="15">
        <v>3.0</v>
      </c>
      <c r="H196" s="15">
        <v>0.0</v>
      </c>
      <c r="I196" s="16" t="str">
        <f t="shared" si="1"/>
        <v>1-6,13-16</v>
      </c>
      <c r="J196" s="16" t="str">
        <f t="shared" si="2"/>
        <v>1-6,13-16</v>
      </c>
      <c r="K196" s="16" t="str">
        <f t="shared" si="3"/>
        <v>1-6,13-16</v>
      </c>
      <c r="L196" s="16" t="str">
        <f t="shared" si="4"/>
        <v>1-6,13-16</v>
      </c>
      <c r="M196" s="16" t="str">
        <f t="shared" si="5"/>
        <v>1-6,13-16</v>
      </c>
      <c r="N196" s="16" t="str">
        <f t="shared" si="6"/>
        <v>1-16</v>
      </c>
      <c r="O196" s="17"/>
      <c r="P196" s="17"/>
      <c r="Q196" s="17"/>
      <c r="R196" s="17"/>
      <c r="S196" s="17"/>
      <c r="T196" s="17"/>
      <c r="U196" s="17"/>
      <c r="V196" s="17"/>
      <c r="W196" s="17"/>
    </row>
    <row r="197" ht="14.25" customHeight="1">
      <c r="A197" s="9" t="s">
        <v>500</v>
      </c>
      <c r="B197" s="10" t="s">
        <v>501</v>
      </c>
      <c r="C197" s="11" t="s">
        <v>444</v>
      </c>
      <c r="D197" s="23" t="s">
        <v>497</v>
      </c>
      <c r="E197" s="13" t="str">
        <f t="array" ref="E197">INDEX(Turmas!C2:C106,MATCH(D197,Turmas!A2:A106,0))</f>
        <v>Tarde</v>
      </c>
      <c r="F197" s="14">
        <v>0.0</v>
      </c>
      <c r="G197" s="15">
        <v>2.0</v>
      </c>
      <c r="H197" s="15">
        <v>0.0</v>
      </c>
      <c r="I197" s="16" t="str">
        <f t="shared" si="1"/>
        <v>1-6,13-16</v>
      </c>
      <c r="J197" s="16" t="str">
        <f t="shared" si="2"/>
        <v>1-6,13-16</v>
      </c>
      <c r="K197" s="16" t="str">
        <f t="shared" si="3"/>
        <v>1-6,13-16</v>
      </c>
      <c r="L197" s="16" t="str">
        <f t="shared" si="4"/>
        <v>1-6,13-16</v>
      </c>
      <c r="M197" s="16" t="str">
        <f t="shared" si="5"/>
        <v>1-6,13-16</v>
      </c>
      <c r="N197" s="16" t="str">
        <f t="shared" si="6"/>
        <v>1-16</v>
      </c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9" t="s">
        <v>502</v>
      </c>
      <c r="B198" s="10" t="s">
        <v>503</v>
      </c>
      <c r="C198" s="11" t="s">
        <v>249</v>
      </c>
      <c r="D198" s="23" t="s">
        <v>497</v>
      </c>
      <c r="E198" s="13" t="str">
        <f t="array" ref="E198">INDEX(Turmas!C2:C106,MATCH(D198,Turmas!A2:A106,0))</f>
        <v>Tarde</v>
      </c>
      <c r="F198" s="14">
        <v>0.0</v>
      </c>
      <c r="G198" s="15">
        <v>2.0</v>
      </c>
      <c r="H198" s="15">
        <v>0.0</v>
      </c>
      <c r="I198" s="16" t="str">
        <f t="shared" si="1"/>
        <v>1-6,13-16</v>
      </c>
      <c r="J198" s="16" t="str">
        <f t="shared" si="2"/>
        <v>1-6,13-16</v>
      </c>
      <c r="K198" s="16" t="str">
        <f t="shared" si="3"/>
        <v>1-6,13-16</v>
      </c>
      <c r="L198" s="16" t="str">
        <f t="shared" si="4"/>
        <v>1-6,13-16</v>
      </c>
      <c r="M198" s="16" t="str">
        <f t="shared" si="5"/>
        <v>1-6,13-16</v>
      </c>
      <c r="N198" s="16" t="str">
        <f t="shared" si="6"/>
        <v>1-16</v>
      </c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9" t="s">
        <v>378</v>
      </c>
      <c r="B199" s="10" t="s">
        <v>206</v>
      </c>
      <c r="C199" s="11" t="s">
        <v>237</v>
      </c>
      <c r="D199" s="23" t="s">
        <v>497</v>
      </c>
      <c r="E199" s="13" t="str">
        <f t="array" ref="E199">INDEX(Turmas!C2:C106,MATCH(D199,Turmas!A2:A106,0))</f>
        <v>Tarde</v>
      </c>
      <c r="F199" s="14">
        <v>0.0</v>
      </c>
      <c r="G199" s="15">
        <v>3.0</v>
      </c>
      <c r="H199" s="15">
        <v>0.0</v>
      </c>
      <c r="I199" s="16" t="str">
        <f t="shared" si="1"/>
        <v>1-6,13-16</v>
      </c>
      <c r="J199" s="16" t="str">
        <f t="shared" si="2"/>
        <v>1-6,13-16</v>
      </c>
      <c r="K199" s="16" t="str">
        <f t="shared" si="3"/>
        <v>1-6,13-16</v>
      </c>
      <c r="L199" s="16" t="str">
        <f t="shared" si="4"/>
        <v>1-6,13-16</v>
      </c>
      <c r="M199" s="16" t="str">
        <f t="shared" si="5"/>
        <v>1-6,13-16</v>
      </c>
      <c r="N199" s="16" t="str">
        <f t="shared" si="6"/>
        <v>1-16</v>
      </c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9" t="s">
        <v>379</v>
      </c>
      <c r="B200" s="10" t="s">
        <v>380</v>
      </c>
      <c r="C200" s="11" t="s">
        <v>449</v>
      </c>
      <c r="D200" s="23" t="s">
        <v>497</v>
      </c>
      <c r="E200" s="13" t="str">
        <f t="array" ref="E200">INDEX(Turmas!C2:C106,MATCH(D200,Turmas!A2:A106,0))</f>
        <v>Tarde</v>
      </c>
      <c r="F200" s="14">
        <v>0.0</v>
      </c>
      <c r="G200" s="15">
        <v>2.0</v>
      </c>
      <c r="H200" s="15">
        <v>0.0</v>
      </c>
      <c r="I200" s="16" t="str">
        <f t="shared" si="1"/>
        <v>1-6,13-16</v>
      </c>
      <c r="J200" s="16" t="str">
        <f t="shared" si="2"/>
        <v>1-6,13-16</v>
      </c>
      <c r="K200" s="16" t="str">
        <f t="shared" si="3"/>
        <v>1-6,13-16</v>
      </c>
      <c r="L200" s="16" t="str">
        <f t="shared" si="4"/>
        <v>1-6,13-16</v>
      </c>
      <c r="M200" s="16" t="str">
        <f t="shared" si="5"/>
        <v>1-6,13-16</v>
      </c>
      <c r="N200" s="16" t="str">
        <f t="shared" si="6"/>
        <v>1-16</v>
      </c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9" t="s">
        <v>504</v>
      </c>
      <c r="B201" s="10" t="s">
        <v>505</v>
      </c>
      <c r="C201" s="11" t="s">
        <v>237</v>
      </c>
      <c r="D201" s="23" t="s">
        <v>497</v>
      </c>
      <c r="E201" s="13" t="str">
        <f t="array" ref="E201">INDEX(Turmas!C2:C106,MATCH(D201,Turmas!A2:A106,0))</f>
        <v>Tarde</v>
      </c>
      <c r="F201" s="14">
        <v>0.0</v>
      </c>
      <c r="G201" s="15">
        <v>4.0</v>
      </c>
      <c r="H201" s="15">
        <v>0.0</v>
      </c>
      <c r="I201" s="16" t="str">
        <f t="shared" si="1"/>
        <v>1-6,13-16</v>
      </c>
      <c r="J201" s="16" t="str">
        <f t="shared" si="2"/>
        <v>1-6,13-16</v>
      </c>
      <c r="K201" s="16" t="str">
        <f t="shared" si="3"/>
        <v>1-6,13-16</v>
      </c>
      <c r="L201" s="16" t="str">
        <f t="shared" si="4"/>
        <v>1-6,13-16</v>
      </c>
      <c r="M201" s="16" t="str">
        <f t="shared" si="5"/>
        <v>1-6,13-16</v>
      </c>
      <c r="N201" s="16" t="str">
        <f t="shared" si="6"/>
        <v>1-16</v>
      </c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9" t="s">
        <v>506</v>
      </c>
      <c r="B202" s="10" t="s">
        <v>229</v>
      </c>
      <c r="C202" s="11" t="s">
        <v>373</v>
      </c>
      <c r="D202" s="23" t="s">
        <v>507</v>
      </c>
      <c r="E202" s="13" t="str">
        <f t="array" ref="E202">INDEX(Turmas!C2:C106,MATCH(D202,Turmas!A2:A106,0))</f>
        <v>Manhã</v>
      </c>
      <c r="F202" s="14">
        <v>0.0</v>
      </c>
      <c r="G202" s="15">
        <v>2.0</v>
      </c>
      <c r="H202" s="15">
        <v>0.0</v>
      </c>
      <c r="I202" s="16" t="str">
        <f t="shared" si="1"/>
        <v>7-16</v>
      </c>
      <c r="J202" s="16" t="str">
        <f t="shared" si="2"/>
        <v>7-16</v>
      </c>
      <c r="K202" s="16" t="str">
        <f t="shared" si="3"/>
        <v>7-16</v>
      </c>
      <c r="L202" s="16" t="str">
        <f t="shared" si="4"/>
        <v>7-16</v>
      </c>
      <c r="M202" s="16" t="str">
        <f t="shared" si="5"/>
        <v>7-16</v>
      </c>
      <c r="N202" s="16" t="str">
        <f t="shared" si="6"/>
        <v>1-16</v>
      </c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9" t="s">
        <v>508</v>
      </c>
      <c r="B203" s="10" t="s">
        <v>509</v>
      </c>
      <c r="C203" s="11" t="s">
        <v>510</v>
      </c>
      <c r="D203" s="23" t="s">
        <v>507</v>
      </c>
      <c r="E203" s="13" t="str">
        <f t="array" ref="E203">INDEX(Turmas!C2:C106,MATCH(D203,Turmas!A2:A106,0))</f>
        <v>Manhã</v>
      </c>
      <c r="F203" s="14">
        <v>0.0</v>
      </c>
      <c r="G203" s="15">
        <v>3.0</v>
      </c>
      <c r="H203" s="15">
        <v>0.0</v>
      </c>
      <c r="I203" s="16" t="str">
        <f t="shared" si="1"/>
        <v>7-16</v>
      </c>
      <c r="J203" s="16" t="str">
        <f t="shared" si="2"/>
        <v>7-16</v>
      </c>
      <c r="K203" s="16" t="str">
        <f t="shared" si="3"/>
        <v>7-16</v>
      </c>
      <c r="L203" s="16" t="str">
        <f t="shared" si="4"/>
        <v>7-16</v>
      </c>
      <c r="M203" s="16" t="str">
        <f t="shared" si="5"/>
        <v>7-16</v>
      </c>
      <c r="N203" s="16" t="str">
        <f t="shared" si="6"/>
        <v>1-16</v>
      </c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9" t="s">
        <v>456</v>
      </c>
      <c r="B204" s="10" t="s">
        <v>457</v>
      </c>
      <c r="C204" s="11" t="s">
        <v>320</v>
      </c>
      <c r="D204" s="23" t="s">
        <v>507</v>
      </c>
      <c r="E204" s="13" t="str">
        <f t="array" ref="E204">INDEX(Turmas!C2:C106,MATCH(D204,Turmas!A2:A106,0))</f>
        <v>Manhã</v>
      </c>
      <c r="F204" s="14">
        <v>0.0</v>
      </c>
      <c r="G204" s="15">
        <v>2.0</v>
      </c>
      <c r="H204" s="15">
        <v>0.0</v>
      </c>
      <c r="I204" s="16" t="str">
        <f t="shared" si="1"/>
        <v>7-16</v>
      </c>
      <c r="J204" s="16" t="str">
        <f t="shared" si="2"/>
        <v>7-16</v>
      </c>
      <c r="K204" s="16" t="str">
        <f t="shared" si="3"/>
        <v>7-16</v>
      </c>
      <c r="L204" s="16" t="str">
        <f t="shared" si="4"/>
        <v>7-16</v>
      </c>
      <c r="M204" s="16" t="str">
        <f t="shared" si="5"/>
        <v>7-16</v>
      </c>
      <c r="N204" s="16" t="str">
        <f t="shared" si="6"/>
        <v>1-16</v>
      </c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9" t="s">
        <v>511</v>
      </c>
      <c r="B205" s="10" t="s">
        <v>512</v>
      </c>
      <c r="C205" s="11" t="s">
        <v>276</v>
      </c>
      <c r="D205" s="23" t="s">
        <v>507</v>
      </c>
      <c r="E205" s="13" t="str">
        <f t="array" ref="E205">INDEX(Turmas!C2:C106,MATCH(D205,Turmas!A2:A106,0))</f>
        <v>Manhã</v>
      </c>
      <c r="F205" s="14">
        <v>0.0</v>
      </c>
      <c r="G205" s="15">
        <v>3.0</v>
      </c>
      <c r="H205" s="15">
        <v>0.0</v>
      </c>
      <c r="I205" s="16" t="str">
        <f t="shared" si="1"/>
        <v>7-16</v>
      </c>
      <c r="J205" s="16" t="str">
        <f t="shared" si="2"/>
        <v>7-16</v>
      </c>
      <c r="K205" s="16" t="str">
        <f t="shared" si="3"/>
        <v>7-16</v>
      </c>
      <c r="L205" s="16" t="str">
        <f t="shared" si="4"/>
        <v>7-16</v>
      </c>
      <c r="M205" s="16" t="str">
        <f t="shared" si="5"/>
        <v>7-16</v>
      </c>
      <c r="N205" s="16" t="str">
        <f t="shared" si="6"/>
        <v>1-16</v>
      </c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9" t="s">
        <v>513</v>
      </c>
      <c r="B206" s="10" t="s">
        <v>462</v>
      </c>
      <c r="C206" s="11" t="s">
        <v>463</v>
      </c>
      <c r="D206" s="12" t="s">
        <v>507</v>
      </c>
      <c r="E206" s="13" t="str">
        <f t="array" ref="E206">INDEX(Turmas!C2:C106,MATCH(D206,Turmas!A2:A106,0))</f>
        <v>Manhã</v>
      </c>
      <c r="F206" s="14">
        <v>0.0</v>
      </c>
      <c r="G206" s="15">
        <v>3.0</v>
      </c>
      <c r="H206" s="15">
        <v>0.0</v>
      </c>
      <c r="I206" s="16" t="str">
        <f t="shared" si="1"/>
        <v>7-16</v>
      </c>
      <c r="J206" s="16" t="str">
        <f t="shared" si="2"/>
        <v>7-16</v>
      </c>
      <c r="K206" s="16" t="str">
        <f t="shared" si="3"/>
        <v>7-16</v>
      </c>
      <c r="L206" s="16" t="str">
        <f t="shared" si="4"/>
        <v>7-16</v>
      </c>
      <c r="M206" s="16" t="str">
        <f t="shared" si="5"/>
        <v>7-16</v>
      </c>
      <c r="N206" s="16" t="str">
        <f t="shared" si="6"/>
        <v>1-16</v>
      </c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9" t="s">
        <v>514</v>
      </c>
      <c r="B207" s="10" t="s">
        <v>515</v>
      </c>
      <c r="C207" s="11" t="s">
        <v>466</v>
      </c>
      <c r="D207" s="12" t="s">
        <v>516</v>
      </c>
      <c r="E207" s="13" t="str">
        <f t="array" ref="E207">INDEX(Turmas!C2:C106,MATCH(D207,Turmas!A2:A106,0))</f>
        <v>Tarde</v>
      </c>
      <c r="F207" s="14">
        <v>0.0</v>
      </c>
      <c r="G207" s="15">
        <v>3.0</v>
      </c>
      <c r="H207" s="15">
        <v>0.0</v>
      </c>
      <c r="I207" s="16" t="str">
        <f t="shared" si="1"/>
        <v>1-6,13-16</v>
      </c>
      <c r="J207" s="16" t="str">
        <f t="shared" si="2"/>
        <v>1-6,13-16</v>
      </c>
      <c r="K207" s="16" t="str">
        <f t="shared" si="3"/>
        <v>1-6,13-16</v>
      </c>
      <c r="L207" s="16" t="str">
        <f t="shared" si="4"/>
        <v>1-6,13-16</v>
      </c>
      <c r="M207" s="16" t="str">
        <f t="shared" si="5"/>
        <v>1-6,13-16</v>
      </c>
      <c r="N207" s="16" t="str">
        <f t="shared" si="6"/>
        <v>1-16</v>
      </c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9" t="s">
        <v>517</v>
      </c>
      <c r="B208" s="10" t="s">
        <v>518</v>
      </c>
      <c r="C208" s="11" t="s">
        <v>297</v>
      </c>
      <c r="D208" s="12" t="s">
        <v>516</v>
      </c>
      <c r="E208" s="13" t="str">
        <f t="array" ref="E208">INDEX(Turmas!C2:C106,MATCH(D208,Turmas!A2:A106,0))</f>
        <v>Tarde</v>
      </c>
      <c r="F208" s="14">
        <v>0.0</v>
      </c>
      <c r="G208" s="15">
        <v>2.0</v>
      </c>
      <c r="H208" s="15">
        <v>0.0</v>
      </c>
      <c r="I208" s="16" t="str">
        <f t="shared" si="1"/>
        <v>1-6,13-16</v>
      </c>
      <c r="J208" s="16" t="str">
        <f t="shared" si="2"/>
        <v>1-6,13-16</v>
      </c>
      <c r="K208" s="16" t="str">
        <f t="shared" si="3"/>
        <v>1-6,13-16</v>
      </c>
      <c r="L208" s="16" t="str">
        <f t="shared" si="4"/>
        <v>1-6,13-16</v>
      </c>
      <c r="M208" s="16" t="str">
        <f t="shared" si="5"/>
        <v>1-6,13-16</v>
      </c>
      <c r="N208" s="16" t="str">
        <f t="shared" si="6"/>
        <v>1-16</v>
      </c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9" t="s">
        <v>519</v>
      </c>
      <c r="B209" s="10" t="s">
        <v>486</v>
      </c>
      <c r="C209" s="11" t="s">
        <v>320</v>
      </c>
      <c r="D209" s="12" t="s">
        <v>516</v>
      </c>
      <c r="E209" s="13" t="str">
        <f t="array" ref="E209">INDEX(Turmas!C2:C106,MATCH(D209,Turmas!A2:A106,0))</f>
        <v>Tarde</v>
      </c>
      <c r="F209" s="14">
        <v>0.0</v>
      </c>
      <c r="G209" s="15">
        <v>2.0</v>
      </c>
      <c r="H209" s="15">
        <v>0.0</v>
      </c>
      <c r="I209" s="16" t="str">
        <f t="shared" si="1"/>
        <v>1-6,13-16</v>
      </c>
      <c r="J209" s="16" t="str">
        <f t="shared" si="2"/>
        <v>1-6,13-16</v>
      </c>
      <c r="K209" s="16" t="str">
        <f t="shared" si="3"/>
        <v>1-6,13-16</v>
      </c>
      <c r="L209" s="16" t="str">
        <f t="shared" si="4"/>
        <v>1-6,13-16</v>
      </c>
      <c r="M209" s="16" t="str">
        <f t="shared" si="5"/>
        <v>1-6,13-16</v>
      </c>
      <c r="N209" s="16" t="str">
        <f t="shared" si="6"/>
        <v>1-16</v>
      </c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9" t="s">
        <v>491</v>
      </c>
      <c r="B210" s="10" t="s">
        <v>492</v>
      </c>
      <c r="C210" s="11" t="s">
        <v>493</v>
      </c>
      <c r="D210" s="12" t="s">
        <v>516</v>
      </c>
      <c r="E210" s="13" t="str">
        <f t="array" ref="E210">INDEX(Turmas!C2:C106,MATCH(D210,Turmas!A2:A106,0))</f>
        <v>Tarde</v>
      </c>
      <c r="F210" s="14">
        <v>0.0</v>
      </c>
      <c r="G210" s="15">
        <v>2.0</v>
      </c>
      <c r="H210" s="15">
        <v>0.0</v>
      </c>
      <c r="I210" s="16" t="str">
        <f t="shared" si="1"/>
        <v>1-6,13-16</v>
      </c>
      <c r="J210" s="16" t="str">
        <f t="shared" si="2"/>
        <v>1-6,13-16</v>
      </c>
      <c r="K210" s="16" t="str">
        <f t="shared" si="3"/>
        <v>1-6,13-16</v>
      </c>
      <c r="L210" s="16" t="str">
        <f t="shared" si="4"/>
        <v>1-6,13-16</v>
      </c>
      <c r="M210" s="16" t="str">
        <f t="shared" si="5"/>
        <v>1-6,13-16</v>
      </c>
      <c r="N210" s="16" t="str">
        <f t="shared" si="6"/>
        <v>1-16</v>
      </c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9" t="s">
        <v>520</v>
      </c>
      <c r="B211" s="10" t="s">
        <v>521</v>
      </c>
      <c r="C211" s="11" t="s">
        <v>522</v>
      </c>
      <c r="D211" s="12" t="s">
        <v>516</v>
      </c>
      <c r="E211" s="13" t="str">
        <f t="array" ref="E211">INDEX(Turmas!C2:C106,MATCH(D211,Turmas!A2:A106,0))</f>
        <v>Tarde</v>
      </c>
      <c r="F211" s="14">
        <v>0.0</v>
      </c>
      <c r="G211" s="15">
        <v>3.0</v>
      </c>
      <c r="H211" s="15">
        <v>0.0</v>
      </c>
      <c r="I211" s="16" t="str">
        <f t="shared" si="1"/>
        <v>1-6,13-16</v>
      </c>
      <c r="J211" s="16" t="str">
        <f t="shared" si="2"/>
        <v>1-6,13-16</v>
      </c>
      <c r="K211" s="16" t="str">
        <f t="shared" si="3"/>
        <v>1-6,13-16</v>
      </c>
      <c r="L211" s="16" t="str">
        <f t="shared" si="4"/>
        <v>1-6,13-16</v>
      </c>
      <c r="M211" s="16" t="str">
        <f t="shared" si="5"/>
        <v>1-6,13-16</v>
      </c>
      <c r="N211" s="16" t="str">
        <f t="shared" si="6"/>
        <v>1-16</v>
      </c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9" t="s">
        <v>523</v>
      </c>
      <c r="B212" s="10" t="s">
        <v>524</v>
      </c>
      <c r="C212" s="11" t="s">
        <v>510</v>
      </c>
      <c r="D212" s="12" t="s">
        <v>516</v>
      </c>
      <c r="E212" s="13" t="str">
        <f t="array" ref="E212">INDEX(Turmas!C2:C106,MATCH(D212,Turmas!A2:A106,0))</f>
        <v>Tarde</v>
      </c>
      <c r="F212" s="14">
        <v>0.0</v>
      </c>
      <c r="G212" s="15">
        <v>2.0</v>
      </c>
      <c r="H212" s="15">
        <v>0.0</v>
      </c>
      <c r="I212" s="16" t="str">
        <f t="shared" si="1"/>
        <v>1-6,13-16</v>
      </c>
      <c r="J212" s="16" t="str">
        <f t="shared" si="2"/>
        <v>1-6,13-16</v>
      </c>
      <c r="K212" s="16" t="str">
        <f t="shared" si="3"/>
        <v>1-6,13-16</v>
      </c>
      <c r="L212" s="16" t="str">
        <f t="shared" si="4"/>
        <v>1-6,13-16</v>
      </c>
      <c r="M212" s="16" t="str">
        <f t="shared" si="5"/>
        <v>1-6,13-16</v>
      </c>
      <c r="N212" s="16" t="str">
        <f t="shared" si="6"/>
        <v>1-16</v>
      </c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9" t="s">
        <v>525</v>
      </c>
      <c r="B213" s="10" t="s">
        <v>526</v>
      </c>
      <c r="C213" s="11" t="s">
        <v>224</v>
      </c>
      <c r="D213" s="12" t="s">
        <v>516</v>
      </c>
      <c r="E213" s="13" t="str">
        <f t="array" ref="E213">INDEX(Turmas!C2:C106,MATCH(D213,Turmas!A2:A106,0))</f>
        <v>Tarde</v>
      </c>
      <c r="F213" s="14">
        <v>0.0</v>
      </c>
      <c r="G213" s="15">
        <v>3.0</v>
      </c>
      <c r="H213" s="15">
        <v>0.0</v>
      </c>
      <c r="I213" s="16" t="str">
        <f t="shared" si="1"/>
        <v>1-6,13-16</v>
      </c>
      <c r="J213" s="16" t="str">
        <f t="shared" si="2"/>
        <v>1-6,13-16</v>
      </c>
      <c r="K213" s="16" t="str">
        <f t="shared" si="3"/>
        <v>1-6,13-16</v>
      </c>
      <c r="L213" s="16" t="str">
        <f t="shared" si="4"/>
        <v>1-6,13-16</v>
      </c>
      <c r="M213" s="16" t="str">
        <f t="shared" si="5"/>
        <v>1-6,13-16</v>
      </c>
      <c r="N213" s="16" t="str">
        <f t="shared" si="6"/>
        <v>1-16</v>
      </c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9" t="s">
        <v>527</v>
      </c>
      <c r="B214" s="10" t="s">
        <v>528</v>
      </c>
      <c r="C214" s="11" t="s">
        <v>487</v>
      </c>
      <c r="D214" s="12" t="s">
        <v>516</v>
      </c>
      <c r="E214" s="13" t="str">
        <f t="array" ref="E214">INDEX(Turmas!C2:C106,MATCH(D214,Turmas!A2:A106,0))</f>
        <v>Tarde</v>
      </c>
      <c r="F214" s="14">
        <v>0.0</v>
      </c>
      <c r="G214" s="15">
        <v>4.0</v>
      </c>
      <c r="H214" s="15">
        <v>0.0</v>
      </c>
      <c r="I214" s="16" t="str">
        <f t="shared" si="1"/>
        <v>1-6,13-16</v>
      </c>
      <c r="J214" s="16" t="str">
        <f t="shared" si="2"/>
        <v>1-6,13-16</v>
      </c>
      <c r="K214" s="16" t="str">
        <f t="shared" si="3"/>
        <v>1-6,13-16</v>
      </c>
      <c r="L214" s="16" t="str">
        <f t="shared" si="4"/>
        <v>1-6,13-16</v>
      </c>
      <c r="M214" s="16" t="str">
        <f t="shared" si="5"/>
        <v>1-6,13-16</v>
      </c>
      <c r="N214" s="16" t="str">
        <f t="shared" si="6"/>
        <v>1-16</v>
      </c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9" t="s">
        <v>529</v>
      </c>
      <c r="B215" s="10" t="s">
        <v>530</v>
      </c>
      <c r="C215" s="11" t="s">
        <v>531</v>
      </c>
      <c r="D215" s="12" t="s">
        <v>532</v>
      </c>
      <c r="E215" s="13" t="str">
        <f t="array" ref="E215">INDEX(Turmas!C2:C106,MATCH(D215,Turmas!A2:A106,0))</f>
        <v>Manhã</v>
      </c>
      <c r="F215" s="14">
        <v>23.0</v>
      </c>
      <c r="G215" s="15">
        <v>3.0</v>
      </c>
      <c r="H215" s="15">
        <v>0.0</v>
      </c>
      <c r="I215" s="16" t="str">
        <f t="shared" si="1"/>
        <v>7-16</v>
      </c>
      <c r="J215" s="16" t="str">
        <f t="shared" si="2"/>
        <v>7-16</v>
      </c>
      <c r="K215" s="16" t="str">
        <f t="shared" si="3"/>
        <v>7-16</v>
      </c>
      <c r="L215" s="16" t="str">
        <f t="shared" si="4"/>
        <v>7-16</v>
      </c>
      <c r="M215" s="16" t="str">
        <f t="shared" si="5"/>
        <v>7-16</v>
      </c>
      <c r="N215" s="16" t="str">
        <f t="shared" si="6"/>
        <v>1-16</v>
      </c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9" t="s">
        <v>483</v>
      </c>
      <c r="B216" s="10" t="s">
        <v>484</v>
      </c>
      <c r="C216" s="11" t="s">
        <v>16</v>
      </c>
      <c r="D216" s="12" t="s">
        <v>532</v>
      </c>
      <c r="E216" s="13" t="str">
        <f t="array" ref="E216">INDEX(Turmas!C2:C106,MATCH(D216,Turmas!A2:A106,0))</f>
        <v>Manhã</v>
      </c>
      <c r="F216" s="14">
        <v>0.0</v>
      </c>
      <c r="G216" s="15">
        <v>3.0</v>
      </c>
      <c r="H216" s="15">
        <v>0.0</v>
      </c>
      <c r="I216" s="16" t="str">
        <f t="shared" si="1"/>
        <v>7-16</v>
      </c>
      <c r="J216" s="16" t="str">
        <f t="shared" si="2"/>
        <v>7-16</v>
      </c>
      <c r="K216" s="16" t="str">
        <f t="shared" si="3"/>
        <v>7-16</v>
      </c>
      <c r="L216" s="16" t="str">
        <f t="shared" si="4"/>
        <v>7-16</v>
      </c>
      <c r="M216" s="16" t="str">
        <f t="shared" si="5"/>
        <v>7-16</v>
      </c>
      <c r="N216" s="16" t="str">
        <f t="shared" si="6"/>
        <v>1-16</v>
      </c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9" t="s">
        <v>533</v>
      </c>
      <c r="B217" s="10" t="s">
        <v>534</v>
      </c>
      <c r="C217" s="11" t="s">
        <v>466</v>
      </c>
      <c r="D217" s="12" t="s">
        <v>532</v>
      </c>
      <c r="E217" s="13" t="str">
        <f t="array" ref="E217">INDEX(Turmas!C2:C106,MATCH(D217,Turmas!A2:A106,0))</f>
        <v>Manhã</v>
      </c>
      <c r="F217" s="14">
        <v>0.0</v>
      </c>
      <c r="G217" s="15">
        <v>2.0</v>
      </c>
      <c r="H217" s="15">
        <v>0.0</v>
      </c>
      <c r="I217" s="16" t="str">
        <f t="shared" si="1"/>
        <v>7-16</v>
      </c>
      <c r="J217" s="16" t="str">
        <f t="shared" si="2"/>
        <v>7-16</v>
      </c>
      <c r="K217" s="16" t="str">
        <f t="shared" si="3"/>
        <v>7-16</v>
      </c>
      <c r="L217" s="16" t="str">
        <f t="shared" si="4"/>
        <v>7-16</v>
      </c>
      <c r="M217" s="16" t="str">
        <f t="shared" si="5"/>
        <v>7-16</v>
      </c>
      <c r="N217" s="16" t="str">
        <f t="shared" si="6"/>
        <v>1-16</v>
      </c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9" t="s">
        <v>535</v>
      </c>
      <c r="B218" s="10" t="s">
        <v>536</v>
      </c>
      <c r="C218" s="11" t="s">
        <v>537</v>
      </c>
      <c r="D218" s="12" t="s">
        <v>532</v>
      </c>
      <c r="E218" s="13" t="str">
        <f t="array" ref="E218">INDEX(Turmas!C2:C106,MATCH(D218,Turmas!A2:A106,0))</f>
        <v>Manhã</v>
      </c>
      <c r="F218" s="14">
        <v>0.0</v>
      </c>
      <c r="G218" s="15">
        <v>4.0</v>
      </c>
      <c r="H218" s="15">
        <v>0.0</v>
      </c>
      <c r="I218" s="16" t="str">
        <f t="shared" si="1"/>
        <v>7-16</v>
      </c>
      <c r="J218" s="16" t="str">
        <f t="shared" si="2"/>
        <v>7-16</v>
      </c>
      <c r="K218" s="16" t="str">
        <f t="shared" si="3"/>
        <v>7-16</v>
      </c>
      <c r="L218" s="16" t="str">
        <f t="shared" si="4"/>
        <v>7-16</v>
      </c>
      <c r="M218" s="16" t="str">
        <f t="shared" si="5"/>
        <v>7-16</v>
      </c>
      <c r="N218" s="16" t="str">
        <f t="shared" si="6"/>
        <v>1-16</v>
      </c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9" t="s">
        <v>538</v>
      </c>
      <c r="B219" s="10" t="s">
        <v>539</v>
      </c>
      <c r="C219" s="11" t="s">
        <v>540</v>
      </c>
      <c r="D219" s="12" t="s">
        <v>532</v>
      </c>
      <c r="E219" s="13" t="str">
        <f t="array" ref="E219">INDEX(Turmas!C2:C106,MATCH(D219,Turmas!A2:A106,0))</f>
        <v>Manhã</v>
      </c>
      <c r="F219" s="14">
        <v>0.0</v>
      </c>
      <c r="G219" s="15">
        <v>3.0</v>
      </c>
      <c r="H219" s="15">
        <v>0.0</v>
      </c>
      <c r="I219" s="16" t="str">
        <f t="shared" si="1"/>
        <v>7-16</v>
      </c>
      <c r="J219" s="16" t="str">
        <f t="shared" si="2"/>
        <v>7-16</v>
      </c>
      <c r="K219" s="16" t="str">
        <f t="shared" si="3"/>
        <v>7-16</v>
      </c>
      <c r="L219" s="16" t="str">
        <f t="shared" si="4"/>
        <v>7-16</v>
      </c>
      <c r="M219" s="16" t="str">
        <f t="shared" si="5"/>
        <v>7-16</v>
      </c>
      <c r="N219" s="16" t="str">
        <f t="shared" si="6"/>
        <v>1-16</v>
      </c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9" t="s">
        <v>541</v>
      </c>
      <c r="B220" s="10" t="s">
        <v>542</v>
      </c>
      <c r="C220" s="11" t="s">
        <v>230</v>
      </c>
      <c r="D220" s="12" t="s">
        <v>543</v>
      </c>
      <c r="E220" s="13" t="str">
        <f t="array" ref="E220">INDEX(Turmas!C2:C106,MATCH(D220,Turmas!A2:A106,0))</f>
        <v>Tarde</v>
      </c>
      <c r="F220" s="14">
        <v>0.0</v>
      </c>
      <c r="G220" s="15">
        <v>4.0</v>
      </c>
      <c r="H220" s="15">
        <v>0.0</v>
      </c>
      <c r="I220" s="16" t="str">
        <f t="shared" si="1"/>
        <v>1-6,13-16</v>
      </c>
      <c r="J220" s="16" t="str">
        <f t="shared" si="2"/>
        <v>1-6,13-16</v>
      </c>
      <c r="K220" s="16" t="str">
        <f t="shared" si="3"/>
        <v>1-6,13-16</v>
      </c>
      <c r="L220" s="16" t="str">
        <f t="shared" si="4"/>
        <v>1-6,13-16</v>
      </c>
      <c r="M220" s="16" t="str">
        <f t="shared" si="5"/>
        <v>1-6,13-16</v>
      </c>
      <c r="N220" s="16" t="str">
        <f t="shared" si="6"/>
        <v>1-16</v>
      </c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9" t="s">
        <v>544</v>
      </c>
      <c r="B221" s="10" t="s">
        <v>545</v>
      </c>
      <c r="C221" s="11" t="s">
        <v>546</v>
      </c>
      <c r="D221" s="12" t="s">
        <v>543</v>
      </c>
      <c r="E221" s="13" t="str">
        <f t="array" ref="E221">INDEX(Turmas!C2:C106,MATCH(D221,Turmas!A2:A106,0))</f>
        <v>Tarde</v>
      </c>
      <c r="F221" s="14">
        <v>0.0</v>
      </c>
      <c r="G221" s="15">
        <v>2.0</v>
      </c>
      <c r="H221" s="15">
        <v>0.0</v>
      </c>
      <c r="I221" s="16" t="str">
        <f t="shared" si="1"/>
        <v>1-6,13-16</v>
      </c>
      <c r="J221" s="16" t="str">
        <f t="shared" si="2"/>
        <v>1-6,13-16</v>
      </c>
      <c r="K221" s="16" t="str">
        <f t="shared" si="3"/>
        <v>1-6,13-16</v>
      </c>
      <c r="L221" s="16" t="str">
        <f t="shared" si="4"/>
        <v>1-6,13-16</v>
      </c>
      <c r="M221" s="16" t="str">
        <f t="shared" si="5"/>
        <v>1-6,13-16</v>
      </c>
      <c r="N221" s="16" t="str">
        <f t="shared" si="6"/>
        <v>1-16</v>
      </c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9" t="s">
        <v>547</v>
      </c>
      <c r="B222" s="10" t="s">
        <v>548</v>
      </c>
      <c r="C222" s="11" t="s">
        <v>549</v>
      </c>
      <c r="D222" s="12" t="s">
        <v>543</v>
      </c>
      <c r="E222" s="13" t="str">
        <f t="array" ref="E222">INDEX(Turmas!C2:C106,MATCH(D222,Turmas!A2:A106,0))</f>
        <v>Tarde</v>
      </c>
      <c r="F222" s="14">
        <v>0.0</v>
      </c>
      <c r="G222" s="15">
        <v>2.0</v>
      </c>
      <c r="H222" s="15">
        <v>0.0</v>
      </c>
      <c r="I222" s="16" t="str">
        <f t="shared" si="1"/>
        <v>1-6,13-16</v>
      </c>
      <c r="J222" s="16" t="str">
        <f t="shared" si="2"/>
        <v>1-6,13-16</v>
      </c>
      <c r="K222" s="16" t="str">
        <f t="shared" si="3"/>
        <v>1-6,13-16</v>
      </c>
      <c r="L222" s="16" t="str">
        <f t="shared" si="4"/>
        <v>1-6,13-16</v>
      </c>
      <c r="M222" s="16" t="str">
        <f t="shared" si="5"/>
        <v>1-6,13-16</v>
      </c>
      <c r="N222" s="16" t="str">
        <f t="shared" si="6"/>
        <v>1-16</v>
      </c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9" t="s">
        <v>550</v>
      </c>
      <c r="B223" s="10" t="s">
        <v>191</v>
      </c>
      <c r="C223" s="11" t="s">
        <v>490</v>
      </c>
      <c r="D223" s="12" t="s">
        <v>551</v>
      </c>
      <c r="E223" s="13" t="str">
        <f t="array" ref="E223">INDEX(Turmas!C2:C106,MATCH(D223,Turmas!A2:A106,0))</f>
        <v>Noite</v>
      </c>
      <c r="F223" s="14">
        <v>0.0</v>
      </c>
      <c r="G223" s="15">
        <v>2.0</v>
      </c>
      <c r="H223" s="15">
        <v>0.0</v>
      </c>
      <c r="I223" s="16" t="str">
        <f t="shared" si="1"/>
        <v>1-12</v>
      </c>
      <c r="J223" s="16" t="str">
        <f t="shared" si="2"/>
        <v>1-12</v>
      </c>
      <c r="K223" s="16" t="str">
        <f t="shared" si="3"/>
        <v>1-12</v>
      </c>
      <c r="L223" s="16" t="str">
        <f t="shared" si="4"/>
        <v>1-12</v>
      </c>
      <c r="M223" s="16" t="str">
        <f t="shared" si="5"/>
        <v>1-12</v>
      </c>
      <c r="N223" s="16" t="str">
        <f t="shared" si="6"/>
        <v>0</v>
      </c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9" t="s">
        <v>552</v>
      </c>
      <c r="B224" s="10" t="s">
        <v>553</v>
      </c>
      <c r="C224" s="11" t="s">
        <v>192</v>
      </c>
      <c r="D224" s="12" t="s">
        <v>551</v>
      </c>
      <c r="E224" s="13" t="str">
        <f t="array" ref="E224">INDEX(Turmas!C2:C106,MATCH(D224,Turmas!A2:A106,0))</f>
        <v>Noite</v>
      </c>
      <c r="F224" s="14">
        <v>0.0</v>
      </c>
      <c r="G224" s="15">
        <v>4.0</v>
      </c>
      <c r="H224" s="15">
        <v>0.0</v>
      </c>
      <c r="I224" s="16" t="str">
        <f t="shared" si="1"/>
        <v>1-12</v>
      </c>
      <c r="J224" s="16" t="str">
        <f t="shared" si="2"/>
        <v>1-12</v>
      </c>
      <c r="K224" s="16" t="str">
        <f t="shared" si="3"/>
        <v>1-12</v>
      </c>
      <c r="L224" s="16" t="str">
        <f t="shared" si="4"/>
        <v>1-12</v>
      </c>
      <c r="M224" s="16" t="str">
        <f t="shared" si="5"/>
        <v>1-12</v>
      </c>
      <c r="N224" s="16" t="str">
        <f t="shared" si="6"/>
        <v>0</v>
      </c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9" t="s">
        <v>554</v>
      </c>
      <c r="B225" s="10" t="s">
        <v>555</v>
      </c>
      <c r="C225" s="11" t="s">
        <v>312</v>
      </c>
      <c r="D225" s="12" t="s">
        <v>551</v>
      </c>
      <c r="E225" s="13" t="str">
        <f t="array" ref="E225">INDEX(Turmas!C2:C106,MATCH(D225,Turmas!A2:A106,0))</f>
        <v>Noite</v>
      </c>
      <c r="F225" s="14">
        <v>0.0</v>
      </c>
      <c r="G225" s="15">
        <v>2.0</v>
      </c>
      <c r="H225" s="15">
        <v>0.0</v>
      </c>
      <c r="I225" s="16" t="str">
        <f t="shared" si="1"/>
        <v>1-12</v>
      </c>
      <c r="J225" s="16" t="str">
        <f t="shared" si="2"/>
        <v>1-12</v>
      </c>
      <c r="K225" s="16" t="str">
        <f t="shared" si="3"/>
        <v>1-12</v>
      </c>
      <c r="L225" s="16" t="str">
        <f t="shared" si="4"/>
        <v>1-12</v>
      </c>
      <c r="M225" s="16" t="str">
        <f t="shared" si="5"/>
        <v>1-12</v>
      </c>
      <c r="N225" s="16" t="str">
        <f t="shared" si="6"/>
        <v>0</v>
      </c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9" t="s">
        <v>556</v>
      </c>
      <c r="B226" s="10" t="s">
        <v>380</v>
      </c>
      <c r="C226" s="22" t="s">
        <v>557</v>
      </c>
      <c r="D226" s="12" t="s">
        <v>551</v>
      </c>
      <c r="E226" s="13" t="str">
        <f t="array" ref="E226">INDEX(Turmas!C2:C106,MATCH(D226,Turmas!A2:A106,0))</f>
        <v>Noite</v>
      </c>
      <c r="F226" s="14">
        <v>0.0</v>
      </c>
      <c r="G226" s="15">
        <v>2.0</v>
      </c>
      <c r="H226" s="15">
        <v>0.0</v>
      </c>
      <c r="I226" s="16" t="str">
        <f t="shared" si="1"/>
        <v>1-12</v>
      </c>
      <c r="J226" s="16" t="str">
        <f t="shared" si="2"/>
        <v>1-12</v>
      </c>
      <c r="K226" s="16" t="str">
        <f t="shared" si="3"/>
        <v>1-12</v>
      </c>
      <c r="L226" s="16" t="str">
        <f t="shared" si="4"/>
        <v>1-12</v>
      </c>
      <c r="M226" s="16" t="str">
        <f t="shared" si="5"/>
        <v>1-12</v>
      </c>
      <c r="N226" s="16" t="str">
        <f t="shared" si="6"/>
        <v>0</v>
      </c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9" t="s">
        <v>558</v>
      </c>
      <c r="B227" s="10" t="s">
        <v>559</v>
      </c>
      <c r="C227" s="11" t="s">
        <v>371</v>
      </c>
      <c r="D227" s="12" t="s">
        <v>551</v>
      </c>
      <c r="E227" s="13" t="str">
        <f t="array" ref="E227">INDEX(Turmas!C2:C106,MATCH(D227,Turmas!A2:A106,0))</f>
        <v>Noite</v>
      </c>
      <c r="F227" s="14">
        <v>0.0</v>
      </c>
      <c r="G227" s="15">
        <v>4.0</v>
      </c>
      <c r="H227" s="15">
        <v>0.0</v>
      </c>
      <c r="I227" s="16" t="str">
        <f t="shared" si="1"/>
        <v>1-12</v>
      </c>
      <c r="J227" s="16" t="str">
        <f t="shared" si="2"/>
        <v>1-12</v>
      </c>
      <c r="K227" s="16" t="str">
        <f t="shared" si="3"/>
        <v>1-12</v>
      </c>
      <c r="L227" s="16" t="str">
        <f t="shared" si="4"/>
        <v>1-12</v>
      </c>
      <c r="M227" s="16" t="str">
        <f t="shared" si="5"/>
        <v>1-12</v>
      </c>
      <c r="N227" s="16" t="str">
        <f t="shared" si="6"/>
        <v>0</v>
      </c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9" t="s">
        <v>560</v>
      </c>
      <c r="B228" s="10" t="s">
        <v>212</v>
      </c>
      <c r="C228" s="11" t="s">
        <v>68</v>
      </c>
      <c r="D228" s="12" t="s">
        <v>551</v>
      </c>
      <c r="E228" s="13" t="str">
        <f t="array" ref="E228">INDEX(Turmas!C2:C106,MATCH(D228,Turmas!A2:A106,0))</f>
        <v>Noite</v>
      </c>
      <c r="F228" s="14">
        <v>0.0</v>
      </c>
      <c r="G228" s="15">
        <v>4.0</v>
      </c>
      <c r="H228" s="15">
        <v>0.0</v>
      </c>
      <c r="I228" s="16" t="str">
        <f t="shared" si="1"/>
        <v>1-12</v>
      </c>
      <c r="J228" s="16" t="str">
        <f t="shared" si="2"/>
        <v>1-12</v>
      </c>
      <c r="K228" s="16" t="str">
        <f t="shared" si="3"/>
        <v>1-12</v>
      </c>
      <c r="L228" s="16" t="str">
        <f t="shared" si="4"/>
        <v>1-12</v>
      </c>
      <c r="M228" s="16" t="str">
        <f t="shared" si="5"/>
        <v>1-12</v>
      </c>
      <c r="N228" s="16" t="str">
        <f t="shared" si="6"/>
        <v>0</v>
      </c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9" t="s">
        <v>561</v>
      </c>
      <c r="B229" s="10" t="s">
        <v>562</v>
      </c>
      <c r="C229" s="11" t="s">
        <v>522</v>
      </c>
      <c r="D229" s="12" t="s">
        <v>563</v>
      </c>
      <c r="E229" s="13" t="str">
        <f t="array" ref="E229">INDEX(Turmas!C2:C106,MATCH(D229,Turmas!A2:A106,0))</f>
        <v>Noite</v>
      </c>
      <c r="F229" s="14">
        <v>0.0</v>
      </c>
      <c r="G229" s="15">
        <v>2.0</v>
      </c>
      <c r="H229" s="15">
        <v>0.0</v>
      </c>
      <c r="I229" s="16" t="str">
        <f t="shared" si="1"/>
        <v>1-12</v>
      </c>
      <c r="J229" s="16" t="str">
        <f t="shared" si="2"/>
        <v>1-12</v>
      </c>
      <c r="K229" s="16" t="str">
        <f t="shared" si="3"/>
        <v>1-12</v>
      </c>
      <c r="L229" s="16" t="str">
        <f t="shared" si="4"/>
        <v>1-12</v>
      </c>
      <c r="M229" s="16" t="str">
        <f t="shared" si="5"/>
        <v>1-12</v>
      </c>
      <c r="N229" s="16" t="str">
        <f t="shared" si="6"/>
        <v>0</v>
      </c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9" t="s">
        <v>564</v>
      </c>
      <c r="B230" s="10" t="s">
        <v>565</v>
      </c>
      <c r="C230" s="11" t="s">
        <v>510</v>
      </c>
      <c r="D230" s="12" t="s">
        <v>563</v>
      </c>
      <c r="E230" s="13" t="str">
        <f t="array" ref="E230">INDEX(Turmas!C2:C106,MATCH(D230,Turmas!A2:A106,0))</f>
        <v>Noite</v>
      </c>
      <c r="F230" s="14">
        <v>0.0</v>
      </c>
      <c r="G230" s="15">
        <v>4.0</v>
      </c>
      <c r="H230" s="15">
        <v>0.0</v>
      </c>
      <c r="I230" s="16" t="str">
        <f t="shared" si="1"/>
        <v>1-12</v>
      </c>
      <c r="J230" s="16" t="str">
        <f t="shared" si="2"/>
        <v>1-12</v>
      </c>
      <c r="K230" s="16" t="str">
        <f t="shared" si="3"/>
        <v>1-12</v>
      </c>
      <c r="L230" s="16" t="str">
        <f t="shared" si="4"/>
        <v>1-12</v>
      </c>
      <c r="M230" s="16" t="str">
        <f t="shared" si="5"/>
        <v>1-12</v>
      </c>
      <c r="N230" s="16" t="str">
        <f t="shared" si="6"/>
        <v>0</v>
      </c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9" t="s">
        <v>566</v>
      </c>
      <c r="B231" s="10" t="s">
        <v>269</v>
      </c>
      <c r="C231" s="11" t="s">
        <v>567</v>
      </c>
      <c r="D231" s="12" t="s">
        <v>563</v>
      </c>
      <c r="E231" s="13" t="str">
        <f t="array" ref="E231">INDEX(Turmas!C2:C106,MATCH(D231,Turmas!A2:A106,0))</f>
        <v>Noite</v>
      </c>
      <c r="F231" s="14">
        <v>0.0</v>
      </c>
      <c r="G231" s="15">
        <v>4.0</v>
      </c>
      <c r="H231" s="15">
        <v>0.0</v>
      </c>
      <c r="I231" s="16" t="str">
        <f t="shared" si="1"/>
        <v>1-12</v>
      </c>
      <c r="J231" s="16" t="str">
        <f t="shared" si="2"/>
        <v>1-12</v>
      </c>
      <c r="K231" s="16" t="str">
        <f t="shared" si="3"/>
        <v>1-12</v>
      </c>
      <c r="L231" s="16" t="str">
        <f t="shared" si="4"/>
        <v>1-12</v>
      </c>
      <c r="M231" s="16" t="str">
        <f t="shared" si="5"/>
        <v>1-12</v>
      </c>
      <c r="N231" s="16" t="str">
        <f t="shared" si="6"/>
        <v>0</v>
      </c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9" t="s">
        <v>568</v>
      </c>
      <c r="B232" s="10" t="s">
        <v>569</v>
      </c>
      <c r="C232" s="11" t="s">
        <v>570</v>
      </c>
      <c r="D232" s="12" t="s">
        <v>563</v>
      </c>
      <c r="E232" s="13" t="str">
        <f t="array" ref="E232">INDEX(Turmas!C2:C106,MATCH(D232,Turmas!A2:A106,0))</f>
        <v>Noite</v>
      </c>
      <c r="F232" s="14">
        <v>0.0</v>
      </c>
      <c r="G232" s="15">
        <v>4.0</v>
      </c>
      <c r="H232" s="15">
        <v>0.0</v>
      </c>
      <c r="I232" s="16" t="str">
        <f t="shared" si="1"/>
        <v>1-12</v>
      </c>
      <c r="J232" s="16" t="str">
        <f t="shared" si="2"/>
        <v>1-12</v>
      </c>
      <c r="K232" s="16" t="str">
        <f t="shared" si="3"/>
        <v>1-12</v>
      </c>
      <c r="L232" s="16" t="str">
        <f t="shared" si="4"/>
        <v>1-12</v>
      </c>
      <c r="M232" s="16" t="str">
        <f t="shared" si="5"/>
        <v>1-12</v>
      </c>
      <c r="N232" s="16" t="str">
        <f t="shared" si="6"/>
        <v>0</v>
      </c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9" t="s">
        <v>571</v>
      </c>
      <c r="B233" s="10" t="s">
        <v>572</v>
      </c>
      <c r="C233" s="11" t="s">
        <v>570</v>
      </c>
      <c r="D233" s="12" t="s">
        <v>563</v>
      </c>
      <c r="E233" s="13" t="str">
        <f t="array" ref="E233">INDEX(Turmas!C2:C106,MATCH(D233,Turmas!A2:A106,0))</f>
        <v>Noite</v>
      </c>
      <c r="F233" s="14">
        <v>0.0</v>
      </c>
      <c r="G233" s="15">
        <v>2.0</v>
      </c>
      <c r="H233" s="15">
        <v>0.0</v>
      </c>
      <c r="I233" s="16" t="str">
        <f t="shared" si="1"/>
        <v>1-12</v>
      </c>
      <c r="J233" s="16" t="str">
        <f t="shared" si="2"/>
        <v>1-12</v>
      </c>
      <c r="K233" s="16" t="str">
        <f t="shared" si="3"/>
        <v>1-12</v>
      </c>
      <c r="L233" s="16" t="str">
        <f t="shared" si="4"/>
        <v>1-12</v>
      </c>
      <c r="M233" s="16" t="str">
        <f t="shared" si="5"/>
        <v>1-12</v>
      </c>
      <c r="N233" s="16" t="str">
        <f t="shared" si="6"/>
        <v>0</v>
      </c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9" t="s">
        <v>573</v>
      </c>
      <c r="B234" s="10" t="s">
        <v>574</v>
      </c>
      <c r="C234" s="11" t="s">
        <v>575</v>
      </c>
      <c r="D234" s="12" t="s">
        <v>576</v>
      </c>
      <c r="E234" s="13" t="str">
        <f t="array" ref="E234">INDEX(Turmas!C2:C106,MATCH(D234,Turmas!A2:A106,0))</f>
        <v>Tarde</v>
      </c>
      <c r="F234" s="14">
        <v>0.0</v>
      </c>
      <c r="G234" s="15">
        <v>4.0</v>
      </c>
      <c r="H234" s="15">
        <v>0.0</v>
      </c>
      <c r="I234" s="16" t="str">
        <f t="shared" si="1"/>
        <v>1-6,13-16</v>
      </c>
      <c r="J234" s="16" t="str">
        <f t="shared" si="2"/>
        <v>1-6,13-16</v>
      </c>
      <c r="K234" s="16" t="str">
        <f t="shared" si="3"/>
        <v>1-6,13-16</v>
      </c>
      <c r="L234" s="16" t="str">
        <f t="shared" si="4"/>
        <v>1-6,13-16</v>
      </c>
      <c r="M234" s="16" t="str">
        <f t="shared" si="5"/>
        <v>1-6,13-16</v>
      </c>
      <c r="N234" s="16" t="str">
        <f t="shared" si="6"/>
        <v>1-16</v>
      </c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9" t="s">
        <v>577</v>
      </c>
      <c r="B235" s="10" t="s">
        <v>578</v>
      </c>
      <c r="C235" s="11" t="s">
        <v>579</v>
      </c>
      <c r="D235" s="12" t="s">
        <v>576</v>
      </c>
      <c r="E235" s="13" t="str">
        <f t="array" ref="E235">INDEX(Turmas!C2:C106,MATCH(D235,Turmas!A2:A106,0))</f>
        <v>Tarde</v>
      </c>
      <c r="F235" s="14">
        <v>0.0</v>
      </c>
      <c r="G235" s="15">
        <v>3.0</v>
      </c>
      <c r="H235" s="15">
        <v>0.0</v>
      </c>
      <c r="I235" s="16" t="str">
        <f t="shared" si="1"/>
        <v>1-6,13-16</v>
      </c>
      <c r="J235" s="16" t="str">
        <f t="shared" si="2"/>
        <v>1-6,13-16</v>
      </c>
      <c r="K235" s="16" t="str">
        <f t="shared" si="3"/>
        <v>1-6,13-16</v>
      </c>
      <c r="L235" s="16" t="str">
        <f t="shared" si="4"/>
        <v>1-6,13-16</v>
      </c>
      <c r="M235" s="16" t="str">
        <f t="shared" si="5"/>
        <v>1-6,13-16</v>
      </c>
      <c r="N235" s="16" t="str">
        <f t="shared" si="6"/>
        <v>1-16</v>
      </c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9" t="s">
        <v>580</v>
      </c>
      <c r="B236" s="10" t="s">
        <v>581</v>
      </c>
      <c r="C236" s="11" t="s">
        <v>582</v>
      </c>
      <c r="D236" s="12" t="s">
        <v>576</v>
      </c>
      <c r="E236" s="13" t="str">
        <f t="array" ref="E236">INDEX(Turmas!C2:C106,MATCH(D236,Turmas!A2:A106,0))</f>
        <v>Tarde</v>
      </c>
      <c r="F236" s="14">
        <v>0.0</v>
      </c>
      <c r="G236" s="15">
        <v>3.0</v>
      </c>
      <c r="H236" s="15">
        <v>0.0</v>
      </c>
      <c r="I236" s="16" t="str">
        <f t="shared" si="1"/>
        <v>1-6,13-16</v>
      </c>
      <c r="J236" s="16" t="str">
        <f t="shared" si="2"/>
        <v>1-6,13-16</v>
      </c>
      <c r="K236" s="16" t="str">
        <f t="shared" si="3"/>
        <v>1-6,13-16</v>
      </c>
      <c r="L236" s="16" t="str">
        <f t="shared" si="4"/>
        <v>1-6,13-16</v>
      </c>
      <c r="M236" s="16" t="str">
        <f t="shared" si="5"/>
        <v>1-6,13-16</v>
      </c>
      <c r="N236" s="16" t="str">
        <f t="shared" si="6"/>
        <v>1-16</v>
      </c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9" t="s">
        <v>583</v>
      </c>
      <c r="B237" s="10" t="s">
        <v>584</v>
      </c>
      <c r="C237" s="11" t="s">
        <v>585</v>
      </c>
      <c r="D237" s="12" t="s">
        <v>576</v>
      </c>
      <c r="E237" s="13" t="str">
        <f t="array" ref="E237">INDEX(Turmas!C2:C106,MATCH(D237,Turmas!A2:A106,0))</f>
        <v>Tarde</v>
      </c>
      <c r="F237" s="14">
        <v>0.0</v>
      </c>
      <c r="G237" s="15">
        <v>3.0</v>
      </c>
      <c r="H237" s="15">
        <v>0.0</v>
      </c>
      <c r="I237" s="16" t="str">
        <f t="shared" si="1"/>
        <v>1-6,13-16</v>
      </c>
      <c r="J237" s="16" t="str">
        <f t="shared" si="2"/>
        <v>1-6,13-16</v>
      </c>
      <c r="K237" s="16" t="str">
        <f t="shared" si="3"/>
        <v>1-6,13-16</v>
      </c>
      <c r="L237" s="16" t="str">
        <f t="shared" si="4"/>
        <v>1-6,13-16</v>
      </c>
      <c r="M237" s="16" t="str">
        <f t="shared" si="5"/>
        <v>1-6,13-16</v>
      </c>
      <c r="N237" s="16" t="str">
        <f t="shared" si="6"/>
        <v>1-16</v>
      </c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9" t="s">
        <v>586</v>
      </c>
      <c r="B238" s="10" t="s">
        <v>587</v>
      </c>
      <c r="C238" s="11" t="s">
        <v>575</v>
      </c>
      <c r="D238" s="12" t="s">
        <v>576</v>
      </c>
      <c r="E238" s="13" t="str">
        <f t="array" ref="E238">INDEX(Turmas!C2:C106,MATCH(D238,Turmas!A2:A106,0))</f>
        <v>Tarde</v>
      </c>
      <c r="F238" s="14">
        <v>0.0</v>
      </c>
      <c r="G238" s="15">
        <v>4.0</v>
      </c>
      <c r="H238" s="15">
        <v>0.0</v>
      </c>
      <c r="I238" s="16" t="str">
        <f t="shared" si="1"/>
        <v>1-6,13-16</v>
      </c>
      <c r="J238" s="16" t="str">
        <f t="shared" si="2"/>
        <v>1-6,13-16</v>
      </c>
      <c r="K238" s="16" t="str">
        <f t="shared" si="3"/>
        <v>1-6,13-16</v>
      </c>
      <c r="L238" s="16" t="str">
        <f t="shared" si="4"/>
        <v>1-6,13-16</v>
      </c>
      <c r="M238" s="16" t="str">
        <f t="shared" si="5"/>
        <v>1-6,13-16</v>
      </c>
      <c r="N238" s="16" t="str">
        <f t="shared" si="6"/>
        <v>1-16</v>
      </c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9" t="s">
        <v>588</v>
      </c>
      <c r="B239" s="10" t="s">
        <v>589</v>
      </c>
      <c r="C239" s="11" t="s">
        <v>590</v>
      </c>
      <c r="D239" s="12" t="s">
        <v>591</v>
      </c>
      <c r="E239" s="13" t="str">
        <f t="array" ref="E239">INDEX(Turmas!C2:C106,MATCH(D239,Turmas!A2:A106,0))</f>
        <v>Manhã</v>
      </c>
      <c r="F239" s="14">
        <v>0.0</v>
      </c>
      <c r="G239" s="15">
        <v>3.0</v>
      </c>
      <c r="H239" s="15">
        <v>0.0</v>
      </c>
      <c r="I239" s="16" t="str">
        <f t="shared" si="1"/>
        <v>7-16</v>
      </c>
      <c r="J239" s="16" t="str">
        <f t="shared" si="2"/>
        <v>7-16</v>
      </c>
      <c r="K239" s="16" t="str">
        <f t="shared" si="3"/>
        <v>7-16</v>
      </c>
      <c r="L239" s="16" t="str">
        <f t="shared" si="4"/>
        <v>7-16</v>
      </c>
      <c r="M239" s="16" t="str">
        <f t="shared" si="5"/>
        <v>7-16</v>
      </c>
      <c r="N239" s="16" t="str">
        <f t="shared" si="6"/>
        <v>1-16</v>
      </c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9" t="s">
        <v>592</v>
      </c>
      <c r="B240" s="10" t="s">
        <v>212</v>
      </c>
      <c r="C240" s="11" t="s">
        <v>68</v>
      </c>
      <c r="D240" s="12" t="s">
        <v>591</v>
      </c>
      <c r="E240" s="13" t="str">
        <f t="array" ref="E240">INDEX(Turmas!C2:C106,MATCH(D240,Turmas!A2:A106,0))</f>
        <v>Manhã</v>
      </c>
      <c r="F240" s="14">
        <v>0.0</v>
      </c>
      <c r="G240" s="15">
        <v>3.0</v>
      </c>
      <c r="H240" s="15">
        <v>0.0</v>
      </c>
      <c r="I240" s="16" t="str">
        <f t="shared" si="1"/>
        <v>7-16</v>
      </c>
      <c r="J240" s="16" t="str">
        <f t="shared" si="2"/>
        <v>7-16</v>
      </c>
      <c r="K240" s="16" t="str">
        <f t="shared" si="3"/>
        <v>7-16</v>
      </c>
      <c r="L240" s="16" t="str">
        <f t="shared" si="4"/>
        <v>7-16</v>
      </c>
      <c r="M240" s="16" t="str">
        <f t="shared" si="5"/>
        <v>7-16</v>
      </c>
      <c r="N240" s="16" t="str">
        <f t="shared" si="6"/>
        <v>1-16</v>
      </c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9" t="s">
        <v>593</v>
      </c>
      <c r="B241" s="10" t="s">
        <v>594</v>
      </c>
      <c r="C241" s="11" t="s">
        <v>595</v>
      </c>
      <c r="D241" s="12" t="s">
        <v>591</v>
      </c>
      <c r="E241" s="13" t="str">
        <f t="array" ref="E241">INDEX(Turmas!C2:C106,MATCH(D241,Turmas!A2:A106,0))</f>
        <v>Manhã</v>
      </c>
      <c r="F241" s="14">
        <v>0.0</v>
      </c>
      <c r="G241" s="15">
        <v>3.0</v>
      </c>
      <c r="H241" s="15">
        <v>0.0</v>
      </c>
      <c r="I241" s="16" t="str">
        <f t="shared" si="1"/>
        <v>7-16</v>
      </c>
      <c r="J241" s="16" t="str">
        <f t="shared" si="2"/>
        <v>7-16</v>
      </c>
      <c r="K241" s="16" t="str">
        <f t="shared" si="3"/>
        <v>7-16</v>
      </c>
      <c r="L241" s="16" t="str">
        <f t="shared" si="4"/>
        <v>7-16</v>
      </c>
      <c r="M241" s="16" t="str">
        <f t="shared" si="5"/>
        <v>7-16</v>
      </c>
      <c r="N241" s="16" t="str">
        <f t="shared" si="6"/>
        <v>1-16</v>
      </c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9" t="s">
        <v>596</v>
      </c>
      <c r="B242" s="10" t="s">
        <v>597</v>
      </c>
      <c r="C242" s="11" t="s">
        <v>598</v>
      </c>
      <c r="D242" s="12" t="s">
        <v>591</v>
      </c>
      <c r="E242" s="13" t="str">
        <f t="array" ref="E242">INDEX(Turmas!C2:C106,MATCH(D242,Turmas!A2:A106,0))</f>
        <v>Manhã</v>
      </c>
      <c r="F242" s="14">
        <v>0.0</v>
      </c>
      <c r="G242" s="15">
        <v>4.0</v>
      </c>
      <c r="H242" s="15">
        <v>0.0</v>
      </c>
      <c r="I242" s="16" t="str">
        <f t="shared" si="1"/>
        <v>7-16</v>
      </c>
      <c r="J242" s="16" t="str">
        <f t="shared" si="2"/>
        <v>7-16</v>
      </c>
      <c r="K242" s="16" t="str">
        <f t="shared" si="3"/>
        <v>7-16</v>
      </c>
      <c r="L242" s="16" t="str">
        <f t="shared" si="4"/>
        <v>7-16</v>
      </c>
      <c r="M242" s="16" t="str">
        <f t="shared" si="5"/>
        <v>7-16</v>
      </c>
      <c r="N242" s="16" t="str">
        <f t="shared" si="6"/>
        <v>1-16</v>
      </c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9" t="s">
        <v>599</v>
      </c>
      <c r="B243" s="10" t="s">
        <v>600</v>
      </c>
      <c r="C243" s="11" t="s">
        <v>601</v>
      </c>
      <c r="D243" s="12" t="s">
        <v>591</v>
      </c>
      <c r="E243" s="13" t="str">
        <f t="array" ref="E243">INDEX(Turmas!C2:C106,MATCH(D243,Turmas!A2:A106,0))</f>
        <v>Manhã</v>
      </c>
      <c r="F243" s="14">
        <v>0.0</v>
      </c>
      <c r="G243" s="15">
        <v>2.0</v>
      </c>
      <c r="H243" s="15">
        <v>0.0</v>
      </c>
      <c r="I243" s="16" t="str">
        <f t="shared" si="1"/>
        <v>7-16</v>
      </c>
      <c r="J243" s="16" t="str">
        <f t="shared" si="2"/>
        <v>7-16</v>
      </c>
      <c r="K243" s="16" t="str">
        <f t="shared" si="3"/>
        <v>7-16</v>
      </c>
      <c r="L243" s="16" t="str">
        <f t="shared" si="4"/>
        <v>7-16</v>
      </c>
      <c r="M243" s="16" t="str">
        <f t="shared" si="5"/>
        <v>7-16</v>
      </c>
      <c r="N243" s="16" t="str">
        <f t="shared" si="6"/>
        <v>1-16</v>
      </c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9" t="s">
        <v>602</v>
      </c>
      <c r="B244" s="10" t="s">
        <v>603</v>
      </c>
      <c r="C244" s="11" t="s">
        <v>604</v>
      </c>
      <c r="D244" s="12" t="s">
        <v>591</v>
      </c>
      <c r="E244" s="13" t="str">
        <f t="array" ref="E244">INDEX(Turmas!C2:C106,MATCH(D244,Turmas!A2:A106,0))</f>
        <v>Manhã</v>
      </c>
      <c r="F244" s="14">
        <v>0.0</v>
      </c>
      <c r="G244" s="15">
        <v>3.0</v>
      </c>
      <c r="H244" s="15">
        <v>0.0</v>
      </c>
      <c r="I244" s="16" t="str">
        <f t="shared" si="1"/>
        <v>7-16</v>
      </c>
      <c r="J244" s="16" t="str">
        <f t="shared" si="2"/>
        <v>7-16</v>
      </c>
      <c r="K244" s="16" t="str">
        <f t="shared" si="3"/>
        <v>7-16</v>
      </c>
      <c r="L244" s="16" t="str">
        <f t="shared" si="4"/>
        <v>7-16</v>
      </c>
      <c r="M244" s="16" t="str">
        <f t="shared" si="5"/>
        <v>7-16</v>
      </c>
      <c r="N244" s="16" t="str">
        <f t="shared" si="6"/>
        <v>1-16</v>
      </c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9" t="s">
        <v>605</v>
      </c>
      <c r="B245" s="10" t="s">
        <v>606</v>
      </c>
      <c r="C245" s="11" t="s">
        <v>585</v>
      </c>
      <c r="D245" s="12" t="s">
        <v>607</v>
      </c>
      <c r="E245" s="13" t="str">
        <f t="array" ref="E245">INDEX(Turmas!C2:C106,MATCH(D245,Turmas!A2:A106,0))</f>
        <v>Tarde</v>
      </c>
      <c r="F245" s="14">
        <v>0.0</v>
      </c>
      <c r="G245" s="15">
        <v>3.0</v>
      </c>
      <c r="H245" s="15">
        <v>0.0</v>
      </c>
      <c r="I245" s="16" t="str">
        <f t="shared" si="1"/>
        <v>1-6,13-16</v>
      </c>
      <c r="J245" s="16" t="str">
        <f t="shared" si="2"/>
        <v>1-6,13-16</v>
      </c>
      <c r="K245" s="16" t="str">
        <f t="shared" si="3"/>
        <v>1-6,13-16</v>
      </c>
      <c r="L245" s="16" t="str">
        <f t="shared" si="4"/>
        <v>1-6,13-16</v>
      </c>
      <c r="M245" s="16" t="str">
        <f t="shared" si="5"/>
        <v>1-6,13-16</v>
      </c>
      <c r="N245" s="16" t="str">
        <f t="shared" si="6"/>
        <v>1-16</v>
      </c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9" t="s">
        <v>608</v>
      </c>
      <c r="B246" s="10" t="s">
        <v>609</v>
      </c>
      <c r="C246" s="11" t="s">
        <v>604</v>
      </c>
      <c r="D246" s="12" t="s">
        <v>607</v>
      </c>
      <c r="E246" s="13" t="str">
        <f t="array" ref="E246">INDEX(Turmas!C2:C106,MATCH(D246,Turmas!A2:A106,0))</f>
        <v>Tarde</v>
      </c>
      <c r="F246" s="14">
        <v>0.0</v>
      </c>
      <c r="G246" s="15">
        <v>3.0</v>
      </c>
      <c r="H246" s="15">
        <v>0.0</v>
      </c>
      <c r="I246" s="16" t="str">
        <f t="shared" si="1"/>
        <v>1-6,13-16</v>
      </c>
      <c r="J246" s="16" t="str">
        <f t="shared" si="2"/>
        <v>1-6,13-16</v>
      </c>
      <c r="K246" s="16" t="str">
        <f t="shared" si="3"/>
        <v>1-6,13-16</v>
      </c>
      <c r="L246" s="16" t="str">
        <f t="shared" si="4"/>
        <v>1-6,13-16</v>
      </c>
      <c r="M246" s="16" t="str">
        <f t="shared" si="5"/>
        <v>1-6,13-16</v>
      </c>
      <c r="N246" s="16" t="str">
        <f t="shared" si="6"/>
        <v>1-16</v>
      </c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9" t="s">
        <v>610</v>
      </c>
      <c r="B247" s="10" t="s">
        <v>611</v>
      </c>
      <c r="C247" s="11" t="s">
        <v>595</v>
      </c>
      <c r="D247" s="23" t="s">
        <v>607</v>
      </c>
      <c r="E247" s="13" t="str">
        <f t="array" ref="E247">INDEX(Turmas!C2:C106,MATCH(D247,Turmas!A2:A106,0))</f>
        <v>Tarde</v>
      </c>
      <c r="F247" s="14">
        <v>0.0</v>
      </c>
      <c r="G247" s="15">
        <v>3.0</v>
      </c>
      <c r="H247" s="15">
        <v>0.0</v>
      </c>
      <c r="I247" s="16" t="str">
        <f t="shared" si="1"/>
        <v>1-6,13-16</v>
      </c>
      <c r="J247" s="16" t="str">
        <f t="shared" si="2"/>
        <v>1-6,13-16</v>
      </c>
      <c r="K247" s="16" t="str">
        <f t="shared" si="3"/>
        <v>1-6,13-16</v>
      </c>
      <c r="L247" s="16" t="str">
        <f t="shared" si="4"/>
        <v>1-6,13-16</v>
      </c>
      <c r="M247" s="16" t="str">
        <f t="shared" si="5"/>
        <v>1-6,13-16</v>
      </c>
      <c r="N247" s="16" t="str">
        <f t="shared" si="6"/>
        <v>1-16</v>
      </c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9" t="s">
        <v>612</v>
      </c>
      <c r="B248" s="10" t="s">
        <v>613</v>
      </c>
      <c r="C248" s="11" t="s">
        <v>614</v>
      </c>
      <c r="D248" s="23" t="s">
        <v>607</v>
      </c>
      <c r="E248" s="13" t="str">
        <f t="array" ref="E248">INDEX(Turmas!C2:C106,MATCH(D248,Turmas!A2:A106,0))</f>
        <v>Tarde</v>
      </c>
      <c r="F248" s="14">
        <v>0.0</v>
      </c>
      <c r="G248" s="15">
        <v>3.0</v>
      </c>
      <c r="H248" s="15">
        <v>0.0</v>
      </c>
      <c r="I248" s="16" t="str">
        <f t="shared" si="1"/>
        <v>1-6,13-16</v>
      </c>
      <c r="J248" s="16" t="str">
        <f t="shared" si="2"/>
        <v>1-6,13-16</v>
      </c>
      <c r="K248" s="16" t="str">
        <f t="shared" si="3"/>
        <v>1-6,13-16</v>
      </c>
      <c r="L248" s="16" t="str">
        <f t="shared" si="4"/>
        <v>1-6,13-16</v>
      </c>
      <c r="M248" s="16" t="str">
        <f t="shared" si="5"/>
        <v>1-6,13-16</v>
      </c>
      <c r="N248" s="16" t="str">
        <f t="shared" si="6"/>
        <v>1-16</v>
      </c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9" t="s">
        <v>615</v>
      </c>
      <c r="B249" s="10" t="s">
        <v>616</v>
      </c>
      <c r="C249" s="11" t="s">
        <v>590</v>
      </c>
      <c r="D249" s="23" t="s">
        <v>607</v>
      </c>
      <c r="E249" s="13" t="str">
        <f t="array" ref="E249">INDEX(Turmas!C2:C106,MATCH(D249,Turmas!A2:A106,0))</f>
        <v>Tarde</v>
      </c>
      <c r="F249" s="14">
        <v>0.0</v>
      </c>
      <c r="G249" s="15">
        <v>4.0</v>
      </c>
      <c r="H249" s="15">
        <v>0.0</v>
      </c>
      <c r="I249" s="16" t="str">
        <f t="shared" si="1"/>
        <v>1-6,13-16</v>
      </c>
      <c r="J249" s="16" t="str">
        <f t="shared" si="2"/>
        <v>1-6,13-16</v>
      </c>
      <c r="K249" s="16" t="str">
        <f t="shared" si="3"/>
        <v>1-6,13-16</v>
      </c>
      <c r="L249" s="16" t="str">
        <f t="shared" si="4"/>
        <v>1-6,13-16</v>
      </c>
      <c r="M249" s="16" t="str">
        <f t="shared" si="5"/>
        <v>1-6,13-16</v>
      </c>
      <c r="N249" s="16" t="str">
        <f t="shared" si="6"/>
        <v>1-16</v>
      </c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9" t="s">
        <v>617</v>
      </c>
      <c r="B250" s="10" t="s">
        <v>618</v>
      </c>
      <c r="C250" s="11" t="s">
        <v>579</v>
      </c>
      <c r="D250" s="23" t="s">
        <v>607</v>
      </c>
      <c r="E250" s="13" t="str">
        <f t="array" ref="E250">INDEX(Turmas!C2:C106,MATCH(D250,Turmas!A2:A106,0))</f>
        <v>Tarde</v>
      </c>
      <c r="F250" s="14">
        <v>0.0</v>
      </c>
      <c r="G250" s="15">
        <v>4.0</v>
      </c>
      <c r="H250" s="15">
        <v>0.0</v>
      </c>
      <c r="I250" s="16" t="str">
        <f t="shared" si="1"/>
        <v>1-6,13-16</v>
      </c>
      <c r="J250" s="16" t="str">
        <f t="shared" si="2"/>
        <v>1-6,13-16</v>
      </c>
      <c r="K250" s="16" t="str">
        <f t="shared" si="3"/>
        <v>1-6,13-16</v>
      </c>
      <c r="L250" s="16" t="str">
        <f t="shared" si="4"/>
        <v>1-6,13-16</v>
      </c>
      <c r="M250" s="16" t="str">
        <f t="shared" si="5"/>
        <v>1-6,13-16</v>
      </c>
      <c r="N250" s="16" t="str">
        <f t="shared" si="6"/>
        <v>1-16</v>
      </c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9" t="s">
        <v>619</v>
      </c>
      <c r="B251" s="10" t="s">
        <v>620</v>
      </c>
      <c r="C251" s="11" t="s">
        <v>601</v>
      </c>
      <c r="D251" s="23" t="s">
        <v>621</v>
      </c>
      <c r="E251" s="13" t="str">
        <f t="array" ref="E251">INDEX(Turmas!C2:C106,MATCH(D251,Turmas!A2:A106,0))</f>
        <v>Manhã</v>
      </c>
      <c r="F251" s="14">
        <v>0.0</v>
      </c>
      <c r="G251" s="15">
        <v>3.0</v>
      </c>
      <c r="H251" s="15">
        <v>0.0</v>
      </c>
      <c r="I251" s="16" t="str">
        <f t="shared" si="1"/>
        <v>7-16</v>
      </c>
      <c r="J251" s="16" t="str">
        <f t="shared" si="2"/>
        <v>7-16</v>
      </c>
      <c r="K251" s="16" t="str">
        <f t="shared" si="3"/>
        <v>7-16</v>
      </c>
      <c r="L251" s="16" t="str">
        <f t="shared" si="4"/>
        <v>7-16</v>
      </c>
      <c r="M251" s="16" t="str">
        <f t="shared" si="5"/>
        <v>7-16</v>
      </c>
      <c r="N251" s="16" t="str">
        <f t="shared" si="6"/>
        <v>1-16</v>
      </c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9" t="s">
        <v>622</v>
      </c>
      <c r="B252" s="10" t="s">
        <v>623</v>
      </c>
      <c r="C252" s="11" t="s">
        <v>624</v>
      </c>
      <c r="D252" s="23" t="s">
        <v>621</v>
      </c>
      <c r="E252" s="13" t="str">
        <f t="array" ref="E252">INDEX(Turmas!C2:C106,MATCH(D252,Turmas!A2:A106,0))</f>
        <v>Manhã</v>
      </c>
      <c r="F252" s="14">
        <v>0.0</v>
      </c>
      <c r="G252" s="15">
        <v>3.0</v>
      </c>
      <c r="H252" s="15">
        <v>0.0</v>
      </c>
      <c r="I252" s="16" t="str">
        <f t="shared" si="1"/>
        <v>7-16</v>
      </c>
      <c r="J252" s="16" t="str">
        <f t="shared" si="2"/>
        <v>7-16</v>
      </c>
      <c r="K252" s="16" t="str">
        <f t="shared" si="3"/>
        <v>7-16</v>
      </c>
      <c r="L252" s="16" t="str">
        <f t="shared" si="4"/>
        <v>7-16</v>
      </c>
      <c r="M252" s="16" t="str">
        <f t="shared" si="5"/>
        <v>7-16</v>
      </c>
      <c r="N252" s="16" t="str">
        <f t="shared" si="6"/>
        <v>1-16</v>
      </c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9" t="s">
        <v>625</v>
      </c>
      <c r="B253" s="10" t="s">
        <v>626</v>
      </c>
      <c r="C253" s="11" t="s">
        <v>579</v>
      </c>
      <c r="D253" s="25" t="s">
        <v>621</v>
      </c>
      <c r="E253" s="13" t="str">
        <f t="array" ref="E253">INDEX(Turmas!C2:C106,MATCH(D253,Turmas!A2:A106,0))</f>
        <v>Manhã</v>
      </c>
      <c r="F253" s="14">
        <v>0.0</v>
      </c>
      <c r="G253" s="15">
        <v>4.0</v>
      </c>
      <c r="H253" s="15">
        <v>0.0</v>
      </c>
      <c r="I253" s="16" t="str">
        <f t="shared" si="1"/>
        <v>7-16</v>
      </c>
      <c r="J253" s="16" t="str">
        <f t="shared" si="2"/>
        <v>7-16</v>
      </c>
      <c r="K253" s="16" t="str">
        <f t="shared" si="3"/>
        <v>7-16</v>
      </c>
      <c r="L253" s="16" t="str">
        <f t="shared" si="4"/>
        <v>7-16</v>
      </c>
      <c r="M253" s="16" t="str">
        <f t="shared" si="5"/>
        <v>7-16</v>
      </c>
      <c r="N253" s="16" t="str">
        <f t="shared" si="6"/>
        <v>1-16</v>
      </c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9" t="s">
        <v>627</v>
      </c>
      <c r="B254" s="10" t="s">
        <v>628</v>
      </c>
      <c r="C254" s="11" t="s">
        <v>585</v>
      </c>
      <c r="D254" s="25" t="s">
        <v>621</v>
      </c>
      <c r="E254" s="13" t="str">
        <f t="array" ref="E254">INDEX(Turmas!C2:C106,MATCH(D254,Turmas!A2:A106,0))</f>
        <v>Manhã</v>
      </c>
      <c r="F254" s="14">
        <v>0.0</v>
      </c>
      <c r="G254" s="15">
        <v>3.0</v>
      </c>
      <c r="H254" s="15">
        <v>0.0</v>
      </c>
      <c r="I254" s="16" t="str">
        <f t="shared" si="1"/>
        <v>7-16</v>
      </c>
      <c r="J254" s="16" t="str">
        <f t="shared" si="2"/>
        <v>7-16</v>
      </c>
      <c r="K254" s="16" t="str">
        <f t="shared" si="3"/>
        <v>7-16</v>
      </c>
      <c r="L254" s="16" t="str">
        <f t="shared" si="4"/>
        <v>7-16</v>
      </c>
      <c r="M254" s="16" t="str">
        <f t="shared" si="5"/>
        <v>7-16</v>
      </c>
      <c r="N254" s="16" t="str">
        <f t="shared" si="6"/>
        <v>1-16</v>
      </c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9" t="s">
        <v>629</v>
      </c>
      <c r="B255" s="10" t="s">
        <v>630</v>
      </c>
      <c r="C255" s="11" t="s">
        <v>614</v>
      </c>
      <c r="D255" s="25" t="s">
        <v>621</v>
      </c>
      <c r="E255" s="13" t="str">
        <f t="array" ref="E255">INDEX(Turmas!C2:C106,MATCH(D255,Turmas!A2:A106,0))</f>
        <v>Manhã</v>
      </c>
      <c r="F255" s="14">
        <v>0.0</v>
      </c>
      <c r="G255" s="15">
        <v>3.0</v>
      </c>
      <c r="H255" s="15">
        <v>0.0</v>
      </c>
      <c r="I255" s="16" t="str">
        <f t="shared" si="1"/>
        <v>7-16</v>
      </c>
      <c r="J255" s="16" t="str">
        <f t="shared" si="2"/>
        <v>7-16</v>
      </c>
      <c r="K255" s="16" t="str">
        <f t="shared" si="3"/>
        <v>7-16</v>
      </c>
      <c r="L255" s="16" t="str">
        <f t="shared" si="4"/>
        <v>7-16</v>
      </c>
      <c r="M255" s="16" t="str">
        <f t="shared" si="5"/>
        <v>7-16</v>
      </c>
      <c r="N255" s="16" t="str">
        <f t="shared" si="6"/>
        <v>1-16</v>
      </c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9" t="s">
        <v>631</v>
      </c>
      <c r="B256" s="10" t="s">
        <v>195</v>
      </c>
      <c r="C256" s="11" t="s">
        <v>143</v>
      </c>
      <c r="D256" s="25" t="s">
        <v>632</v>
      </c>
      <c r="E256" s="13" t="str">
        <f t="array" ref="E256">INDEX(Turmas!C2:C106,MATCH(D256,Turmas!A2:A106,0))</f>
        <v>Tarde</v>
      </c>
      <c r="F256" s="14">
        <v>0.0</v>
      </c>
      <c r="G256" s="15">
        <v>3.0</v>
      </c>
      <c r="H256" s="15">
        <v>0.0</v>
      </c>
      <c r="I256" s="16" t="str">
        <f t="shared" si="1"/>
        <v>1-6,13-16</v>
      </c>
      <c r="J256" s="16" t="str">
        <f t="shared" si="2"/>
        <v>1-6,13-16</v>
      </c>
      <c r="K256" s="16" t="str">
        <f t="shared" si="3"/>
        <v>1-6,13-16</v>
      </c>
      <c r="L256" s="16" t="str">
        <f t="shared" si="4"/>
        <v>1-6,13-16</v>
      </c>
      <c r="M256" s="16" t="str">
        <f t="shared" si="5"/>
        <v>1-6,13-16</v>
      </c>
      <c r="N256" s="16" t="str">
        <f t="shared" si="6"/>
        <v>1-16</v>
      </c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9" t="s">
        <v>633</v>
      </c>
      <c r="B257" s="10" t="s">
        <v>197</v>
      </c>
      <c r="C257" s="11" t="s">
        <v>634</v>
      </c>
      <c r="D257" s="25" t="s">
        <v>632</v>
      </c>
      <c r="E257" s="13" t="str">
        <f t="array" ref="E257">INDEX(Turmas!C2:C106,MATCH(D257,Turmas!A2:A106,0))</f>
        <v>Tarde</v>
      </c>
      <c r="F257" s="14">
        <v>0.0</v>
      </c>
      <c r="G257" s="15">
        <v>3.0</v>
      </c>
      <c r="H257" s="15">
        <v>0.0</v>
      </c>
      <c r="I257" s="16" t="str">
        <f t="shared" si="1"/>
        <v>1-6,13-16</v>
      </c>
      <c r="J257" s="16" t="str">
        <f t="shared" si="2"/>
        <v>1-6,13-16</v>
      </c>
      <c r="K257" s="16" t="str">
        <f t="shared" si="3"/>
        <v>1-6,13-16</v>
      </c>
      <c r="L257" s="16" t="str">
        <f t="shared" si="4"/>
        <v>1-6,13-16</v>
      </c>
      <c r="M257" s="16" t="str">
        <f t="shared" si="5"/>
        <v>1-6,13-16</v>
      </c>
      <c r="N257" s="16" t="str">
        <f t="shared" si="6"/>
        <v>1-16</v>
      </c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9" t="s">
        <v>633</v>
      </c>
      <c r="B258" s="10" t="s">
        <v>197</v>
      </c>
      <c r="C258" s="11" t="s">
        <v>634</v>
      </c>
      <c r="D258" s="23" t="s">
        <v>632</v>
      </c>
      <c r="E258" s="13" t="str">
        <f t="array" ref="E258">INDEX(Turmas!C2:C106,MATCH(D258,Turmas!A2:A106,0))</f>
        <v>Tarde</v>
      </c>
      <c r="F258" s="14">
        <v>0.0</v>
      </c>
      <c r="G258" s="15">
        <v>4.0</v>
      </c>
      <c r="H258" s="15">
        <v>0.0</v>
      </c>
      <c r="I258" s="16" t="str">
        <f t="shared" si="1"/>
        <v>1-6,13-16</v>
      </c>
      <c r="J258" s="16" t="str">
        <f t="shared" si="2"/>
        <v>1-6,13-16</v>
      </c>
      <c r="K258" s="16" t="str">
        <f t="shared" si="3"/>
        <v>1-6,13-16</v>
      </c>
      <c r="L258" s="16" t="str">
        <f t="shared" si="4"/>
        <v>1-6,13-16</v>
      </c>
      <c r="M258" s="16" t="str">
        <f t="shared" si="5"/>
        <v>1-6,13-16</v>
      </c>
      <c r="N258" s="16" t="str">
        <f t="shared" si="6"/>
        <v>1-16</v>
      </c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9" t="s">
        <v>635</v>
      </c>
      <c r="B259" s="10" t="s">
        <v>636</v>
      </c>
      <c r="C259" s="11" t="s">
        <v>444</v>
      </c>
      <c r="D259" s="23" t="s">
        <v>632</v>
      </c>
      <c r="E259" s="13" t="str">
        <f t="array" ref="E259">INDEX(Turmas!C2:C106,MATCH(D259,Turmas!A2:A106,0))</f>
        <v>Tarde</v>
      </c>
      <c r="F259" s="14">
        <v>0.0</v>
      </c>
      <c r="G259" s="15">
        <v>5.0</v>
      </c>
      <c r="H259" s="15">
        <v>0.0</v>
      </c>
      <c r="I259" s="16" t="str">
        <f t="shared" si="1"/>
        <v>1-6,13-16</v>
      </c>
      <c r="J259" s="16" t="str">
        <f t="shared" si="2"/>
        <v>1-6,13-16</v>
      </c>
      <c r="K259" s="16" t="str">
        <f t="shared" si="3"/>
        <v>1-6,13-16</v>
      </c>
      <c r="L259" s="16" t="str">
        <f t="shared" si="4"/>
        <v>1-6,13-16</v>
      </c>
      <c r="M259" s="16" t="str">
        <f t="shared" si="5"/>
        <v>1-6,13-16</v>
      </c>
      <c r="N259" s="16" t="str">
        <f t="shared" si="6"/>
        <v>1-16</v>
      </c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9" t="s">
        <v>637</v>
      </c>
      <c r="B260" s="10" t="s">
        <v>638</v>
      </c>
      <c r="C260" s="11" t="s">
        <v>444</v>
      </c>
      <c r="D260" s="23" t="s">
        <v>632</v>
      </c>
      <c r="E260" s="13" t="str">
        <f t="array" ref="E260">INDEX(Turmas!C2:C106,MATCH(D260,Turmas!A2:A106,0))</f>
        <v>Tarde</v>
      </c>
      <c r="F260" s="14">
        <v>0.0</v>
      </c>
      <c r="G260" s="15">
        <v>2.0</v>
      </c>
      <c r="H260" s="15">
        <v>0.0</v>
      </c>
      <c r="I260" s="16" t="str">
        <f t="shared" si="1"/>
        <v>1-6,13-16</v>
      </c>
      <c r="J260" s="16" t="str">
        <f t="shared" si="2"/>
        <v>1-6,13-16</v>
      </c>
      <c r="K260" s="16" t="str">
        <f t="shared" si="3"/>
        <v>1-6,13-16</v>
      </c>
      <c r="L260" s="16" t="str">
        <f t="shared" si="4"/>
        <v>1-6,13-16</v>
      </c>
      <c r="M260" s="16" t="str">
        <f t="shared" si="5"/>
        <v>1-6,13-16</v>
      </c>
      <c r="N260" s="16" t="str">
        <f t="shared" si="6"/>
        <v>1-16</v>
      </c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9" t="s">
        <v>639</v>
      </c>
      <c r="B261" s="10" t="s">
        <v>640</v>
      </c>
      <c r="C261" s="11" t="s">
        <v>641</v>
      </c>
      <c r="D261" s="23" t="s">
        <v>632</v>
      </c>
      <c r="E261" s="13" t="str">
        <f t="array" ref="E261">INDEX(Turmas!C2:C106,MATCH(D261,Turmas!A2:A106,0))</f>
        <v>Tarde</v>
      </c>
      <c r="F261" s="14">
        <v>0.0</v>
      </c>
      <c r="G261" s="15">
        <v>3.0</v>
      </c>
      <c r="H261" s="15">
        <v>0.0</v>
      </c>
      <c r="I261" s="16" t="str">
        <f t="shared" si="1"/>
        <v>1-6,13-16</v>
      </c>
      <c r="J261" s="16" t="str">
        <f t="shared" si="2"/>
        <v>1-6,13-16</v>
      </c>
      <c r="K261" s="16" t="str">
        <f t="shared" si="3"/>
        <v>1-6,13-16</v>
      </c>
      <c r="L261" s="16" t="str">
        <f t="shared" si="4"/>
        <v>1-6,13-16</v>
      </c>
      <c r="M261" s="16" t="str">
        <f t="shared" si="5"/>
        <v>1-6,13-16</v>
      </c>
      <c r="N261" s="16" t="str">
        <f t="shared" si="6"/>
        <v>1-16</v>
      </c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9" t="s">
        <v>642</v>
      </c>
      <c r="B262" s="10" t="s">
        <v>643</v>
      </c>
      <c r="C262" s="22" t="s">
        <v>644</v>
      </c>
      <c r="D262" s="23" t="s">
        <v>632</v>
      </c>
      <c r="E262" s="13" t="str">
        <f t="array" ref="E262">INDEX(Turmas!C2:C106,MATCH(D262,Turmas!A2:A106,0))</f>
        <v>Tarde</v>
      </c>
      <c r="F262" s="14">
        <v>0.0</v>
      </c>
      <c r="G262" s="15">
        <v>2.0</v>
      </c>
      <c r="H262" s="15">
        <v>0.0</v>
      </c>
      <c r="I262" s="16" t="str">
        <f t="shared" si="1"/>
        <v>1-6,13-16</v>
      </c>
      <c r="J262" s="16" t="str">
        <f t="shared" si="2"/>
        <v>1-6,13-16</v>
      </c>
      <c r="K262" s="16" t="str">
        <f t="shared" si="3"/>
        <v>1-6,13-16</v>
      </c>
      <c r="L262" s="16" t="str">
        <f t="shared" si="4"/>
        <v>1-6,13-16</v>
      </c>
      <c r="M262" s="16" t="str">
        <f t="shared" si="5"/>
        <v>1-6,13-16</v>
      </c>
      <c r="N262" s="16" t="str">
        <f t="shared" si="6"/>
        <v>1-16</v>
      </c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9" t="s">
        <v>645</v>
      </c>
      <c r="B263" s="10" t="s">
        <v>209</v>
      </c>
      <c r="C263" s="11" t="s">
        <v>646</v>
      </c>
      <c r="D263" s="23" t="s">
        <v>632</v>
      </c>
      <c r="E263" s="13" t="str">
        <f t="array" ref="E263">INDEX(Turmas!C2:C106,MATCH(D263,Turmas!A2:A106,0))</f>
        <v>Tarde</v>
      </c>
      <c r="F263" s="14">
        <v>0.0</v>
      </c>
      <c r="G263" s="15">
        <v>2.0</v>
      </c>
      <c r="H263" s="15">
        <v>0.0</v>
      </c>
      <c r="I263" s="16" t="str">
        <f t="shared" si="1"/>
        <v>1-6,13-16</v>
      </c>
      <c r="J263" s="16" t="str">
        <f t="shared" si="2"/>
        <v>1-6,13-16</v>
      </c>
      <c r="K263" s="16" t="str">
        <f t="shared" si="3"/>
        <v>1-6,13-16</v>
      </c>
      <c r="L263" s="16" t="str">
        <f t="shared" si="4"/>
        <v>1-6,13-16</v>
      </c>
      <c r="M263" s="16" t="str">
        <f t="shared" si="5"/>
        <v>1-6,13-16</v>
      </c>
      <c r="N263" s="16" t="str">
        <f t="shared" si="6"/>
        <v>1-16</v>
      </c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9" t="s">
        <v>647</v>
      </c>
      <c r="B264" s="10" t="s">
        <v>648</v>
      </c>
      <c r="C264" s="11" t="s">
        <v>634</v>
      </c>
      <c r="D264" s="23" t="s">
        <v>649</v>
      </c>
      <c r="E264" s="13" t="str">
        <f t="array" ref="E264">INDEX(Turmas!C2:C106,MATCH(D264,Turmas!A2:A106,0))</f>
        <v>Manhã</v>
      </c>
      <c r="F264" s="14">
        <v>0.0</v>
      </c>
      <c r="G264" s="15">
        <v>3.0</v>
      </c>
      <c r="H264" s="15">
        <v>0.0</v>
      </c>
      <c r="I264" s="16" t="str">
        <f t="shared" si="1"/>
        <v>7-16</v>
      </c>
      <c r="J264" s="16" t="str">
        <f t="shared" si="2"/>
        <v>7-16</v>
      </c>
      <c r="K264" s="16" t="str">
        <f t="shared" si="3"/>
        <v>7-16</v>
      </c>
      <c r="L264" s="16" t="str">
        <f t="shared" si="4"/>
        <v>7-16</v>
      </c>
      <c r="M264" s="16" t="str">
        <f t="shared" si="5"/>
        <v>7-16</v>
      </c>
      <c r="N264" s="16" t="str">
        <f t="shared" si="6"/>
        <v>1-16</v>
      </c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9" t="s">
        <v>650</v>
      </c>
      <c r="B265" s="10" t="s">
        <v>651</v>
      </c>
      <c r="C265" s="11" t="s">
        <v>652</v>
      </c>
      <c r="D265" s="23" t="s">
        <v>649</v>
      </c>
      <c r="E265" s="13" t="str">
        <f t="array" ref="E265">INDEX(Turmas!C2:C106,MATCH(D265,Turmas!A2:A106,0))</f>
        <v>Manhã</v>
      </c>
      <c r="F265" s="14">
        <v>0.0</v>
      </c>
      <c r="G265" s="15">
        <v>6.0</v>
      </c>
      <c r="H265" s="15">
        <v>0.0</v>
      </c>
      <c r="I265" s="16" t="str">
        <f t="shared" si="1"/>
        <v>7-16</v>
      </c>
      <c r="J265" s="16" t="str">
        <f t="shared" si="2"/>
        <v>7-16</v>
      </c>
      <c r="K265" s="16" t="str">
        <f t="shared" si="3"/>
        <v>7-16</v>
      </c>
      <c r="L265" s="16" t="str">
        <f t="shared" si="4"/>
        <v>7-16</v>
      </c>
      <c r="M265" s="16" t="str">
        <f t="shared" si="5"/>
        <v>7-16</v>
      </c>
      <c r="N265" s="16" t="str">
        <f t="shared" si="6"/>
        <v>1-16</v>
      </c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9" t="s">
        <v>653</v>
      </c>
      <c r="B266" s="10" t="s">
        <v>654</v>
      </c>
      <c r="C266" s="11" t="s">
        <v>652</v>
      </c>
      <c r="D266" s="23" t="s">
        <v>649</v>
      </c>
      <c r="E266" s="13" t="str">
        <f t="array" ref="E266">INDEX(Turmas!C2:C106,MATCH(D266,Turmas!A2:A106,0))</f>
        <v>Manhã</v>
      </c>
      <c r="F266" s="14">
        <v>0.0</v>
      </c>
      <c r="G266" s="15">
        <v>2.0</v>
      </c>
      <c r="H266" s="15">
        <v>0.0</v>
      </c>
      <c r="I266" s="16" t="str">
        <f t="shared" si="1"/>
        <v>7-16</v>
      </c>
      <c r="J266" s="16" t="str">
        <f t="shared" si="2"/>
        <v>7-16</v>
      </c>
      <c r="K266" s="16" t="str">
        <f t="shared" si="3"/>
        <v>7-16</v>
      </c>
      <c r="L266" s="16" t="str">
        <f t="shared" si="4"/>
        <v>7-16</v>
      </c>
      <c r="M266" s="16" t="str">
        <f t="shared" si="5"/>
        <v>7-16</v>
      </c>
      <c r="N266" s="16" t="str">
        <f t="shared" si="6"/>
        <v>1-16</v>
      </c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9" t="s">
        <v>655</v>
      </c>
      <c r="B267" s="10" t="s">
        <v>656</v>
      </c>
      <c r="C267" s="11" t="s">
        <v>657</v>
      </c>
      <c r="D267" s="23" t="s">
        <v>649</v>
      </c>
      <c r="E267" s="13" t="str">
        <f t="array" ref="E267">INDEX(Turmas!C2:C106,MATCH(D267,Turmas!A2:A106,0))</f>
        <v>Manhã</v>
      </c>
      <c r="F267" s="14">
        <v>0.0</v>
      </c>
      <c r="G267" s="15">
        <v>3.0</v>
      </c>
      <c r="H267" s="15">
        <v>0.0</v>
      </c>
      <c r="I267" s="16" t="str">
        <f t="shared" si="1"/>
        <v>7-16</v>
      </c>
      <c r="J267" s="16" t="str">
        <f t="shared" si="2"/>
        <v>7-16</v>
      </c>
      <c r="K267" s="16" t="str">
        <f t="shared" si="3"/>
        <v>7-16</v>
      </c>
      <c r="L267" s="16" t="str">
        <f t="shared" si="4"/>
        <v>7-16</v>
      </c>
      <c r="M267" s="16" t="str">
        <f t="shared" si="5"/>
        <v>7-16</v>
      </c>
      <c r="N267" s="16" t="str">
        <f t="shared" si="6"/>
        <v>1-16</v>
      </c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9" t="s">
        <v>658</v>
      </c>
      <c r="B268" s="10" t="s">
        <v>659</v>
      </c>
      <c r="C268" s="11" t="s">
        <v>575</v>
      </c>
      <c r="D268" s="23" t="s">
        <v>649</v>
      </c>
      <c r="E268" s="13" t="str">
        <f t="array" ref="E268">INDEX(Turmas!C2:C106,MATCH(D268,Turmas!A2:A106,0))</f>
        <v>Manhã</v>
      </c>
      <c r="F268" s="14">
        <v>0.0</v>
      </c>
      <c r="G268" s="15">
        <v>3.0</v>
      </c>
      <c r="H268" s="15">
        <v>0.0</v>
      </c>
      <c r="I268" s="16" t="str">
        <f t="shared" si="1"/>
        <v>7-16</v>
      </c>
      <c r="J268" s="16" t="str">
        <f t="shared" si="2"/>
        <v>7-16</v>
      </c>
      <c r="K268" s="16" t="str">
        <f t="shared" si="3"/>
        <v>7-16</v>
      </c>
      <c r="L268" s="16" t="str">
        <f t="shared" si="4"/>
        <v>7-16</v>
      </c>
      <c r="M268" s="16" t="str">
        <f t="shared" si="5"/>
        <v>7-16</v>
      </c>
      <c r="N268" s="16" t="str">
        <f t="shared" si="6"/>
        <v>1-16</v>
      </c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9" t="s">
        <v>660</v>
      </c>
      <c r="B269" s="10" t="s">
        <v>395</v>
      </c>
      <c r="C269" s="11" t="s">
        <v>396</v>
      </c>
      <c r="D269" s="23" t="s">
        <v>649</v>
      </c>
      <c r="E269" s="13" t="str">
        <f t="array" ref="E269">INDEX(Turmas!C2:C106,MATCH(D269,Turmas!A2:A106,0))</f>
        <v>Manhã</v>
      </c>
      <c r="F269" s="14">
        <v>0.0</v>
      </c>
      <c r="G269" s="15">
        <v>3.0</v>
      </c>
      <c r="H269" s="15">
        <v>0.0</v>
      </c>
      <c r="I269" s="16" t="str">
        <f t="shared" si="1"/>
        <v>7-16</v>
      </c>
      <c r="J269" s="16" t="str">
        <f t="shared" si="2"/>
        <v>7-16</v>
      </c>
      <c r="K269" s="16" t="str">
        <f t="shared" si="3"/>
        <v>7-16</v>
      </c>
      <c r="L269" s="16" t="str">
        <f t="shared" si="4"/>
        <v>7-16</v>
      </c>
      <c r="M269" s="16" t="str">
        <f t="shared" si="5"/>
        <v>7-16</v>
      </c>
      <c r="N269" s="16" t="str">
        <f t="shared" si="6"/>
        <v>1-16</v>
      </c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9" t="s">
        <v>661</v>
      </c>
      <c r="B270" s="10" t="s">
        <v>262</v>
      </c>
      <c r="C270" s="11" t="s">
        <v>662</v>
      </c>
      <c r="D270" s="26" t="s">
        <v>649</v>
      </c>
      <c r="E270" s="13" t="str">
        <f t="array" ref="E270">INDEX(Turmas!C2:C106,MATCH(D270,Turmas!A2:A106,0))</f>
        <v>Manhã</v>
      </c>
      <c r="F270" s="14">
        <v>0.0</v>
      </c>
      <c r="G270" s="15">
        <v>3.0</v>
      </c>
      <c r="H270" s="15">
        <v>0.0</v>
      </c>
      <c r="I270" s="16" t="str">
        <f t="shared" si="1"/>
        <v>7-16</v>
      </c>
      <c r="J270" s="16" t="str">
        <f t="shared" si="2"/>
        <v>7-16</v>
      </c>
      <c r="K270" s="16" t="str">
        <f t="shared" si="3"/>
        <v>7-16</v>
      </c>
      <c r="L270" s="16" t="str">
        <f t="shared" si="4"/>
        <v>7-16</v>
      </c>
      <c r="M270" s="16" t="str">
        <f t="shared" si="5"/>
        <v>7-16</v>
      </c>
      <c r="N270" s="16" t="str">
        <f t="shared" si="6"/>
        <v>1-16</v>
      </c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9" t="s">
        <v>663</v>
      </c>
      <c r="B271" s="10" t="s">
        <v>664</v>
      </c>
      <c r="C271" s="11" t="s">
        <v>657</v>
      </c>
      <c r="D271" s="26" t="s">
        <v>665</v>
      </c>
      <c r="E271" s="13" t="str">
        <f t="array" ref="E271">INDEX(Turmas!C2:C106,MATCH(D271,Turmas!A2:A106,0))</f>
        <v>Tarde</v>
      </c>
      <c r="F271" s="14">
        <v>0.0</v>
      </c>
      <c r="G271" s="15">
        <v>3.0</v>
      </c>
      <c r="H271" s="15">
        <v>0.0</v>
      </c>
      <c r="I271" s="16" t="str">
        <f t="shared" si="1"/>
        <v>1-6,13-16</v>
      </c>
      <c r="J271" s="16" t="str">
        <f t="shared" si="2"/>
        <v>1-6,13-16</v>
      </c>
      <c r="K271" s="16" t="str">
        <f t="shared" si="3"/>
        <v>1-6,13-16</v>
      </c>
      <c r="L271" s="16" t="str">
        <f t="shared" si="4"/>
        <v>1-6,13-16</v>
      </c>
      <c r="M271" s="16" t="str">
        <f t="shared" si="5"/>
        <v>1-6,13-16</v>
      </c>
      <c r="N271" s="16" t="str">
        <f t="shared" si="6"/>
        <v>1-16</v>
      </c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9" t="s">
        <v>666</v>
      </c>
      <c r="B272" s="10" t="s">
        <v>667</v>
      </c>
      <c r="C272" s="11" t="s">
        <v>668</v>
      </c>
      <c r="D272" s="26" t="s">
        <v>665</v>
      </c>
      <c r="E272" s="13" t="str">
        <f t="array" ref="E272">INDEX(Turmas!C2:C106,MATCH(D272,Turmas!A2:A106,0))</f>
        <v>Tarde</v>
      </c>
      <c r="F272" s="14">
        <v>0.0</v>
      </c>
      <c r="G272" s="15">
        <v>4.0</v>
      </c>
      <c r="H272" s="15">
        <v>0.0</v>
      </c>
      <c r="I272" s="16" t="str">
        <f t="shared" si="1"/>
        <v>1-6,13-16</v>
      </c>
      <c r="J272" s="16" t="str">
        <f t="shared" si="2"/>
        <v>1-6,13-16</v>
      </c>
      <c r="K272" s="16" t="str">
        <f t="shared" si="3"/>
        <v>1-6,13-16</v>
      </c>
      <c r="L272" s="16" t="str">
        <f t="shared" si="4"/>
        <v>1-6,13-16</v>
      </c>
      <c r="M272" s="16" t="str">
        <f t="shared" si="5"/>
        <v>1-6,13-16</v>
      </c>
      <c r="N272" s="16" t="str">
        <f t="shared" si="6"/>
        <v>1-16</v>
      </c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9" t="s">
        <v>669</v>
      </c>
      <c r="B273" s="10" t="s">
        <v>670</v>
      </c>
      <c r="C273" s="11" t="s">
        <v>671</v>
      </c>
      <c r="D273" s="26" t="s">
        <v>665</v>
      </c>
      <c r="E273" s="13" t="str">
        <f t="array" ref="E273">INDEX(Turmas!C2:C106,MATCH(D273,Turmas!A2:A106,0))</f>
        <v>Tarde</v>
      </c>
      <c r="F273" s="14">
        <v>0.0</v>
      </c>
      <c r="G273" s="15">
        <v>2.0</v>
      </c>
      <c r="H273" s="15">
        <v>0.0</v>
      </c>
      <c r="I273" s="16" t="str">
        <f t="shared" si="1"/>
        <v>1-6,13-16</v>
      </c>
      <c r="J273" s="16" t="str">
        <f t="shared" si="2"/>
        <v>1-6,13-16</v>
      </c>
      <c r="K273" s="16" t="str">
        <f t="shared" si="3"/>
        <v>1-6,13-16</v>
      </c>
      <c r="L273" s="16" t="str">
        <f t="shared" si="4"/>
        <v>1-6,13-16</v>
      </c>
      <c r="M273" s="16" t="str">
        <f t="shared" si="5"/>
        <v>1-6,13-16</v>
      </c>
      <c r="N273" s="16" t="str">
        <f t="shared" si="6"/>
        <v>1-16</v>
      </c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9" t="s">
        <v>672</v>
      </c>
      <c r="B274" s="10" t="s">
        <v>673</v>
      </c>
      <c r="C274" s="11" t="s">
        <v>674</v>
      </c>
      <c r="D274" s="26" t="s">
        <v>665</v>
      </c>
      <c r="E274" s="13" t="str">
        <f t="array" ref="E274">INDEX(Turmas!C2:C106,MATCH(D274,Turmas!A2:A106,0))</f>
        <v>Tarde</v>
      </c>
      <c r="F274" s="14">
        <v>0.0</v>
      </c>
      <c r="G274" s="15">
        <v>4.0</v>
      </c>
      <c r="H274" s="15">
        <v>0.0</v>
      </c>
      <c r="I274" s="16" t="str">
        <f t="shared" si="1"/>
        <v>1-6,13-16</v>
      </c>
      <c r="J274" s="16" t="str">
        <f t="shared" si="2"/>
        <v>1-6,13-16</v>
      </c>
      <c r="K274" s="16" t="str">
        <f t="shared" si="3"/>
        <v>1-6,13-16</v>
      </c>
      <c r="L274" s="16" t="str">
        <f t="shared" si="4"/>
        <v>1-6,13-16</v>
      </c>
      <c r="M274" s="16" t="str">
        <f t="shared" si="5"/>
        <v>1-6,13-16</v>
      </c>
      <c r="N274" s="16" t="str">
        <f t="shared" si="6"/>
        <v>1-16</v>
      </c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9" t="s">
        <v>675</v>
      </c>
      <c r="B275" s="10" t="s">
        <v>676</v>
      </c>
      <c r="C275" s="11" t="s">
        <v>677</v>
      </c>
      <c r="D275" s="26" t="s">
        <v>665</v>
      </c>
      <c r="E275" s="13" t="str">
        <f t="array" ref="E275">INDEX(Turmas!C2:C106,MATCH(D275,Turmas!A2:A106,0))</f>
        <v>Tarde</v>
      </c>
      <c r="F275" s="14">
        <v>0.0</v>
      </c>
      <c r="G275" s="15">
        <v>3.0</v>
      </c>
      <c r="H275" s="15">
        <v>0.0</v>
      </c>
      <c r="I275" s="16" t="str">
        <f t="shared" si="1"/>
        <v>1-6,13-16</v>
      </c>
      <c r="J275" s="16" t="str">
        <f t="shared" si="2"/>
        <v>1-6,13-16</v>
      </c>
      <c r="K275" s="16" t="str">
        <f t="shared" si="3"/>
        <v>1-6,13-16</v>
      </c>
      <c r="L275" s="16" t="str">
        <f t="shared" si="4"/>
        <v>1-6,13-16</v>
      </c>
      <c r="M275" s="16" t="str">
        <f t="shared" si="5"/>
        <v>1-6,13-16</v>
      </c>
      <c r="N275" s="16" t="str">
        <f t="shared" si="6"/>
        <v>1-16</v>
      </c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9" t="s">
        <v>678</v>
      </c>
      <c r="B276" s="10" t="s">
        <v>679</v>
      </c>
      <c r="C276" s="11" t="s">
        <v>680</v>
      </c>
      <c r="D276" s="26" t="s">
        <v>665</v>
      </c>
      <c r="E276" s="13" t="str">
        <f t="array" ref="E276">INDEX(Turmas!C2:C106,MATCH(D276,Turmas!A2:A106,0))</f>
        <v>Tarde</v>
      </c>
      <c r="F276" s="14">
        <v>0.0</v>
      </c>
      <c r="G276" s="15">
        <v>4.0</v>
      </c>
      <c r="H276" s="15">
        <v>0.0</v>
      </c>
      <c r="I276" s="16" t="str">
        <f t="shared" si="1"/>
        <v>1-6,13-16</v>
      </c>
      <c r="J276" s="16" t="str">
        <f t="shared" si="2"/>
        <v>1-6,13-16</v>
      </c>
      <c r="K276" s="16" t="str">
        <f t="shared" si="3"/>
        <v>1-6,13-16</v>
      </c>
      <c r="L276" s="16" t="str">
        <f t="shared" si="4"/>
        <v>1-6,13-16</v>
      </c>
      <c r="M276" s="16" t="str">
        <f t="shared" si="5"/>
        <v>1-6,13-16</v>
      </c>
      <c r="N276" s="16" t="str">
        <f t="shared" si="6"/>
        <v>1-16</v>
      </c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9" t="s">
        <v>681</v>
      </c>
      <c r="B277" s="10" t="s">
        <v>682</v>
      </c>
      <c r="C277" s="11" t="s">
        <v>683</v>
      </c>
      <c r="D277" s="26" t="s">
        <v>684</v>
      </c>
      <c r="E277" s="13" t="str">
        <f t="array" ref="E277">INDEX(Turmas!C2:C106,MATCH(D277,Turmas!A2:A106,0))</f>
        <v>Manhã</v>
      </c>
      <c r="F277" s="14">
        <v>0.0</v>
      </c>
      <c r="G277" s="15">
        <v>3.0</v>
      </c>
      <c r="H277" s="15">
        <v>0.0</v>
      </c>
      <c r="I277" s="16" t="str">
        <f t="shared" si="1"/>
        <v>7-16</v>
      </c>
      <c r="J277" s="16" t="str">
        <f t="shared" si="2"/>
        <v>7-16</v>
      </c>
      <c r="K277" s="16" t="str">
        <f t="shared" si="3"/>
        <v>7-16</v>
      </c>
      <c r="L277" s="16" t="str">
        <f t="shared" si="4"/>
        <v>7-16</v>
      </c>
      <c r="M277" s="16" t="str">
        <f t="shared" si="5"/>
        <v>7-16</v>
      </c>
      <c r="N277" s="16" t="str">
        <f t="shared" si="6"/>
        <v>1-16</v>
      </c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9" t="s">
        <v>685</v>
      </c>
      <c r="B278" s="10" t="s">
        <v>686</v>
      </c>
      <c r="C278" s="11" t="s">
        <v>677</v>
      </c>
      <c r="D278" s="26" t="s">
        <v>684</v>
      </c>
      <c r="E278" s="13" t="str">
        <f t="array" ref="E278">INDEX(Turmas!C2:C106,MATCH(D278,Turmas!A2:A106,0))</f>
        <v>Manhã</v>
      </c>
      <c r="F278" s="14">
        <v>0.0</v>
      </c>
      <c r="G278" s="15">
        <v>3.0</v>
      </c>
      <c r="H278" s="15">
        <v>0.0</v>
      </c>
      <c r="I278" s="16" t="str">
        <f t="shared" si="1"/>
        <v>7-16</v>
      </c>
      <c r="J278" s="16" t="str">
        <f t="shared" si="2"/>
        <v>7-16</v>
      </c>
      <c r="K278" s="16" t="str">
        <f t="shared" si="3"/>
        <v>7-16</v>
      </c>
      <c r="L278" s="16" t="str">
        <f t="shared" si="4"/>
        <v>7-16</v>
      </c>
      <c r="M278" s="16" t="str">
        <f t="shared" si="5"/>
        <v>7-16</v>
      </c>
      <c r="N278" s="16" t="str">
        <f t="shared" si="6"/>
        <v>1-16</v>
      </c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9" t="s">
        <v>687</v>
      </c>
      <c r="B279" s="10" t="s">
        <v>688</v>
      </c>
      <c r="C279" s="11" t="s">
        <v>680</v>
      </c>
      <c r="D279" s="26" t="s">
        <v>684</v>
      </c>
      <c r="E279" s="13" t="str">
        <f t="array" ref="E279">INDEX(Turmas!C2:C106,MATCH(D279,Turmas!A2:A106,0))</f>
        <v>Manhã</v>
      </c>
      <c r="F279" s="14">
        <v>0.0</v>
      </c>
      <c r="G279" s="15">
        <v>3.0</v>
      </c>
      <c r="H279" s="15">
        <v>0.0</v>
      </c>
      <c r="I279" s="16" t="str">
        <f t="shared" si="1"/>
        <v>7-16</v>
      </c>
      <c r="J279" s="16" t="str">
        <f t="shared" si="2"/>
        <v>7-16</v>
      </c>
      <c r="K279" s="16" t="str">
        <f t="shared" si="3"/>
        <v>7-16</v>
      </c>
      <c r="L279" s="16" t="str">
        <f t="shared" si="4"/>
        <v>7-16</v>
      </c>
      <c r="M279" s="16" t="str">
        <f t="shared" si="5"/>
        <v>7-16</v>
      </c>
      <c r="N279" s="16" t="str">
        <f t="shared" si="6"/>
        <v>1-16</v>
      </c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9" t="s">
        <v>689</v>
      </c>
      <c r="B280" s="10" t="s">
        <v>690</v>
      </c>
      <c r="C280" s="11" t="s">
        <v>691</v>
      </c>
      <c r="D280" s="26" t="s">
        <v>684</v>
      </c>
      <c r="E280" s="13" t="str">
        <f t="array" ref="E280">INDEX(Turmas!C2:C106,MATCH(D280,Turmas!A2:A106,0))</f>
        <v>Manhã</v>
      </c>
      <c r="F280" s="14">
        <v>0.0</v>
      </c>
      <c r="G280" s="15">
        <v>3.0</v>
      </c>
      <c r="H280" s="15">
        <v>0.0</v>
      </c>
      <c r="I280" s="16" t="str">
        <f t="shared" si="1"/>
        <v>7-16</v>
      </c>
      <c r="J280" s="16" t="str">
        <f t="shared" si="2"/>
        <v>7-16</v>
      </c>
      <c r="K280" s="16" t="str">
        <f t="shared" si="3"/>
        <v>7-16</v>
      </c>
      <c r="L280" s="16" t="str">
        <f t="shared" si="4"/>
        <v>7-16</v>
      </c>
      <c r="M280" s="16" t="str">
        <f t="shared" si="5"/>
        <v>7-16</v>
      </c>
      <c r="N280" s="16" t="str">
        <f t="shared" si="6"/>
        <v>1-16</v>
      </c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9" t="s">
        <v>692</v>
      </c>
      <c r="B281" s="10" t="s">
        <v>693</v>
      </c>
      <c r="C281" s="11" t="s">
        <v>641</v>
      </c>
      <c r="D281" s="26" t="s">
        <v>684</v>
      </c>
      <c r="E281" s="13" t="str">
        <f t="array" ref="E281">INDEX(Turmas!C2:C106,MATCH(D281,Turmas!A2:A106,0))</f>
        <v>Manhã</v>
      </c>
      <c r="F281" s="14">
        <v>0.0</v>
      </c>
      <c r="G281" s="15">
        <v>3.0</v>
      </c>
      <c r="H281" s="15">
        <v>0.0</v>
      </c>
      <c r="I281" s="16" t="str">
        <f t="shared" si="1"/>
        <v>7-16</v>
      </c>
      <c r="J281" s="16" t="str">
        <f t="shared" si="2"/>
        <v>7-16</v>
      </c>
      <c r="K281" s="16" t="str">
        <f t="shared" si="3"/>
        <v>7-16</v>
      </c>
      <c r="L281" s="16" t="str">
        <f t="shared" si="4"/>
        <v>7-16</v>
      </c>
      <c r="M281" s="16" t="str">
        <f t="shared" si="5"/>
        <v>7-16</v>
      </c>
      <c r="N281" s="16" t="str">
        <f t="shared" si="6"/>
        <v>1-16</v>
      </c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9" t="s">
        <v>694</v>
      </c>
      <c r="B282" s="10" t="s">
        <v>695</v>
      </c>
      <c r="C282" s="11" t="s">
        <v>696</v>
      </c>
      <c r="D282" s="26" t="s">
        <v>684</v>
      </c>
      <c r="E282" s="13" t="str">
        <f t="array" ref="E282">INDEX(Turmas!C2:C106,MATCH(D282,Turmas!A2:A106,0))</f>
        <v>Manhã</v>
      </c>
      <c r="F282" s="14">
        <v>0.0</v>
      </c>
      <c r="G282" s="15">
        <v>5.0</v>
      </c>
      <c r="H282" s="15">
        <v>0.0</v>
      </c>
      <c r="I282" s="16" t="str">
        <f t="shared" si="1"/>
        <v>7-16</v>
      </c>
      <c r="J282" s="16" t="str">
        <f t="shared" si="2"/>
        <v>7-16</v>
      </c>
      <c r="K282" s="16" t="str">
        <f t="shared" si="3"/>
        <v>7-16</v>
      </c>
      <c r="L282" s="16" t="str">
        <f t="shared" si="4"/>
        <v>7-16</v>
      </c>
      <c r="M282" s="16" t="str">
        <f t="shared" si="5"/>
        <v>7-16</v>
      </c>
      <c r="N282" s="16" t="str">
        <f t="shared" si="6"/>
        <v>1-16</v>
      </c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9" t="s">
        <v>697</v>
      </c>
      <c r="B283" s="10" t="s">
        <v>698</v>
      </c>
      <c r="C283" s="11" t="s">
        <v>113</v>
      </c>
      <c r="D283" s="26" t="s">
        <v>699</v>
      </c>
      <c r="E283" s="13" t="str">
        <f t="array" ref="E283">INDEX(Turmas!C2:C106,MATCH(D283,Turmas!A2:A106,0))</f>
        <v>Tarde</v>
      </c>
      <c r="F283" s="14">
        <v>0.0</v>
      </c>
      <c r="G283" s="15">
        <v>3.0</v>
      </c>
      <c r="H283" s="15">
        <v>0.0</v>
      </c>
      <c r="I283" s="16" t="str">
        <f t="shared" si="1"/>
        <v>1-6,13-16</v>
      </c>
      <c r="J283" s="16" t="str">
        <f t="shared" si="2"/>
        <v>1-6,13-16</v>
      </c>
      <c r="K283" s="16" t="str">
        <f t="shared" si="3"/>
        <v>1-6,13-16</v>
      </c>
      <c r="L283" s="16" t="str">
        <f t="shared" si="4"/>
        <v>1-6,13-16</v>
      </c>
      <c r="M283" s="16" t="str">
        <f t="shared" si="5"/>
        <v>1-6,13-16</v>
      </c>
      <c r="N283" s="16" t="str">
        <f t="shared" si="6"/>
        <v>1-16</v>
      </c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9" t="s">
        <v>700</v>
      </c>
      <c r="B284" s="10" t="s">
        <v>701</v>
      </c>
      <c r="C284" s="11" t="s">
        <v>23</v>
      </c>
      <c r="D284" s="26" t="s">
        <v>699</v>
      </c>
      <c r="E284" s="13" t="str">
        <f t="array" ref="E284">INDEX(Turmas!C2:C106,MATCH(D284,Turmas!A2:A106,0))</f>
        <v>Tarde</v>
      </c>
      <c r="F284" s="14">
        <v>0.0</v>
      </c>
      <c r="G284" s="15">
        <v>2.0</v>
      </c>
      <c r="H284" s="15">
        <v>0.0</v>
      </c>
      <c r="I284" s="16" t="str">
        <f t="shared" si="1"/>
        <v>1-6,13-16</v>
      </c>
      <c r="J284" s="16" t="str">
        <f t="shared" si="2"/>
        <v>1-6,13-16</v>
      </c>
      <c r="K284" s="16" t="str">
        <f t="shared" si="3"/>
        <v>1-6,13-16</v>
      </c>
      <c r="L284" s="16" t="str">
        <f t="shared" si="4"/>
        <v>1-6,13-16</v>
      </c>
      <c r="M284" s="16" t="str">
        <f t="shared" si="5"/>
        <v>1-6,13-16</v>
      </c>
      <c r="N284" s="16" t="str">
        <f t="shared" si="6"/>
        <v>1-16</v>
      </c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9" t="s">
        <v>426</v>
      </c>
      <c r="B285" s="10" t="s">
        <v>306</v>
      </c>
      <c r="C285" s="11" t="s">
        <v>691</v>
      </c>
      <c r="D285" s="26" t="s">
        <v>699</v>
      </c>
      <c r="E285" s="13" t="str">
        <f t="array" ref="E285">INDEX(Turmas!C2:C106,MATCH(D285,Turmas!A2:A106,0))</f>
        <v>Tarde</v>
      </c>
      <c r="F285" s="14">
        <v>0.0</v>
      </c>
      <c r="G285" s="15">
        <v>2.0</v>
      </c>
      <c r="H285" s="15">
        <v>0.0</v>
      </c>
      <c r="I285" s="16" t="str">
        <f t="shared" si="1"/>
        <v>1-6,13-16</v>
      </c>
      <c r="J285" s="16" t="str">
        <f t="shared" si="2"/>
        <v>1-6,13-16</v>
      </c>
      <c r="K285" s="16" t="str">
        <f t="shared" si="3"/>
        <v>1-6,13-16</v>
      </c>
      <c r="L285" s="16" t="str">
        <f t="shared" si="4"/>
        <v>1-6,13-16</v>
      </c>
      <c r="M285" s="16" t="str">
        <f t="shared" si="5"/>
        <v>1-6,13-16</v>
      </c>
      <c r="N285" s="16" t="str">
        <f t="shared" si="6"/>
        <v>1-16</v>
      </c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9" t="s">
        <v>702</v>
      </c>
      <c r="B286" s="10" t="s">
        <v>703</v>
      </c>
      <c r="C286" s="11" t="s">
        <v>704</v>
      </c>
      <c r="D286" s="26" t="s">
        <v>699</v>
      </c>
      <c r="E286" s="13" t="str">
        <f t="array" ref="E286">INDEX(Turmas!C2:C106,MATCH(D286,Turmas!A2:A106,0))</f>
        <v>Tarde</v>
      </c>
      <c r="F286" s="14">
        <v>0.0</v>
      </c>
      <c r="G286" s="15">
        <v>2.0</v>
      </c>
      <c r="H286" s="15">
        <v>0.0</v>
      </c>
      <c r="I286" s="16" t="str">
        <f t="shared" si="1"/>
        <v>1-6,13-16</v>
      </c>
      <c r="J286" s="16" t="str">
        <f t="shared" si="2"/>
        <v>1-6,13-16</v>
      </c>
      <c r="K286" s="16" t="str">
        <f t="shared" si="3"/>
        <v>1-6,13-16</v>
      </c>
      <c r="L286" s="16" t="str">
        <f t="shared" si="4"/>
        <v>1-6,13-16</v>
      </c>
      <c r="M286" s="16" t="str">
        <f t="shared" si="5"/>
        <v>1-6,13-16</v>
      </c>
      <c r="N286" s="16" t="str">
        <f t="shared" si="6"/>
        <v>1-16</v>
      </c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9" t="s">
        <v>705</v>
      </c>
      <c r="B287" s="10" t="s">
        <v>706</v>
      </c>
      <c r="C287" s="11" t="s">
        <v>434</v>
      </c>
      <c r="D287" s="26" t="s">
        <v>699</v>
      </c>
      <c r="E287" s="13" t="str">
        <f t="array" ref="E287">INDEX(Turmas!C2:C106,MATCH(D287,Turmas!A2:A106,0))</f>
        <v>Tarde</v>
      </c>
      <c r="F287" s="14">
        <v>0.0</v>
      </c>
      <c r="G287" s="15">
        <v>2.0</v>
      </c>
      <c r="H287" s="15">
        <v>0.0</v>
      </c>
      <c r="I287" s="16" t="str">
        <f t="shared" si="1"/>
        <v>1-6,13-16</v>
      </c>
      <c r="J287" s="16" t="str">
        <f t="shared" si="2"/>
        <v>1-6,13-16</v>
      </c>
      <c r="K287" s="16" t="str">
        <f t="shared" si="3"/>
        <v>1-6,13-16</v>
      </c>
      <c r="L287" s="16" t="str">
        <f t="shared" si="4"/>
        <v>1-6,13-16</v>
      </c>
      <c r="M287" s="16" t="str">
        <f t="shared" si="5"/>
        <v>1-6,13-16</v>
      </c>
      <c r="N287" s="16" t="str">
        <f t="shared" si="6"/>
        <v>1-16</v>
      </c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9" t="s">
        <v>707</v>
      </c>
      <c r="B288" s="10" t="s">
        <v>492</v>
      </c>
      <c r="C288" s="11" t="s">
        <v>493</v>
      </c>
      <c r="D288" s="26" t="s">
        <v>699</v>
      </c>
      <c r="E288" s="13" t="str">
        <f t="array" ref="E288">INDEX(Turmas!C2:C106,MATCH(D288,Turmas!A2:A106,0))</f>
        <v>Tarde</v>
      </c>
      <c r="F288" s="14">
        <v>0.0</v>
      </c>
      <c r="G288" s="15">
        <v>3.0</v>
      </c>
      <c r="H288" s="15">
        <v>0.0</v>
      </c>
      <c r="I288" s="16" t="str">
        <f t="shared" si="1"/>
        <v>1-6,13-16</v>
      </c>
      <c r="J288" s="16" t="str">
        <f t="shared" si="2"/>
        <v>1-6,13-16</v>
      </c>
      <c r="K288" s="16" t="str">
        <f t="shared" si="3"/>
        <v>1-6,13-16</v>
      </c>
      <c r="L288" s="16" t="str">
        <f t="shared" si="4"/>
        <v>1-6,13-16</v>
      </c>
      <c r="M288" s="16" t="str">
        <f t="shared" si="5"/>
        <v>1-6,13-16</v>
      </c>
      <c r="N288" s="16" t="str">
        <f t="shared" si="6"/>
        <v>1-16</v>
      </c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9" t="s">
        <v>708</v>
      </c>
      <c r="B289" s="10" t="s">
        <v>709</v>
      </c>
      <c r="C289" s="11" t="s">
        <v>710</v>
      </c>
      <c r="D289" s="23" t="s">
        <v>699</v>
      </c>
      <c r="E289" s="13" t="str">
        <f t="array" ref="E289">INDEX(Turmas!C2:C106,MATCH(D289,Turmas!A2:A106,0))</f>
        <v>Tarde</v>
      </c>
      <c r="F289" s="14">
        <v>0.0</v>
      </c>
      <c r="G289" s="15">
        <v>2.0</v>
      </c>
      <c r="H289" s="15">
        <v>0.0</v>
      </c>
      <c r="I289" s="16" t="str">
        <f t="shared" si="1"/>
        <v>1-6,13-16</v>
      </c>
      <c r="J289" s="16" t="str">
        <f t="shared" si="2"/>
        <v>1-6,13-16</v>
      </c>
      <c r="K289" s="16" t="str">
        <f t="shared" si="3"/>
        <v>1-6,13-16</v>
      </c>
      <c r="L289" s="16" t="str">
        <f t="shared" si="4"/>
        <v>1-6,13-16</v>
      </c>
      <c r="M289" s="16" t="str">
        <f t="shared" si="5"/>
        <v>1-6,13-16</v>
      </c>
      <c r="N289" s="16" t="str">
        <f t="shared" si="6"/>
        <v>1-16</v>
      </c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9" t="s">
        <v>711</v>
      </c>
      <c r="B290" s="10" t="s">
        <v>712</v>
      </c>
      <c r="C290" s="11" t="s">
        <v>674</v>
      </c>
      <c r="D290" s="23" t="s">
        <v>699</v>
      </c>
      <c r="E290" s="13" t="str">
        <f t="array" ref="E290">INDEX(Turmas!C2:C106,MATCH(D290,Turmas!A2:A106,0))</f>
        <v>Tarde</v>
      </c>
      <c r="F290" s="14">
        <v>0.0</v>
      </c>
      <c r="G290" s="15">
        <v>2.0</v>
      </c>
      <c r="H290" s="15">
        <v>0.0</v>
      </c>
      <c r="I290" s="16" t="str">
        <f t="shared" si="1"/>
        <v>1-6,13-16</v>
      </c>
      <c r="J290" s="16" t="str">
        <f t="shared" si="2"/>
        <v>1-6,13-16</v>
      </c>
      <c r="K290" s="16" t="str">
        <f t="shared" si="3"/>
        <v>1-6,13-16</v>
      </c>
      <c r="L290" s="16" t="str">
        <f t="shared" si="4"/>
        <v>1-6,13-16</v>
      </c>
      <c r="M290" s="16" t="str">
        <f t="shared" si="5"/>
        <v>1-6,13-16</v>
      </c>
      <c r="N290" s="16" t="str">
        <f t="shared" si="6"/>
        <v>1-16</v>
      </c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9" t="s">
        <v>713</v>
      </c>
      <c r="B291" s="10" t="s">
        <v>137</v>
      </c>
      <c r="C291" s="11" t="s">
        <v>674</v>
      </c>
      <c r="D291" s="23" t="s">
        <v>699</v>
      </c>
      <c r="E291" s="13" t="str">
        <f t="array" ref="E291">INDEX(Turmas!C2:C106,MATCH(D291,Turmas!A2:A106,0))</f>
        <v>Tarde</v>
      </c>
      <c r="F291" s="14">
        <v>0.0</v>
      </c>
      <c r="G291" s="15">
        <v>3.0</v>
      </c>
      <c r="H291" s="15">
        <v>0.0</v>
      </c>
      <c r="I291" s="16" t="str">
        <f t="shared" si="1"/>
        <v>1-6,13-16</v>
      </c>
      <c r="J291" s="16" t="str">
        <f t="shared" si="2"/>
        <v>1-6,13-16</v>
      </c>
      <c r="K291" s="16" t="str">
        <f t="shared" si="3"/>
        <v>1-6,13-16</v>
      </c>
      <c r="L291" s="16" t="str">
        <f t="shared" si="4"/>
        <v>1-6,13-16</v>
      </c>
      <c r="M291" s="16" t="str">
        <f t="shared" si="5"/>
        <v>1-6,13-16</v>
      </c>
      <c r="N291" s="16" t="str">
        <f t="shared" si="6"/>
        <v>1-16</v>
      </c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9" t="s">
        <v>714</v>
      </c>
      <c r="B292" s="10" t="s">
        <v>15</v>
      </c>
      <c r="C292" s="11" t="s">
        <v>16</v>
      </c>
      <c r="D292" s="23" t="s">
        <v>715</v>
      </c>
      <c r="E292" s="13" t="str">
        <f t="array" ref="E292">INDEX(Turmas!C2:C106,MATCH(D292,Turmas!A2:A106,0))</f>
        <v>Noite</v>
      </c>
      <c r="F292" s="14">
        <v>0.0</v>
      </c>
      <c r="G292" s="15">
        <v>4.0</v>
      </c>
      <c r="H292" s="15">
        <v>0.0</v>
      </c>
      <c r="I292" s="16" t="str">
        <f t="shared" si="1"/>
        <v>1-12</v>
      </c>
      <c r="J292" s="16" t="str">
        <f t="shared" si="2"/>
        <v>1-12</v>
      </c>
      <c r="K292" s="16" t="str">
        <f t="shared" si="3"/>
        <v>1-12</v>
      </c>
      <c r="L292" s="16" t="str">
        <f t="shared" si="4"/>
        <v>1-12</v>
      </c>
      <c r="M292" s="16" t="str">
        <f t="shared" si="5"/>
        <v>1-12</v>
      </c>
      <c r="N292" s="16" t="str">
        <f t="shared" si="6"/>
        <v>0</v>
      </c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9" t="s">
        <v>716</v>
      </c>
      <c r="B293" s="10" t="s">
        <v>717</v>
      </c>
      <c r="C293" s="11" t="s">
        <v>718</v>
      </c>
      <c r="D293" s="23" t="s">
        <v>715</v>
      </c>
      <c r="E293" s="13" t="str">
        <f t="array" ref="E293">INDEX(Turmas!C2:C106,MATCH(D293,Turmas!A2:A106,0))</f>
        <v>Noite</v>
      </c>
      <c r="F293" s="14">
        <v>0.0</v>
      </c>
      <c r="G293" s="15">
        <v>2.0</v>
      </c>
      <c r="H293" s="15">
        <v>0.0</v>
      </c>
      <c r="I293" s="16" t="str">
        <f t="shared" si="1"/>
        <v>1-12</v>
      </c>
      <c r="J293" s="16" t="str">
        <f t="shared" si="2"/>
        <v>1-12</v>
      </c>
      <c r="K293" s="16" t="str">
        <f t="shared" si="3"/>
        <v>1-12</v>
      </c>
      <c r="L293" s="16" t="str">
        <f t="shared" si="4"/>
        <v>1-12</v>
      </c>
      <c r="M293" s="16" t="str">
        <f t="shared" si="5"/>
        <v>1-12</v>
      </c>
      <c r="N293" s="16" t="str">
        <f t="shared" si="6"/>
        <v>0</v>
      </c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9" t="s">
        <v>719</v>
      </c>
      <c r="B294" s="10" t="s">
        <v>306</v>
      </c>
      <c r="C294" s="11" t="s">
        <v>37</v>
      </c>
      <c r="D294" s="23" t="s">
        <v>715</v>
      </c>
      <c r="E294" s="13" t="str">
        <f t="array" ref="E294">INDEX(Turmas!C2:C106,MATCH(D294,Turmas!A2:A106,0))</f>
        <v>Noite</v>
      </c>
      <c r="F294" s="14">
        <v>0.0</v>
      </c>
      <c r="G294" s="15">
        <v>4.0</v>
      </c>
      <c r="H294" s="15">
        <v>0.0</v>
      </c>
      <c r="I294" s="16" t="str">
        <f t="shared" si="1"/>
        <v>1-12</v>
      </c>
      <c r="J294" s="16" t="str">
        <f t="shared" si="2"/>
        <v>1-12</v>
      </c>
      <c r="K294" s="16" t="str">
        <f t="shared" si="3"/>
        <v>1-12</v>
      </c>
      <c r="L294" s="16" t="str">
        <f t="shared" si="4"/>
        <v>1-12</v>
      </c>
      <c r="M294" s="16" t="str">
        <f t="shared" si="5"/>
        <v>1-12</v>
      </c>
      <c r="N294" s="16" t="str">
        <f t="shared" si="6"/>
        <v>0</v>
      </c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9" t="s">
        <v>720</v>
      </c>
      <c r="B295" s="10" t="s">
        <v>721</v>
      </c>
      <c r="C295" s="11" t="s">
        <v>722</v>
      </c>
      <c r="D295" s="23" t="s">
        <v>715</v>
      </c>
      <c r="E295" s="13" t="str">
        <f t="array" ref="E295">INDEX(Turmas!C2:C106,MATCH(D295,Turmas!A2:A106,0))</f>
        <v>Noite</v>
      </c>
      <c r="F295" s="14">
        <v>0.0</v>
      </c>
      <c r="G295" s="15">
        <v>2.0</v>
      </c>
      <c r="H295" s="15">
        <v>0.0</v>
      </c>
      <c r="I295" s="16" t="str">
        <f t="shared" si="1"/>
        <v>1-12</v>
      </c>
      <c r="J295" s="16" t="str">
        <f t="shared" si="2"/>
        <v>1-12</v>
      </c>
      <c r="K295" s="16" t="str">
        <f t="shared" si="3"/>
        <v>1-12</v>
      </c>
      <c r="L295" s="16" t="str">
        <f t="shared" si="4"/>
        <v>1-12</v>
      </c>
      <c r="M295" s="16" t="str">
        <f t="shared" si="5"/>
        <v>1-12</v>
      </c>
      <c r="N295" s="16" t="str">
        <f t="shared" si="6"/>
        <v>0</v>
      </c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9" t="s">
        <v>30</v>
      </c>
      <c r="B296" s="10" t="s">
        <v>31</v>
      </c>
      <c r="C296" s="11" t="s">
        <v>32</v>
      </c>
      <c r="D296" s="23" t="s">
        <v>715</v>
      </c>
      <c r="E296" s="13" t="str">
        <f t="array" ref="E296">INDEX(Turmas!C2:C106,MATCH(D296,Turmas!A2:A106,0))</f>
        <v>Noite</v>
      </c>
      <c r="F296" s="14">
        <v>0.0</v>
      </c>
      <c r="G296" s="15">
        <v>2.0</v>
      </c>
      <c r="H296" s="15">
        <v>0.0</v>
      </c>
      <c r="I296" s="16" t="str">
        <f t="shared" si="1"/>
        <v>1-12</v>
      </c>
      <c r="J296" s="16" t="str">
        <f t="shared" si="2"/>
        <v>1-12</v>
      </c>
      <c r="K296" s="16" t="str">
        <f t="shared" si="3"/>
        <v>1-12</v>
      </c>
      <c r="L296" s="16" t="str">
        <f t="shared" si="4"/>
        <v>1-12</v>
      </c>
      <c r="M296" s="16" t="str">
        <f t="shared" si="5"/>
        <v>1-12</v>
      </c>
      <c r="N296" s="16" t="str">
        <f t="shared" si="6"/>
        <v>0</v>
      </c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9" t="s">
        <v>33</v>
      </c>
      <c r="B297" s="10" t="s">
        <v>34</v>
      </c>
      <c r="C297" s="11" t="s">
        <v>722</v>
      </c>
      <c r="D297" s="23" t="s">
        <v>715</v>
      </c>
      <c r="E297" s="13" t="str">
        <f t="array" ref="E297">INDEX(Turmas!C2:C106,MATCH(D297,Turmas!A2:A106,0))</f>
        <v>Noite</v>
      </c>
      <c r="F297" s="14">
        <v>0.0</v>
      </c>
      <c r="G297" s="15">
        <v>4.0</v>
      </c>
      <c r="H297" s="15">
        <v>0.0</v>
      </c>
      <c r="I297" s="16" t="str">
        <f t="shared" si="1"/>
        <v>1-12</v>
      </c>
      <c r="J297" s="16" t="str">
        <f t="shared" si="2"/>
        <v>1-12</v>
      </c>
      <c r="K297" s="16" t="str">
        <f t="shared" si="3"/>
        <v>1-12</v>
      </c>
      <c r="L297" s="16" t="str">
        <f t="shared" si="4"/>
        <v>1-12</v>
      </c>
      <c r="M297" s="16" t="str">
        <f t="shared" si="5"/>
        <v>1-12</v>
      </c>
      <c r="N297" s="16" t="str">
        <f t="shared" si="6"/>
        <v>0</v>
      </c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9" t="s">
        <v>723</v>
      </c>
      <c r="B298" s="10" t="s">
        <v>724</v>
      </c>
      <c r="C298" s="11" t="s">
        <v>718</v>
      </c>
      <c r="D298" s="23" t="s">
        <v>725</v>
      </c>
      <c r="E298" s="13" t="str">
        <f t="array" ref="E298">INDEX(Turmas!C2:C106,MATCH(D298,Turmas!A2:A106,0))</f>
        <v>Noite</v>
      </c>
      <c r="F298" s="14">
        <v>0.0</v>
      </c>
      <c r="G298" s="15">
        <v>2.0</v>
      </c>
      <c r="H298" s="15">
        <v>0.0</v>
      </c>
      <c r="I298" s="16" t="str">
        <f t="shared" si="1"/>
        <v>1-12</v>
      </c>
      <c r="J298" s="16" t="str">
        <f t="shared" si="2"/>
        <v>1-12</v>
      </c>
      <c r="K298" s="16" t="str">
        <f t="shared" si="3"/>
        <v>1-12</v>
      </c>
      <c r="L298" s="16" t="str">
        <f t="shared" si="4"/>
        <v>1-12</v>
      </c>
      <c r="M298" s="16" t="str">
        <f t="shared" si="5"/>
        <v>1-12</v>
      </c>
      <c r="N298" s="16" t="str">
        <f t="shared" si="6"/>
        <v>0</v>
      </c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9" t="s">
        <v>726</v>
      </c>
      <c r="B299" s="10" t="s">
        <v>727</v>
      </c>
      <c r="C299" s="11" t="s">
        <v>722</v>
      </c>
      <c r="D299" s="23" t="s">
        <v>725</v>
      </c>
      <c r="E299" s="13" t="str">
        <f t="array" ref="E299">INDEX(Turmas!C2:C106,MATCH(D299,Turmas!A2:A106,0))</f>
        <v>Noite</v>
      </c>
      <c r="F299" s="14">
        <v>0.0</v>
      </c>
      <c r="G299" s="15">
        <v>2.0</v>
      </c>
      <c r="H299" s="15">
        <v>0.0</v>
      </c>
      <c r="I299" s="16" t="str">
        <f t="shared" si="1"/>
        <v>1-12</v>
      </c>
      <c r="J299" s="16" t="str">
        <f t="shared" si="2"/>
        <v>1-12</v>
      </c>
      <c r="K299" s="16" t="str">
        <f t="shared" si="3"/>
        <v>1-12</v>
      </c>
      <c r="L299" s="16" t="str">
        <f t="shared" si="4"/>
        <v>1-12</v>
      </c>
      <c r="M299" s="16" t="str">
        <f t="shared" si="5"/>
        <v>1-12</v>
      </c>
      <c r="N299" s="16" t="str">
        <f t="shared" si="6"/>
        <v>0</v>
      </c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9" t="s">
        <v>728</v>
      </c>
      <c r="B300" s="10" t="s">
        <v>729</v>
      </c>
      <c r="C300" s="11" t="s">
        <v>53</v>
      </c>
      <c r="D300" s="23" t="s">
        <v>725</v>
      </c>
      <c r="E300" s="13" t="str">
        <f t="array" ref="E300">INDEX(Turmas!C2:C106,MATCH(D300,Turmas!A2:A106,0))</f>
        <v>Noite</v>
      </c>
      <c r="F300" s="14">
        <v>0.0</v>
      </c>
      <c r="G300" s="15">
        <v>4.0</v>
      </c>
      <c r="H300" s="15">
        <v>0.0</v>
      </c>
      <c r="I300" s="16" t="str">
        <f t="shared" si="1"/>
        <v>1-12</v>
      </c>
      <c r="J300" s="16" t="str">
        <f t="shared" si="2"/>
        <v>1-12</v>
      </c>
      <c r="K300" s="16" t="str">
        <f t="shared" si="3"/>
        <v>1-12</v>
      </c>
      <c r="L300" s="16" t="str">
        <f t="shared" si="4"/>
        <v>1-12</v>
      </c>
      <c r="M300" s="16" t="str">
        <f t="shared" si="5"/>
        <v>1-12</v>
      </c>
      <c r="N300" s="16" t="str">
        <f t="shared" si="6"/>
        <v>0</v>
      </c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9" t="s">
        <v>730</v>
      </c>
      <c r="B301" s="10" t="s">
        <v>731</v>
      </c>
      <c r="C301" s="11" t="s">
        <v>125</v>
      </c>
      <c r="D301" s="23" t="s">
        <v>725</v>
      </c>
      <c r="E301" s="13" t="str">
        <f t="array" ref="E301">INDEX(Turmas!C2:C106,MATCH(D301,Turmas!A2:A106,0))</f>
        <v>Noite</v>
      </c>
      <c r="F301" s="14">
        <v>0.0</v>
      </c>
      <c r="G301" s="15">
        <v>2.0</v>
      </c>
      <c r="H301" s="15">
        <v>0.0</v>
      </c>
      <c r="I301" s="16" t="str">
        <f t="shared" si="1"/>
        <v>1-12</v>
      </c>
      <c r="J301" s="16" t="str">
        <f t="shared" si="2"/>
        <v>1-12</v>
      </c>
      <c r="K301" s="16" t="str">
        <f t="shared" si="3"/>
        <v>1-12</v>
      </c>
      <c r="L301" s="16" t="str">
        <f t="shared" si="4"/>
        <v>1-12</v>
      </c>
      <c r="M301" s="16" t="str">
        <f t="shared" si="5"/>
        <v>1-12</v>
      </c>
      <c r="N301" s="16" t="str">
        <f t="shared" si="6"/>
        <v>0</v>
      </c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9" t="s">
        <v>732</v>
      </c>
      <c r="B302" s="10" t="s">
        <v>733</v>
      </c>
      <c r="C302" s="11" t="s">
        <v>37</v>
      </c>
      <c r="D302" s="23" t="s">
        <v>725</v>
      </c>
      <c r="E302" s="13" t="str">
        <f t="array" ref="E302">INDEX(Turmas!C2:C106,MATCH(D302,Turmas!A2:A106,0))</f>
        <v>Noite</v>
      </c>
      <c r="F302" s="14">
        <v>0.0</v>
      </c>
      <c r="G302" s="15">
        <v>4.0</v>
      </c>
      <c r="H302" s="15">
        <v>0.0</v>
      </c>
      <c r="I302" s="16" t="str">
        <f t="shared" si="1"/>
        <v>1-12</v>
      </c>
      <c r="J302" s="16" t="str">
        <f t="shared" si="2"/>
        <v>1-12</v>
      </c>
      <c r="K302" s="16" t="str">
        <f t="shared" si="3"/>
        <v>1-12</v>
      </c>
      <c r="L302" s="16" t="str">
        <f t="shared" si="4"/>
        <v>1-12</v>
      </c>
      <c r="M302" s="16" t="str">
        <f t="shared" si="5"/>
        <v>1-12</v>
      </c>
      <c r="N302" s="16" t="str">
        <f t="shared" si="6"/>
        <v>0</v>
      </c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9" t="s">
        <v>631</v>
      </c>
      <c r="B303" s="10" t="s">
        <v>195</v>
      </c>
      <c r="C303" s="11" t="s">
        <v>396</v>
      </c>
      <c r="D303" s="23" t="s">
        <v>734</v>
      </c>
      <c r="E303" s="13" t="str">
        <f t="array" ref="E303">INDEX(Turmas!C2:C106,MATCH(D303,Turmas!A2:A106,0))</f>
        <v>Tarde</v>
      </c>
      <c r="F303" s="14">
        <v>0.0</v>
      </c>
      <c r="G303" s="15">
        <v>4.0</v>
      </c>
      <c r="H303" s="15">
        <v>0.0</v>
      </c>
      <c r="I303" s="16" t="str">
        <f t="shared" si="1"/>
        <v>1-6,13-16</v>
      </c>
      <c r="J303" s="16" t="str">
        <f t="shared" si="2"/>
        <v>1-6,13-16</v>
      </c>
      <c r="K303" s="16" t="str">
        <f t="shared" si="3"/>
        <v>1-6,13-16</v>
      </c>
      <c r="L303" s="16" t="str">
        <f t="shared" si="4"/>
        <v>1-6,13-16</v>
      </c>
      <c r="M303" s="16" t="str">
        <f t="shared" si="5"/>
        <v>1-6,13-16</v>
      </c>
      <c r="N303" s="16" t="str">
        <f t="shared" si="6"/>
        <v>1-16</v>
      </c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9" t="s">
        <v>592</v>
      </c>
      <c r="B304" s="10" t="s">
        <v>212</v>
      </c>
      <c r="C304" s="11" t="s">
        <v>94</v>
      </c>
      <c r="D304" s="23" t="s">
        <v>734</v>
      </c>
      <c r="E304" s="13" t="str">
        <f t="array" ref="E304">INDEX(Turmas!C2:C106,MATCH(D304,Turmas!A2:A106,0))</f>
        <v>Tarde</v>
      </c>
      <c r="F304" s="14">
        <v>0.0</v>
      </c>
      <c r="G304" s="15">
        <v>3.0</v>
      </c>
      <c r="H304" s="15">
        <v>0.0</v>
      </c>
      <c r="I304" s="16" t="str">
        <f t="shared" si="1"/>
        <v>1-6,13-16</v>
      </c>
      <c r="J304" s="16" t="str">
        <f t="shared" si="2"/>
        <v>1-6,13-16</v>
      </c>
      <c r="K304" s="16" t="str">
        <f t="shared" si="3"/>
        <v>1-6,13-16</v>
      </c>
      <c r="L304" s="16" t="str">
        <f t="shared" si="4"/>
        <v>1-6,13-16</v>
      </c>
      <c r="M304" s="16" t="str">
        <f t="shared" si="5"/>
        <v>1-6,13-16</v>
      </c>
      <c r="N304" s="16" t="str">
        <f t="shared" si="6"/>
        <v>1-16</v>
      </c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9" t="s">
        <v>735</v>
      </c>
      <c r="B305" s="10" t="s">
        <v>736</v>
      </c>
      <c r="C305" s="11" t="s">
        <v>216</v>
      </c>
      <c r="D305" s="23" t="s">
        <v>734</v>
      </c>
      <c r="E305" s="13" t="str">
        <f t="array" ref="E305">INDEX(Turmas!C2:C106,MATCH(D305,Turmas!A2:A106,0))</f>
        <v>Tarde</v>
      </c>
      <c r="F305" s="14">
        <v>0.0</v>
      </c>
      <c r="G305" s="15">
        <v>3.0</v>
      </c>
      <c r="H305" s="15">
        <v>0.0</v>
      </c>
      <c r="I305" s="16" t="str">
        <f t="shared" si="1"/>
        <v>1-6,13-16</v>
      </c>
      <c r="J305" s="16" t="str">
        <f t="shared" si="2"/>
        <v>1-6,13-16</v>
      </c>
      <c r="K305" s="16" t="str">
        <f t="shared" si="3"/>
        <v>1-6,13-16</v>
      </c>
      <c r="L305" s="16" t="str">
        <f t="shared" si="4"/>
        <v>1-6,13-16</v>
      </c>
      <c r="M305" s="16" t="str">
        <f t="shared" si="5"/>
        <v>1-6,13-16</v>
      </c>
      <c r="N305" s="16" t="str">
        <f t="shared" si="6"/>
        <v>1-16</v>
      </c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9" t="s">
        <v>737</v>
      </c>
      <c r="B306" s="10" t="s">
        <v>659</v>
      </c>
      <c r="C306" s="11" t="s">
        <v>441</v>
      </c>
      <c r="D306" s="23" t="s">
        <v>734</v>
      </c>
      <c r="E306" s="13" t="str">
        <f t="array" ref="E306">INDEX(Turmas!C2:C106,MATCH(D306,Turmas!A2:A106,0))</f>
        <v>Tarde</v>
      </c>
      <c r="F306" s="14">
        <v>0.0</v>
      </c>
      <c r="G306" s="15">
        <v>2.0</v>
      </c>
      <c r="H306" s="15">
        <v>0.0</v>
      </c>
      <c r="I306" s="16" t="str">
        <f t="shared" si="1"/>
        <v>1-6,13-16</v>
      </c>
      <c r="J306" s="16" t="str">
        <f t="shared" si="2"/>
        <v>1-6,13-16</v>
      </c>
      <c r="K306" s="16" t="str">
        <f t="shared" si="3"/>
        <v>1-6,13-16</v>
      </c>
      <c r="L306" s="16" t="str">
        <f t="shared" si="4"/>
        <v>1-6,13-16</v>
      </c>
      <c r="M306" s="16" t="str">
        <f t="shared" si="5"/>
        <v>1-6,13-16</v>
      </c>
      <c r="N306" s="16" t="str">
        <f t="shared" si="6"/>
        <v>1-16</v>
      </c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9" t="s">
        <v>738</v>
      </c>
      <c r="B307" s="10" t="s">
        <v>739</v>
      </c>
      <c r="C307" s="11" t="s">
        <v>740</v>
      </c>
      <c r="D307" s="23" t="s">
        <v>734</v>
      </c>
      <c r="E307" s="13" t="str">
        <f t="array" ref="E307">INDEX(Turmas!C2:C106,MATCH(D307,Turmas!A2:A106,0))</f>
        <v>Tarde</v>
      </c>
      <c r="F307" s="14">
        <v>0.0</v>
      </c>
      <c r="G307" s="15">
        <v>3.0</v>
      </c>
      <c r="H307" s="15">
        <v>0.0</v>
      </c>
      <c r="I307" s="16" t="str">
        <f t="shared" si="1"/>
        <v>1-6,13-16</v>
      </c>
      <c r="J307" s="16" t="str">
        <f t="shared" si="2"/>
        <v>1-6,13-16</v>
      </c>
      <c r="K307" s="16" t="str">
        <f t="shared" si="3"/>
        <v>1-6,13-16</v>
      </c>
      <c r="L307" s="16" t="str">
        <f t="shared" si="4"/>
        <v>1-6,13-16</v>
      </c>
      <c r="M307" s="16" t="str">
        <f t="shared" si="5"/>
        <v>1-6,13-16</v>
      </c>
      <c r="N307" s="16" t="str">
        <f t="shared" si="6"/>
        <v>1-16</v>
      </c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9" t="s">
        <v>741</v>
      </c>
      <c r="B308" s="10" t="s">
        <v>206</v>
      </c>
      <c r="C308" s="11" t="s">
        <v>207</v>
      </c>
      <c r="D308" s="23" t="s">
        <v>734</v>
      </c>
      <c r="E308" s="13" t="str">
        <f t="array" ref="E308">INDEX(Turmas!C2:C106,MATCH(D308,Turmas!A2:A106,0))</f>
        <v>Tarde</v>
      </c>
      <c r="F308" s="14">
        <v>0.0</v>
      </c>
      <c r="G308" s="15">
        <v>2.0</v>
      </c>
      <c r="H308" s="15">
        <v>0.0</v>
      </c>
      <c r="I308" s="16" t="str">
        <f t="shared" si="1"/>
        <v>1-6,13-16</v>
      </c>
      <c r="J308" s="16" t="str">
        <f t="shared" si="2"/>
        <v>1-6,13-16</v>
      </c>
      <c r="K308" s="16" t="str">
        <f t="shared" si="3"/>
        <v>1-6,13-16</v>
      </c>
      <c r="L308" s="16" t="str">
        <f t="shared" si="4"/>
        <v>1-6,13-16</v>
      </c>
      <c r="M308" s="16" t="str">
        <f t="shared" si="5"/>
        <v>1-6,13-16</v>
      </c>
      <c r="N308" s="16" t="str">
        <f t="shared" si="6"/>
        <v>1-16</v>
      </c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9" t="s">
        <v>645</v>
      </c>
      <c r="B309" s="10" t="s">
        <v>209</v>
      </c>
      <c r="C309" s="11" t="s">
        <v>646</v>
      </c>
      <c r="D309" s="23" t="s">
        <v>734</v>
      </c>
      <c r="E309" s="13" t="str">
        <f t="array" ref="E309">INDEX(Turmas!C2:C106,MATCH(D309,Turmas!A2:A106,0))</f>
        <v>Tarde</v>
      </c>
      <c r="F309" s="14">
        <v>0.0</v>
      </c>
      <c r="G309" s="15">
        <v>2.0</v>
      </c>
      <c r="H309" s="15">
        <v>0.0</v>
      </c>
      <c r="I309" s="16" t="str">
        <f t="shared" si="1"/>
        <v>1-6,13-16</v>
      </c>
      <c r="J309" s="16" t="str">
        <f t="shared" si="2"/>
        <v>1-6,13-16</v>
      </c>
      <c r="K309" s="16" t="str">
        <f t="shared" si="3"/>
        <v>1-6,13-16</v>
      </c>
      <c r="L309" s="16" t="str">
        <f t="shared" si="4"/>
        <v>1-6,13-16</v>
      </c>
      <c r="M309" s="16" t="str">
        <f t="shared" si="5"/>
        <v>1-6,13-16</v>
      </c>
      <c r="N309" s="16" t="str">
        <f t="shared" si="6"/>
        <v>1-16</v>
      </c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9" t="s">
        <v>742</v>
      </c>
      <c r="B310" s="10" t="s">
        <v>455</v>
      </c>
      <c r="C310" s="11" t="s">
        <v>743</v>
      </c>
      <c r="D310" s="23" t="s">
        <v>744</v>
      </c>
      <c r="E310" s="13" t="str">
        <f t="array" ref="E310">INDEX(Turmas!C2:C106,MATCH(D310,Turmas!A2:A106,0))</f>
        <v>Manhã</v>
      </c>
      <c r="F310" s="14">
        <v>0.0</v>
      </c>
      <c r="G310" s="15">
        <v>3.0</v>
      </c>
      <c r="H310" s="15">
        <v>0.0</v>
      </c>
      <c r="I310" s="16" t="str">
        <f t="shared" si="1"/>
        <v>7-16</v>
      </c>
      <c r="J310" s="16" t="str">
        <f t="shared" si="2"/>
        <v>7-16</v>
      </c>
      <c r="K310" s="16" t="str">
        <f t="shared" si="3"/>
        <v>7-16</v>
      </c>
      <c r="L310" s="16" t="str">
        <f t="shared" si="4"/>
        <v>7-16</v>
      </c>
      <c r="M310" s="16" t="str">
        <f t="shared" si="5"/>
        <v>7-16</v>
      </c>
      <c r="N310" s="16" t="str">
        <f t="shared" si="6"/>
        <v>1-16</v>
      </c>
      <c r="O310" s="17"/>
      <c r="P310" s="17"/>
      <c r="Q310" s="17"/>
      <c r="R310" s="17"/>
      <c r="S310" s="17"/>
      <c r="T310" s="17"/>
      <c r="U310" s="17"/>
      <c r="V310" s="17"/>
      <c r="W310" s="17"/>
    </row>
    <row r="311" ht="15.75" customHeight="1">
      <c r="A311" s="9" t="s">
        <v>745</v>
      </c>
      <c r="B311" s="10" t="s">
        <v>746</v>
      </c>
      <c r="C311" s="11" t="s">
        <v>747</v>
      </c>
      <c r="D311" s="23" t="s">
        <v>744</v>
      </c>
      <c r="E311" s="13" t="str">
        <f t="array" ref="E311">INDEX(Turmas!C2:C106,MATCH(D311,Turmas!A2:A106,0))</f>
        <v>Manhã</v>
      </c>
      <c r="F311" s="14">
        <v>0.0</v>
      </c>
      <c r="G311" s="15">
        <v>3.0</v>
      </c>
      <c r="H311" s="15">
        <v>0.0</v>
      </c>
      <c r="I311" s="16" t="str">
        <f t="shared" si="1"/>
        <v>7-16</v>
      </c>
      <c r="J311" s="16" t="str">
        <f t="shared" si="2"/>
        <v>7-16</v>
      </c>
      <c r="K311" s="16" t="str">
        <f t="shared" si="3"/>
        <v>7-16</v>
      </c>
      <c r="L311" s="16" t="str">
        <f t="shared" si="4"/>
        <v>7-16</v>
      </c>
      <c r="M311" s="16" t="str">
        <f t="shared" si="5"/>
        <v>7-16</v>
      </c>
      <c r="N311" s="16" t="str">
        <f t="shared" si="6"/>
        <v>1-16</v>
      </c>
      <c r="O311" s="17"/>
      <c r="P311" s="17"/>
      <c r="Q311" s="17"/>
      <c r="R311" s="17"/>
      <c r="S311" s="17"/>
      <c r="T311" s="17"/>
      <c r="U311" s="17"/>
      <c r="V311" s="17"/>
      <c r="W311" s="17"/>
    </row>
    <row r="312" ht="15.75" customHeight="1">
      <c r="A312" s="9" t="s">
        <v>748</v>
      </c>
      <c r="B312" s="10" t="s">
        <v>749</v>
      </c>
      <c r="C312" s="11" t="s">
        <v>396</v>
      </c>
      <c r="D312" s="23" t="s">
        <v>744</v>
      </c>
      <c r="E312" s="13" t="str">
        <f t="array" ref="E312">INDEX(Turmas!C2:C106,MATCH(D312,Turmas!A2:A106,0))</f>
        <v>Manhã</v>
      </c>
      <c r="F312" s="14">
        <v>0.0</v>
      </c>
      <c r="G312" s="15">
        <v>3.0</v>
      </c>
      <c r="H312" s="15">
        <v>0.0</v>
      </c>
      <c r="I312" s="16" t="str">
        <f t="shared" si="1"/>
        <v>7-16</v>
      </c>
      <c r="J312" s="16" t="str">
        <f t="shared" si="2"/>
        <v>7-16</v>
      </c>
      <c r="K312" s="16" t="str">
        <f t="shared" si="3"/>
        <v>7-16</v>
      </c>
      <c r="L312" s="16" t="str">
        <f t="shared" si="4"/>
        <v>7-16</v>
      </c>
      <c r="M312" s="16" t="str">
        <f t="shared" si="5"/>
        <v>7-16</v>
      </c>
      <c r="N312" s="16" t="str">
        <f t="shared" si="6"/>
        <v>1-16</v>
      </c>
      <c r="O312" s="17"/>
      <c r="P312" s="17"/>
      <c r="Q312" s="17"/>
      <c r="R312" s="17"/>
      <c r="S312" s="17"/>
      <c r="T312" s="17"/>
      <c r="U312" s="17"/>
      <c r="V312" s="17"/>
      <c r="W312" s="17"/>
    </row>
    <row r="313" ht="15.75" customHeight="1">
      <c r="A313" s="9" t="s">
        <v>750</v>
      </c>
      <c r="B313" s="10" t="s">
        <v>751</v>
      </c>
      <c r="C313" s="11" t="s">
        <v>201</v>
      </c>
      <c r="D313" s="23" t="s">
        <v>744</v>
      </c>
      <c r="E313" s="13" t="str">
        <f t="array" ref="E313">INDEX(Turmas!C2:C106,MATCH(D313,Turmas!A2:A106,0))</f>
        <v>Manhã</v>
      </c>
      <c r="F313" s="14">
        <v>0.0</v>
      </c>
      <c r="G313" s="15">
        <v>3.0</v>
      </c>
      <c r="H313" s="15">
        <v>0.0</v>
      </c>
      <c r="I313" s="16" t="str">
        <f t="shared" si="1"/>
        <v>7-16</v>
      </c>
      <c r="J313" s="16" t="str">
        <f t="shared" si="2"/>
        <v>7-16</v>
      </c>
      <c r="K313" s="16" t="str">
        <f t="shared" si="3"/>
        <v>7-16</v>
      </c>
      <c r="L313" s="16" t="str">
        <f t="shared" si="4"/>
        <v>7-16</v>
      </c>
      <c r="M313" s="16" t="str">
        <f t="shared" si="5"/>
        <v>7-16</v>
      </c>
      <c r="N313" s="16" t="str">
        <f t="shared" si="6"/>
        <v>1-16</v>
      </c>
      <c r="O313" s="17"/>
      <c r="P313" s="17"/>
      <c r="Q313" s="17"/>
      <c r="R313" s="17"/>
      <c r="S313" s="17"/>
      <c r="T313" s="17"/>
      <c r="U313" s="17"/>
      <c r="V313" s="17"/>
      <c r="W313" s="17"/>
    </row>
    <row r="314" ht="15.75" customHeight="1">
      <c r="A314" s="9" t="s">
        <v>752</v>
      </c>
      <c r="B314" s="10" t="s">
        <v>753</v>
      </c>
      <c r="C314" s="11" t="s">
        <v>171</v>
      </c>
      <c r="D314" s="23" t="s">
        <v>744</v>
      </c>
      <c r="E314" s="13" t="str">
        <f t="array" ref="E314">INDEX(Turmas!C2:C106,MATCH(D314,Turmas!A2:A106,0))</f>
        <v>Manhã</v>
      </c>
      <c r="F314" s="14">
        <v>0.0</v>
      </c>
      <c r="G314" s="15">
        <v>2.0</v>
      </c>
      <c r="H314" s="15">
        <v>0.0</v>
      </c>
      <c r="I314" s="16" t="str">
        <f t="shared" si="1"/>
        <v>7-16</v>
      </c>
      <c r="J314" s="16" t="str">
        <f t="shared" si="2"/>
        <v>7-16</v>
      </c>
      <c r="K314" s="16" t="str">
        <f t="shared" si="3"/>
        <v>7-16</v>
      </c>
      <c r="L314" s="16" t="str">
        <f t="shared" si="4"/>
        <v>7-16</v>
      </c>
      <c r="M314" s="16" t="str">
        <f t="shared" si="5"/>
        <v>7-16</v>
      </c>
      <c r="N314" s="16" t="str">
        <f t="shared" si="6"/>
        <v>1-16</v>
      </c>
      <c r="O314" s="17"/>
      <c r="P314" s="17"/>
      <c r="Q314" s="17"/>
      <c r="R314" s="17"/>
      <c r="S314" s="17"/>
      <c r="T314" s="17"/>
      <c r="U314" s="17"/>
      <c r="V314" s="17"/>
      <c r="W314" s="17"/>
    </row>
    <row r="315" ht="15.75" customHeight="1">
      <c r="A315" s="9" t="s">
        <v>754</v>
      </c>
      <c r="B315" s="10" t="s">
        <v>755</v>
      </c>
      <c r="C315" s="11" t="s">
        <v>273</v>
      </c>
      <c r="D315" s="23" t="s">
        <v>744</v>
      </c>
      <c r="E315" s="13" t="str">
        <f t="array" ref="E315">INDEX(Turmas!C2:C106,MATCH(D315,Turmas!A2:A106,0))</f>
        <v>Manhã</v>
      </c>
      <c r="F315" s="14">
        <v>0.0</v>
      </c>
      <c r="G315" s="15">
        <v>2.0</v>
      </c>
      <c r="H315" s="15">
        <v>0.0</v>
      </c>
      <c r="I315" s="16" t="str">
        <f t="shared" si="1"/>
        <v>7-16</v>
      </c>
      <c r="J315" s="16" t="str">
        <f t="shared" si="2"/>
        <v>7-16</v>
      </c>
      <c r="K315" s="16" t="str">
        <f t="shared" si="3"/>
        <v>7-16</v>
      </c>
      <c r="L315" s="16" t="str">
        <f t="shared" si="4"/>
        <v>7-16</v>
      </c>
      <c r="M315" s="16" t="str">
        <f t="shared" si="5"/>
        <v>7-16</v>
      </c>
      <c r="N315" s="16" t="str">
        <f t="shared" si="6"/>
        <v>1-16</v>
      </c>
      <c r="O315" s="17"/>
      <c r="P315" s="17"/>
      <c r="Q315" s="17"/>
      <c r="R315" s="17"/>
      <c r="S315" s="17"/>
      <c r="T315" s="17"/>
      <c r="U315" s="17"/>
      <c r="V315" s="17"/>
      <c r="W315" s="17"/>
    </row>
    <row r="316" ht="15.75" customHeight="1">
      <c r="A316" s="9" t="s">
        <v>756</v>
      </c>
      <c r="B316" s="10" t="s">
        <v>757</v>
      </c>
      <c r="C316" s="11" t="s">
        <v>407</v>
      </c>
      <c r="D316" s="23" t="s">
        <v>744</v>
      </c>
      <c r="E316" s="13" t="str">
        <f t="array" ref="E316">INDEX(Turmas!C2:C106,MATCH(D316,Turmas!A2:A106,0))</f>
        <v>Manhã</v>
      </c>
      <c r="F316" s="14">
        <v>0.0</v>
      </c>
      <c r="G316" s="15">
        <v>2.0</v>
      </c>
      <c r="H316" s="15">
        <v>0.0</v>
      </c>
      <c r="I316" s="16" t="str">
        <f t="shared" si="1"/>
        <v>7-16</v>
      </c>
      <c r="J316" s="16" t="str">
        <f t="shared" si="2"/>
        <v>7-16</v>
      </c>
      <c r="K316" s="16" t="str">
        <f t="shared" si="3"/>
        <v>7-16</v>
      </c>
      <c r="L316" s="16" t="str">
        <f t="shared" si="4"/>
        <v>7-16</v>
      </c>
      <c r="M316" s="16" t="str">
        <f t="shared" si="5"/>
        <v>7-16</v>
      </c>
      <c r="N316" s="16" t="str">
        <f t="shared" si="6"/>
        <v>1-16</v>
      </c>
      <c r="O316" s="17"/>
      <c r="P316" s="17"/>
      <c r="Q316" s="17"/>
      <c r="R316" s="17"/>
      <c r="S316" s="17"/>
      <c r="T316" s="17"/>
      <c r="U316" s="17"/>
      <c r="V316" s="17"/>
      <c r="W316" s="17"/>
    </row>
    <row r="317" ht="15.75" customHeight="1">
      <c r="A317" s="9" t="s">
        <v>758</v>
      </c>
      <c r="B317" s="10" t="s">
        <v>759</v>
      </c>
      <c r="C317" s="11" t="s">
        <v>657</v>
      </c>
      <c r="D317" s="23" t="s">
        <v>760</v>
      </c>
      <c r="E317" s="13" t="str">
        <f t="array" ref="E317">INDEX(Turmas!C2:C106,MATCH(D317,Turmas!A2:A106,0))</f>
        <v>Tarde</v>
      </c>
      <c r="F317" s="14">
        <v>0.0</v>
      </c>
      <c r="G317" s="15">
        <v>3.0</v>
      </c>
      <c r="H317" s="15">
        <v>0.0</v>
      </c>
      <c r="I317" s="16" t="str">
        <f t="shared" si="1"/>
        <v>1-6,13-16</v>
      </c>
      <c r="J317" s="16" t="str">
        <f t="shared" si="2"/>
        <v>1-6,13-16</v>
      </c>
      <c r="K317" s="16" t="str">
        <f t="shared" si="3"/>
        <v>1-6,13-16</v>
      </c>
      <c r="L317" s="16" t="str">
        <f t="shared" si="4"/>
        <v>1-6,13-16</v>
      </c>
      <c r="M317" s="16" t="str">
        <f t="shared" si="5"/>
        <v>1-6,13-16</v>
      </c>
      <c r="N317" s="16" t="str">
        <f t="shared" si="6"/>
        <v>1-16</v>
      </c>
      <c r="O317" s="17"/>
      <c r="P317" s="17"/>
      <c r="Q317" s="17"/>
      <c r="R317" s="17"/>
      <c r="S317" s="17"/>
      <c r="T317" s="17"/>
      <c r="U317" s="17"/>
      <c r="V317" s="17"/>
      <c r="W317" s="17"/>
    </row>
    <row r="318" ht="15.75" customHeight="1">
      <c r="A318" s="9" t="s">
        <v>761</v>
      </c>
      <c r="B318" s="10" t="s">
        <v>762</v>
      </c>
      <c r="C318" s="11" t="s">
        <v>740</v>
      </c>
      <c r="D318" s="23" t="s">
        <v>760</v>
      </c>
      <c r="E318" s="13" t="str">
        <f t="array" ref="E318">INDEX(Turmas!C2:C106,MATCH(D318,Turmas!A2:A106,0))</f>
        <v>Tarde</v>
      </c>
      <c r="F318" s="14">
        <v>0.0</v>
      </c>
      <c r="G318" s="15">
        <v>3.0</v>
      </c>
      <c r="H318" s="15">
        <v>0.0</v>
      </c>
      <c r="I318" s="16" t="str">
        <f t="shared" si="1"/>
        <v>1-6,13-16</v>
      </c>
      <c r="J318" s="16" t="str">
        <f t="shared" si="2"/>
        <v>1-6,13-16</v>
      </c>
      <c r="K318" s="16" t="str">
        <f t="shared" si="3"/>
        <v>1-6,13-16</v>
      </c>
      <c r="L318" s="16" t="str">
        <f t="shared" si="4"/>
        <v>1-6,13-16</v>
      </c>
      <c r="M318" s="16" t="str">
        <f t="shared" si="5"/>
        <v>1-6,13-16</v>
      </c>
      <c r="N318" s="16" t="str">
        <f t="shared" si="6"/>
        <v>1-16</v>
      </c>
      <c r="O318" s="17"/>
      <c r="P318" s="17"/>
      <c r="Q318" s="17"/>
      <c r="R318" s="17"/>
      <c r="S318" s="17"/>
      <c r="T318" s="17"/>
      <c r="U318" s="17"/>
      <c r="V318" s="17"/>
      <c r="W318" s="17"/>
    </row>
    <row r="319" ht="15.75" customHeight="1">
      <c r="A319" s="9" t="s">
        <v>763</v>
      </c>
      <c r="B319" s="10" t="s">
        <v>764</v>
      </c>
      <c r="C319" s="11" t="s">
        <v>165</v>
      </c>
      <c r="D319" s="23" t="s">
        <v>760</v>
      </c>
      <c r="E319" s="13" t="str">
        <f t="array" ref="E319">INDEX(Turmas!C2:C106,MATCH(D319,Turmas!A2:A106,0))</f>
        <v>Tarde</v>
      </c>
      <c r="F319" s="14">
        <v>0.0</v>
      </c>
      <c r="G319" s="15">
        <v>2.0</v>
      </c>
      <c r="H319" s="15">
        <v>0.0</v>
      </c>
      <c r="I319" s="16" t="str">
        <f t="shared" si="1"/>
        <v>1-6,13-16</v>
      </c>
      <c r="J319" s="16" t="str">
        <f t="shared" si="2"/>
        <v>1-6,13-16</v>
      </c>
      <c r="K319" s="16" t="str">
        <f t="shared" si="3"/>
        <v>1-6,13-16</v>
      </c>
      <c r="L319" s="16" t="str">
        <f t="shared" si="4"/>
        <v>1-6,13-16</v>
      </c>
      <c r="M319" s="16" t="str">
        <f t="shared" si="5"/>
        <v>1-6,13-16</v>
      </c>
      <c r="N319" s="16" t="str">
        <f t="shared" si="6"/>
        <v>1-16</v>
      </c>
      <c r="O319" s="17"/>
      <c r="P319" s="17"/>
      <c r="Q319" s="17"/>
      <c r="R319" s="17"/>
      <c r="S319" s="17"/>
      <c r="T319" s="17"/>
      <c r="U319" s="17"/>
      <c r="V319" s="17"/>
      <c r="W319" s="17"/>
    </row>
    <row r="320" ht="15.75" customHeight="1">
      <c r="A320" s="9" t="s">
        <v>765</v>
      </c>
      <c r="B320" s="10" t="s">
        <v>766</v>
      </c>
      <c r="C320" s="11" t="s">
        <v>598</v>
      </c>
      <c r="D320" s="23" t="s">
        <v>760</v>
      </c>
      <c r="E320" s="13" t="str">
        <f t="array" ref="E320">INDEX(Turmas!C2:C106,MATCH(D320,Turmas!A2:A106,0))</f>
        <v>Tarde</v>
      </c>
      <c r="F320" s="14">
        <v>0.0</v>
      </c>
      <c r="G320" s="15">
        <v>2.0</v>
      </c>
      <c r="H320" s="15">
        <v>0.0</v>
      </c>
      <c r="I320" s="16" t="str">
        <f t="shared" si="1"/>
        <v>1-6,13-16</v>
      </c>
      <c r="J320" s="16" t="str">
        <f t="shared" si="2"/>
        <v>1-6,13-16</v>
      </c>
      <c r="K320" s="16" t="str">
        <f t="shared" si="3"/>
        <v>1-6,13-16</v>
      </c>
      <c r="L320" s="16" t="str">
        <f t="shared" si="4"/>
        <v>1-6,13-16</v>
      </c>
      <c r="M320" s="16" t="str">
        <f t="shared" si="5"/>
        <v>1-6,13-16</v>
      </c>
      <c r="N320" s="16" t="str">
        <f t="shared" si="6"/>
        <v>1-16</v>
      </c>
      <c r="O320" s="17"/>
      <c r="P320" s="17"/>
      <c r="Q320" s="17"/>
      <c r="R320" s="17"/>
      <c r="S320" s="17"/>
      <c r="T320" s="17"/>
      <c r="U320" s="17"/>
      <c r="V320" s="17"/>
      <c r="W320" s="17"/>
    </row>
    <row r="321" ht="15.75" customHeight="1">
      <c r="A321" s="9" t="s">
        <v>767</v>
      </c>
      <c r="B321" s="10" t="s">
        <v>768</v>
      </c>
      <c r="C321" s="11" t="s">
        <v>201</v>
      </c>
      <c r="D321" s="23" t="s">
        <v>760</v>
      </c>
      <c r="E321" s="13" t="str">
        <f t="array" ref="E321">INDEX(Turmas!C2:C106,MATCH(D321,Turmas!A2:A106,0))</f>
        <v>Tarde</v>
      </c>
      <c r="F321" s="14">
        <v>0.0</v>
      </c>
      <c r="G321" s="15">
        <v>4.0</v>
      </c>
      <c r="H321" s="15">
        <v>0.0</v>
      </c>
      <c r="I321" s="16" t="str">
        <f t="shared" si="1"/>
        <v>1-6,13-16</v>
      </c>
      <c r="J321" s="16" t="str">
        <f t="shared" si="2"/>
        <v>1-6,13-16</v>
      </c>
      <c r="K321" s="16" t="str">
        <f t="shared" si="3"/>
        <v>1-6,13-16</v>
      </c>
      <c r="L321" s="16" t="str">
        <f t="shared" si="4"/>
        <v>1-6,13-16</v>
      </c>
      <c r="M321" s="16" t="str">
        <f t="shared" si="5"/>
        <v>1-6,13-16</v>
      </c>
      <c r="N321" s="16" t="str">
        <f t="shared" si="6"/>
        <v>1-16</v>
      </c>
      <c r="O321" s="17"/>
      <c r="P321" s="17"/>
      <c r="Q321" s="17"/>
      <c r="R321" s="17"/>
      <c r="S321" s="17"/>
      <c r="T321" s="17"/>
      <c r="U321" s="17"/>
      <c r="V321" s="17"/>
      <c r="W321" s="17"/>
    </row>
    <row r="322" ht="15.75" customHeight="1">
      <c r="A322" s="9" t="s">
        <v>769</v>
      </c>
      <c r="B322" s="10" t="s">
        <v>770</v>
      </c>
      <c r="C322" s="11" t="s">
        <v>510</v>
      </c>
      <c r="D322" s="23" t="s">
        <v>760</v>
      </c>
      <c r="E322" s="13" t="str">
        <f t="array" ref="E322">INDEX(Turmas!C2:C106,MATCH(D322,Turmas!A2:A106,0))</f>
        <v>Tarde</v>
      </c>
      <c r="F322" s="14">
        <v>0.0</v>
      </c>
      <c r="G322" s="15">
        <v>3.0</v>
      </c>
      <c r="H322" s="15">
        <v>0.0</v>
      </c>
      <c r="I322" s="16" t="str">
        <f t="shared" si="1"/>
        <v>1-6,13-16</v>
      </c>
      <c r="J322" s="16" t="str">
        <f t="shared" si="2"/>
        <v>1-6,13-16</v>
      </c>
      <c r="K322" s="16" t="str">
        <f t="shared" si="3"/>
        <v>1-6,13-16</v>
      </c>
      <c r="L322" s="16" t="str">
        <f t="shared" si="4"/>
        <v>1-6,13-16</v>
      </c>
      <c r="M322" s="16" t="str">
        <f t="shared" si="5"/>
        <v>1-6,13-16</v>
      </c>
      <c r="N322" s="16" t="str">
        <f t="shared" si="6"/>
        <v>1-16</v>
      </c>
      <c r="O322" s="17"/>
      <c r="P322" s="17"/>
      <c r="Q322" s="17"/>
      <c r="R322" s="17"/>
      <c r="S322" s="17"/>
      <c r="T322" s="17"/>
      <c r="U322" s="17"/>
      <c r="V322" s="17"/>
      <c r="W322" s="17"/>
    </row>
    <row r="323" ht="15.75" customHeight="1">
      <c r="A323" s="9" t="s">
        <v>261</v>
      </c>
      <c r="B323" s="10" t="s">
        <v>262</v>
      </c>
      <c r="C323" s="11" t="s">
        <v>662</v>
      </c>
      <c r="D323" s="23" t="s">
        <v>760</v>
      </c>
      <c r="E323" s="13" t="str">
        <f t="array" ref="E323">INDEX(Turmas!C2:C106,MATCH(D323,Turmas!A2:A106,0))</f>
        <v>Tarde</v>
      </c>
      <c r="F323" s="14">
        <v>0.0</v>
      </c>
      <c r="G323" s="15">
        <v>2.0</v>
      </c>
      <c r="H323" s="15">
        <v>0.0</v>
      </c>
      <c r="I323" s="16" t="str">
        <f t="shared" si="1"/>
        <v>1-6,13-16</v>
      </c>
      <c r="J323" s="16" t="str">
        <f t="shared" si="2"/>
        <v>1-6,13-16</v>
      </c>
      <c r="K323" s="16" t="str">
        <f t="shared" si="3"/>
        <v>1-6,13-16</v>
      </c>
      <c r="L323" s="16" t="str">
        <f t="shared" si="4"/>
        <v>1-6,13-16</v>
      </c>
      <c r="M323" s="16" t="str">
        <f t="shared" si="5"/>
        <v>1-6,13-16</v>
      </c>
      <c r="N323" s="16" t="str">
        <f t="shared" si="6"/>
        <v>1-16</v>
      </c>
      <c r="O323" s="17"/>
      <c r="P323" s="17"/>
      <c r="Q323" s="17"/>
      <c r="R323" s="17"/>
      <c r="S323" s="17"/>
      <c r="T323" s="17"/>
      <c r="U323" s="17"/>
      <c r="V323" s="17"/>
      <c r="W323" s="17"/>
    </row>
    <row r="324" ht="15.75" customHeight="1">
      <c r="A324" s="9" t="s">
        <v>771</v>
      </c>
      <c r="B324" s="10" t="s">
        <v>772</v>
      </c>
      <c r="C324" s="11" t="s">
        <v>696</v>
      </c>
      <c r="D324" s="23" t="s">
        <v>773</v>
      </c>
      <c r="E324" s="13" t="str">
        <f t="array" ref="E324">INDEX(Turmas!C2:C106,MATCH(D324,Turmas!A2:A106,0))</f>
        <v>Manhã</v>
      </c>
      <c r="F324" s="14">
        <v>0.0</v>
      </c>
      <c r="G324" s="15">
        <v>3.0</v>
      </c>
      <c r="H324" s="15">
        <v>0.0</v>
      </c>
      <c r="I324" s="16" t="str">
        <f t="shared" si="1"/>
        <v>7-16</v>
      </c>
      <c r="J324" s="16" t="str">
        <f t="shared" si="2"/>
        <v>7-16</v>
      </c>
      <c r="K324" s="16" t="str">
        <f t="shared" si="3"/>
        <v>7-16</v>
      </c>
      <c r="L324" s="16" t="str">
        <f t="shared" si="4"/>
        <v>7-16</v>
      </c>
      <c r="M324" s="16" t="str">
        <f t="shared" si="5"/>
        <v>7-16</v>
      </c>
      <c r="N324" s="16" t="str">
        <f t="shared" si="6"/>
        <v>1-16</v>
      </c>
      <c r="O324" s="17"/>
      <c r="P324" s="17"/>
      <c r="Q324" s="17"/>
      <c r="R324" s="17"/>
      <c r="S324" s="17"/>
      <c r="T324" s="17"/>
      <c r="U324" s="17"/>
      <c r="V324" s="17"/>
      <c r="W324" s="17"/>
    </row>
    <row r="325" ht="15.75" customHeight="1">
      <c r="A325" s="9" t="s">
        <v>774</v>
      </c>
      <c r="B325" s="10" t="s">
        <v>775</v>
      </c>
      <c r="C325" s="11" t="s">
        <v>710</v>
      </c>
      <c r="D325" s="23" t="s">
        <v>773</v>
      </c>
      <c r="E325" s="13" t="str">
        <f t="array" ref="E325">INDEX(Turmas!C2:C106,MATCH(D325,Turmas!A2:A106,0))</f>
        <v>Manhã</v>
      </c>
      <c r="F325" s="14">
        <v>0.0</v>
      </c>
      <c r="G325" s="15">
        <v>3.0</v>
      </c>
      <c r="H325" s="15">
        <v>0.0</v>
      </c>
      <c r="I325" s="16" t="str">
        <f t="shared" si="1"/>
        <v>7-16</v>
      </c>
      <c r="J325" s="16" t="str">
        <f t="shared" si="2"/>
        <v>7-16</v>
      </c>
      <c r="K325" s="16" t="str">
        <f t="shared" si="3"/>
        <v>7-16</v>
      </c>
      <c r="L325" s="16" t="str">
        <f t="shared" si="4"/>
        <v>7-16</v>
      </c>
      <c r="M325" s="16" t="str">
        <f t="shared" si="5"/>
        <v>7-16</v>
      </c>
      <c r="N325" s="16" t="str">
        <f t="shared" si="6"/>
        <v>1-16</v>
      </c>
      <c r="O325" s="17"/>
      <c r="P325" s="17"/>
      <c r="Q325" s="17"/>
      <c r="R325" s="17"/>
      <c r="S325" s="17"/>
      <c r="T325" s="17"/>
      <c r="U325" s="17"/>
      <c r="V325" s="17"/>
      <c r="W325" s="17"/>
    </row>
    <row r="326" ht="15.75" customHeight="1">
      <c r="A326" s="9" t="s">
        <v>776</v>
      </c>
      <c r="B326" s="10" t="s">
        <v>777</v>
      </c>
      <c r="C326" s="11" t="s">
        <v>740</v>
      </c>
      <c r="D326" s="23" t="s">
        <v>773</v>
      </c>
      <c r="E326" s="13" t="str">
        <f t="array" ref="E326">INDEX(Turmas!C2:C106,MATCH(D326,Turmas!A2:A106,0))</f>
        <v>Manhã</v>
      </c>
      <c r="F326" s="14">
        <v>0.0</v>
      </c>
      <c r="G326" s="15">
        <v>4.0</v>
      </c>
      <c r="H326" s="15">
        <v>0.0</v>
      </c>
      <c r="I326" s="16" t="str">
        <f t="shared" si="1"/>
        <v>7-16</v>
      </c>
      <c r="J326" s="16" t="str">
        <f t="shared" si="2"/>
        <v>7-16</v>
      </c>
      <c r="K326" s="16" t="str">
        <f t="shared" si="3"/>
        <v>7-16</v>
      </c>
      <c r="L326" s="16" t="str">
        <f t="shared" si="4"/>
        <v>7-16</v>
      </c>
      <c r="M326" s="16" t="str">
        <f t="shared" si="5"/>
        <v>7-16</v>
      </c>
      <c r="N326" s="16" t="str">
        <f t="shared" si="6"/>
        <v>1-16</v>
      </c>
      <c r="O326" s="17"/>
      <c r="P326" s="17"/>
      <c r="Q326" s="17"/>
      <c r="R326" s="17"/>
      <c r="S326" s="17"/>
      <c r="T326" s="17"/>
      <c r="U326" s="17"/>
      <c r="V326" s="17"/>
      <c r="W326" s="17"/>
    </row>
    <row r="327" ht="15.75" customHeight="1">
      <c r="A327" s="9" t="s">
        <v>778</v>
      </c>
      <c r="B327" s="10" t="s">
        <v>779</v>
      </c>
      <c r="C327" s="11" t="s">
        <v>696</v>
      </c>
      <c r="D327" s="23" t="s">
        <v>773</v>
      </c>
      <c r="E327" s="13" t="str">
        <f t="array" ref="E327">INDEX(Turmas!C2:C106,MATCH(D327,Turmas!A2:A106,0))</f>
        <v>Manhã</v>
      </c>
      <c r="F327" s="14">
        <v>0.0</v>
      </c>
      <c r="G327" s="15">
        <v>2.0</v>
      </c>
      <c r="H327" s="15">
        <v>0.0</v>
      </c>
      <c r="I327" s="16" t="str">
        <f t="shared" si="1"/>
        <v>7-16</v>
      </c>
      <c r="J327" s="16" t="str">
        <f t="shared" si="2"/>
        <v>7-16</v>
      </c>
      <c r="K327" s="16" t="str">
        <f t="shared" si="3"/>
        <v>7-16</v>
      </c>
      <c r="L327" s="16" t="str">
        <f t="shared" si="4"/>
        <v>7-16</v>
      </c>
      <c r="M327" s="16" t="str">
        <f t="shared" si="5"/>
        <v>7-16</v>
      </c>
      <c r="N327" s="16" t="str">
        <f t="shared" si="6"/>
        <v>1-16</v>
      </c>
      <c r="O327" s="17"/>
      <c r="P327" s="17"/>
      <c r="Q327" s="17"/>
      <c r="R327" s="17"/>
      <c r="S327" s="17"/>
      <c r="T327" s="17"/>
      <c r="U327" s="17"/>
      <c r="V327" s="17"/>
      <c r="W327" s="17"/>
    </row>
    <row r="328" ht="15.75" customHeight="1">
      <c r="A328" s="9" t="s">
        <v>780</v>
      </c>
      <c r="B328" s="19" t="s">
        <v>781</v>
      </c>
      <c r="C328" s="11" t="s">
        <v>668</v>
      </c>
      <c r="D328" s="23" t="s">
        <v>773</v>
      </c>
      <c r="E328" s="13" t="str">
        <f t="array" ref="E328">INDEX(Turmas!C2:C106,MATCH(D328,Turmas!A2:A106,0))</f>
        <v>Manhã</v>
      </c>
      <c r="F328" s="14">
        <v>0.0</v>
      </c>
      <c r="G328" s="15">
        <v>2.0</v>
      </c>
      <c r="H328" s="15">
        <v>0.0</v>
      </c>
      <c r="I328" s="16" t="str">
        <f t="shared" si="1"/>
        <v>7-16</v>
      </c>
      <c r="J328" s="16" t="str">
        <f t="shared" si="2"/>
        <v>7-16</v>
      </c>
      <c r="K328" s="16" t="str">
        <f t="shared" si="3"/>
        <v>7-16</v>
      </c>
      <c r="L328" s="16" t="str">
        <f t="shared" si="4"/>
        <v>7-16</v>
      </c>
      <c r="M328" s="16" t="str">
        <f t="shared" si="5"/>
        <v>7-16</v>
      </c>
      <c r="N328" s="16" t="str">
        <f t="shared" si="6"/>
        <v>1-16</v>
      </c>
      <c r="O328" s="17"/>
      <c r="P328" s="17"/>
      <c r="Q328" s="17"/>
      <c r="R328" s="17"/>
      <c r="S328" s="17"/>
      <c r="T328" s="17"/>
      <c r="U328" s="17"/>
      <c r="V328" s="17"/>
      <c r="W328" s="17"/>
    </row>
    <row r="329" ht="15.75" customHeight="1">
      <c r="A329" s="9" t="s">
        <v>782</v>
      </c>
      <c r="B329" s="19" t="s">
        <v>783</v>
      </c>
      <c r="C329" s="11" t="s">
        <v>662</v>
      </c>
      <c r="D329" s="23" t="s">
        <v>773</v>
      </c>
      <c r="E329" s="13" t="str">
        <f t="array" ref="E329">INDEX(Turmas!C2:C106,MATCH(D329,Turmas!A2:A106,0))</f>
        <v>Manhã</v>
      </c>
      <c r="F329" s="14">
        <v>0.0</v>
      </c>
      <c r="G329" s="15">
        <v>2.0</v>
      </c>
      <c r="H329" s="15">
        <v>0.0</v>
      </c>
      <c r="I329" s="16" t="str">
        <f t="shared" si="1"/>
        <v>7-16</v>
      </c>
      <c r="J329" s="16" t="str">
        <f t="shared" si="2"/>
        <v>7-16</v>
      </c>
      <c r="K329" s="16" t="str">
        <f t="shared" si="3"/>
        <v>7-16</v>
      </c>
      <c r="L329" s="16" t="str">
        <f t="shared" si="4"/>
        <v>7-16</v>
      </c>
      <c r="M329" s="16" t="str">
        <f t="shared" si="5"/>
        <v>7-16</v>
      </c>
      <c r="N329" s="16" t="str">
        <f t="shared" si="6"/>
        <v>1-16</v>
      </c>
      <c r="O329" s="17"/>
      <c r="P329" s="17"/>
      <c r="Q329" s="17"/>
      <c r="R329" s="17"/>
      <c r="S329" s="17"/>
      <c r="T329" s="17"/>
      <c r="U329" s="17"/>
      <c r="V329" s="17"/>
      <c r="W329" s="17"/>
    </row>
    <row r="330" ht="15.75" customHeight="1">
      <c r="A330" s="9" t="s">
        <v>784</v>
      </c>
      <c r="B330" s="19" t="s">
        <v>698</v>
      </c>
      <c r="C330" s="11" t="s">
        <v>113</v>
      </c>
      <c r="D330" s="23" t="s">
        <v>785</v>
      </c>
      <c r="E330" s="13" t="str">
        <f t="array" ref="E330">INDEX(Turmas!C2:C106,MATCH(D330,Turmas!A2:A106,0))</f>
        <v>Tarde</v>
      </c>
      <c r="F330" s="14">
        <v>0.0</v>
      </c>
      <c r="G330" s="15">
        <v>3.0</v>
      </c>
      <c r="H330" s="15">
        <v>0.0</v>
      </c>
      <c r="I330" s="16" t="str">
        <f t="shared" si="1"/>
        <v>1-6,13-16</v>
      </c>
      <c r="J330" s="16" t="str">
        <f t="shared" si="2"/>
        <v>1-6,13-16</v>
      </c>
      <c r="K330" s="16" t="str">
        <f t="shared" si="3"/>
        <v>1-6,13-16</v>
      </c>
      <c r="L330" s="16" t="str">
        <f t="shared" si="4"/>
        <v>1-6,13-16</v>
      </c>
      <c r="M330" s="16" t="str">
        <f t="shared" si="5"/>
        <v>1-6,13-16</v>
      </c>
      <c r="N330" s="16" t="str">
        <f t="shared" si="6"/>
        <v>1-16</v>
      </c>
      <c r="O330" s="17"/>
      <c r="P330" s="17"/>
      <c r="Q330" s="17"/>
      <c r="R330" s="17"/>
      <c r="S330" s="17"/>
      <c r="T330" s="17"/>
      <c r="U330" s="17"/>
      <c r="V330" s="17"/>
      <c r="W330" s="17"/>
    </row>
    <row r="331" ht="15.75" customHeight="1">
      <c r="A331" s="9" t="s">
        <v>786</v>
      </c>
      <c r="B331" s="19" t="s">
        <v>306</v>
      </c>
      <c r="C331" s="11" t="s">
        <v>201</v>
      </c>
      <c r="D331" s="23" t="s">
        <v>785</v>
      </c>
      <c r="E331" s="13" t="str">
        <f t="array" ref="E331">INDEX(Turmas!C2:C106,MATCH(D331,Turmas!A2:A106,0))</f>
        <v>Tarde</v>
      </c>
      <c r="F331" s="14">
        <v>0.0</v>
      </c>
      <c r="G331" s="15">
        <v>2.0</v>
      </c>
      <c r="H331" s="15">
        <v>0.0</v>
      </c>
      <c r="I331" s="16" t="str">
        <f t="shared" si="1"/>
        <v>1-6,13-16</v>
      </c>
      <c r="J331" s="16" t="str">
        <f t="shared" si="2"/>
        <v>1-6,13-16</v>
      </c>
      <c r="K331" s="16" t="str">
        <f t="shared" si="3"/>
        <v>1-6,13-16</v>
      </c>
      <c r="L331" s="16" t="str">
        <f t="shared" si="4"/>
        <v>1-6,13-16</v>
      </c>
      <c r="M331" s="16" t="str">
        <f t="shared" si="5"/>
        <v>1-6,13-16</v>
      </c>
      <c r="N331" s="16" t="str">
        <f t="shared" si="6"/>
        <v>1-16</v>
      </c>
      <c r="O331" s="17"/>
      <c r="P331" s="17"/>
      <c r="Q331" s="17"/>
      <c r="R331" s="17"/>
      <c r="S331" s="17"/>
      <c r="T331" s="17"/>
      <c r="U331" s="17"/>
      <c r="V331" s="17"/>
      <c r="W331" s="17"/>
    </row>
    <row r="332" ht="15.75" customHeight="1">
      <c r="A332" s="9" t="s">
        <v>787</v>
      </c>
      <c r="B332" s="19" t="s">
        <v>788</v>
      </c>
      <c r="C332" s="11" t="s">
        <v>668</v>
      </c>
      <c r="D332" s="23" t="s">
        <v>785</v>
      </c>
      <c r="E332" s="13" t="str">
        <f t="array" ref="E332">INDEX(Turmas!C2:C106,MATCH(D332,Turmas!A2:A106,0))</f>
        <v>Tarde</v>
      </c>
      <c r="F332" s="20">
        <v>0.0</v>
      </c>
      <c r="G332" s="15">
        <v>2.0</v>
      </c>
      <c r="H332" s="15">
        <v>0.0</v>
      </c>
      <c r="I332" s="16" t="str">
        <f t="shared" si="1"/>
        <v>1-6,13-16</v>
      </c>
      <c r="J332" s="16" t="str">
        <f t="shared" si="2"/>
        <v>1-6,13-16</v>
      </c>
      <c r="K332" s="16" t="str">
        <f t="shared" si="3"/>
        <v>1-6,13-16</v>
      </c>
      <c r="L332" s="16" t="str">
        <f t="shared" si="4"/>
        <v>1-6,13-16</v>
      </c>
      <c r="M332" s="16" t="str">
        <f t="shared" si="5"/>
        <v>1-6,13-16</v>
      </c>
      <c r="N332" s="16" t="str">
        <f t="shared" si="6"/>
        <v>1-16</v>
      </c>
      <c r="O332" s="21"/>
      <c r="P332" s="21"/>
      <c r="Q332" s="21"/>
      <c r="R332" s="21"/>
      <c r="S332" s="21"/>
      <c r="T332" s="21"/>
      <c r="U332" s="21"/>
      <c r="V332" s="21"/>
      <c r="W332" s="21"/>
    </row>
    <row r="333" ht="15.75" customHeight="1">
      <c r="A333" s="9" t="s">
        <v>789</v>
      </c>
      <c r="B333" s="19" t="s">
        <v>790</v>
      </c>
      <c r="C333" s="11" t="s">
        <v>201</v>
      </c>
      <c r="D333" s="24" t="s">
        <v>791</v>
      </c>
      <c r="E333" s="13" t="str">
        <f t="array" ref="E333">INDEX(Turmas!C2:C106,MATCH(D333,Turmas!A2:A106,0))</f>
        <v>Manhã</v>
      </c>
      <c r="F333" s="14">
        <v>0.0</v>
      </c>
      <c r="G333" s="15">
        <v>3.0</v>
      </c>
      <c r="H333" s="15">
        <v>0.0</v>
      </c>
      <c r="I333" s="16" t="str">
        <f t="shared" si="1"/>
        <v>7-16</v>
      </c>
      <c r="J333" s="16" t="str">
        <f t="shared" si="2"/>
        <v>7-16</v>
      </c>
      <c r="K333" s="16" t="str">
        <f t="shared" si="3"/>
        <v>7-16</v>
      </c>
      <c r="L333" s="16" t="str">
        <f t="shared" si="4"/>
        <v>7-16</v>
      </c>
      <c r="M333" s="16" t="str">
        <f t="shared" si="5"/>
        <v>7-16</v>
      </c>
      <c r="N333" s="16" t="str">
        <f t="shared" si="6"/>
        <v>1-16</v>
      </c>
      <c r="O333" s="17"/>
      <c r="P333" s="17"/>
      <c r="Q333" s="17"/>
      <c r="R333" s="17"/>
      <c r="S333" s="17"/>
      <c r="T333" s="17"/>
      <c r="U333" s="17"/>
      <c r="V333" s="17"/>
      <c r="W333" s="17"/>
    </row>
    <row r="334" ht="15.75" customHeight="1">
      <c r="A334" s="9" t="s">
        <v>792</v>
      </c>
      <c r="B334" s="19" t="s">
        <v>137</v>
      </c>
      <c r="C334" s="11" t="s">
        <v>671</v>
      </c>
      <c r="D334" s="24" t="s">
        <v>791</v>
      </c>
      <c r="E334" s="13" t="str">
        <f t="array" ref="E334">INDEX(Turmas!C2:C106,MATCH(D334,Turmas!A2:A106,0))</f>
        <v>Manhã</v>
      </c>
      <c r="F334" s="14">
        <v>0.0</v>
      </c>
      <c r="G334" s="15">
        <v>3.0</v>
      </c>
      <c r="H334" s="15">
        <v>0.0</v>
      </c>
      <c r="I334" s="16" t="str">
        <f t="shared" si="1"/>
        <v>7-16</v>
      </c>
      <c r="J334" s="16" t="str">
        <f t="shared" si="2"/>
        <v>7-16</v>
      </c>
      <c r="K334" s="16" t="str">
        <f t="shared" si="3"/>
        <v>7-16</v>
      </c>
      <c r="L334" s="16" t="str">
        <f t="shared" si="4"/>
        <v>7-16</v>
      </c>
      <c r="M334" s="16" t="str">
        <f t="shared" si="5"/>
        <v>7-16</v>
      </c>
      <c r="N334" s="16" t="str">
        <f t="shared" si="6"/>
        <v>1-16</v>
      </c>
      <c r="O334" s="17"/>
      <c r="P334" s="17"/>
      <c r="Q334" s="17"/>
      <c r="R334" s="17"/>
      <c r="S334" s="17"/>
      <c r="T334" s="17"/>
      <c r="U334" s="17"/>
      <c r="V334" s="17"/>
      <c r="W334" s="17"/>
    </row>
    <row r="335" ht="15.75" customHeight="1">
      <c r="A335" s="9" t="s">
        <v>793</v>
      </c>
      <c r="B335" s="19" t="s">
        <v>197</v>
      </c>
      <c r="C335" s="11" t="s">
        <v>198</v>
      </c>
      <c r="D335" s="12" t="s">
        <v>794</v>
      </c>
      <c r="E335" s="13" t="str">
        <f t="array" ref="E335">INDEX(Turmas!C2:C106,MATCH(D335,Turmas!A2:A106,0))</f>
        <v>Noite</v>
      </c>
      <c r="F335" s="14">
        <v>0.0</v>
      </c>
      <c r="G335" s="15">
        <v>4.0</v>
      </c>
      <c r="H335" s="15">
        <v>0.0</v>
      </c>
      <c r="I335" s="16" t="str">
        <f t="shared" si="1"/>
        <v>1-12</v>
      </c>
      <c r="J335" s="16" t="str">
        <f t="shared" si="2"/>
        <v>1-12</v>
      </c>
      <c r="K335" s="16" t="str">
        <f t="shared" si="3"/>
        <v>1-12</v>
      </c>
      <c r="L335" s="16" t="str">
        <f t="shared" si="4"/>
        <v>1-12</v>
      </c>
      <c r="M335" s="16" t="str">
        <f t="shared" si="5"/>
        <v>1-12</v>
      </c>
      <c r="N335" s="16" t="str">
        <f t="shared" si="6"/>
        <v>0</v>
      </c>
      <c r="O335" s="17"/>
      <c r="P335" s="17"/>
      <c r="Q335" s="17"/>
      <c r="R335" s="17"/>
      <c r="S335" s="17"/>
      <c r="T335" s="17"/>
      <c r="U335" s="17"/>
      <c r="V335" s="17"/>
      <c r="W335" s="17"/>
    </row>
    <row r="336" ht="15.75" customHeight="1">
      <c r="A336" s="9" t="s">
        <v>795</v>
      </c>
      <c r="B336" s="19" t="s">
        <v>796</v>
      </c>
      <c r="C336" s="11" t="s">
        <v>448</v>
      </c>
      <c r="D336" s="12" t="s">
        <v>794</v>
      </c>
      <c r="E336" s="13" t="str">
        <f t="array" ref="E336">INDEX(Turmas!C2:C106,MATCH(D336,Turmas!A2:A106,0))</f>
        <v>Noite</v>
      </c>
      <c r="F336" s="14">
        <v>0.0</v>
      </c>
      <c r="G336" s="15">
        <v>4.0</v>
      </c>
      <c r="H336" s="15">
        <v>0.0</v>
      </c>
      <c r="I336" s="16" t="str">
        <f t="shared" si="1"/>
        <v>1-12</v>
      </c>
      <c r="J336" s="16" t="str">
        <f t="shared" si="2"/>
        <v>1-12</v>
      </c>
      <c r="K336" s="16" t="str">
        <f t="shared" si="3"/>
        <v>1-12</v>
      </c>
      <c r="L336" s="16" t="str">
        <f t="shared" si="4"/>
        <v>1-12</v>
      </c>
      <c r="M336" s="16" t="str">
        <f t="shared" si="5"/>
        <v>1-12</v>
      </c>
      <c r="N336" s="16" t="str">
        <f t="shared" si="6"/>
        <v>0</v>
      </c>
      <c r="O336" s="17"/>
      <c r="P336" s="17"/>
      <c r="Q336" s="17"/>
      <c r="R336" s="17"/>
      <c r="S336" s="17"/>
      <c r="T336" s="17"/>
      <c r="U336" s="17"/>
      <c r="V336" s="17"/>
      <c r="W336" s="17"/>
    </row>
    <row r="337" ht="15.75" customHeight="1">
      <c r="A337" s="9" t="s">
        <v>797</v>
      </c>
      <c r="B337" s="19" t="s">
        <v>142</v>
      </c>
      <c r="C337" s="11" t="s">
        <v>341</v>
      </c>
      <c r="D337" s="12" t="s">
        <v>794</v>
      </c>
      <c r="E337" s="13" t="str">
        <f t="array" ref="E337">INDEX(Turmas!C2:C106,MATCH(D337,Turmas!A2:A106,0))</f>
        <v>Noite</v>
      </c>
      <c r="F337" s="14">
        <v>0.0</v>
      </c>
      <c r="G337" s="15">
        <v>2.0</v>
      </c>
      <c r="H337" s="15">
        <v>0.0</v>
      </c>
      <c r="I337" s="16" t="str">
        <f t="shared" si="1"/>
        <v>1-12</v>
      </c>
      <c r="J337" s="16" t="str">
        <f t="shared" si="2"/>
        <v>1-12</v>
      </c>
      <c r="K337" s="16" t="str">
        <f t="shared" si="3"/>
        <v>1-12</v>
      </c>
      <c r="L337" s="16" t="str">
        <f t="shared" si="4"/>
        <v>1-12</v>
      </c>
      <c r="M337" s="16" t="str">
        <f t="shared" si="5"/>
        <v>1-12</v>
      </c>
      <c r="N337" s="16" t="str">
        <f t="shared" si="6"/>
        <v>0</v>
      </c>
      <c r="O337" s="17"/>
      <c r="P337" s="17"/>
      <c r="Q337" s="17"/>
      <c r="R337" s="17"/>
      <c r="S337" s="17"/>
      <c r="T337" s="17"/>
      <c r="U337" s="17"/>
      <c r="V337" s="17"/>
      <c r="W337" s="17"/>
    </row>
    <row r="338" ht="15.75" customHeight="1">
      <c r="A338" s="9" t="s">
        <v>798</v>
      </c>
      <c r="B338" s="19" t="s">
        <v>709</v>
      </c>
      <c r="C338" s="11" t="s">
        <v>156</v>
      </c>
      <c r="D338" s="12" t="s">
        <v>794</v>
      </c>
      <c r="E338" s="13" t="str">
        <f t="array" ref="E338">INDEX(Turmas!C2:C106,MATCH(D338,Turmas!A2:A106,0))</f>
        <v>Noite</v>
      </c>
      <c r="F338" s="14">
        <v>0.0</v>
      </c>
      <c r="G338" s="15">
        <v>4.0</v>
      </c>
      <c r="H338" s="15">
        <v>0.0</v>
      </c>
      <c r="I338" s="16" t="str">
        <f t="shared" si="1"/>
        <v>1-12</v>
      </c>
      <c r="J338" s="16" t="str">
        <f t="shared" si="2"/>
        <v>1-12</v>
      </c>
      <c r="K338" s="16" t="str">
        <f t="shared" si="3"/>
        <v>1-12</v>
      </c>
      <c r="L338" s="16" t="str">
        <f t="shared" si="4"/>
        <v>1-12</v>
      </c>
      <c r="M338" s="16" t="str">
        <f t="shared" si="5"/>
        <v>1-12</v>
      </c>
      <c r="N338" s="16" t="str">
        <f t="shared" si="6"/>
        <v>0</v>
      </c>
      <c r="O338" s="17"/>
      <c r="P338" s="17"/>
      <c r="Q338" s="17"/>
      <c r="R338" s="17"/>
      <c r="S338" s="17"/>
      <c r="T338" s="17"/>
      <c r="U338" s="17"/>
      <c r="V338" s="17"/>
      <c r="W338" s="17"/>
    </row>
    <row r="339" ht="15.75" customHeight="1">
      <c r="A339" s="9" t="s">
        <v>799</v>
      </c>
      <c r="B339" s="19" t="s">
        <v>800</v>
      </c>
      <c r="C339" s="11" t="s">
        <v>683</v>
      </c>
      <c r="D339" s="12" t="s">
        <v>794</v>
      </c>
      <c r="E339" s="13" t="str">
        <f t="array" ref="E339">INDEX(Turmas!C2:C106,MATCH(D339,Turmas!A2:A106,0))</f>
        <v>Noite</v>
      </c>
      <c r="F339" s="14">
        <v>0.0</v>
      </c>
      <c r="G339" s="15">
        <v>2.0</v>
      </c>
      <c r="H339" s="15">
        <v>0.0</v>
      </c>
      <c r="I339" s="16" t="str">
        <f t="shared" si="1"/>
        <v>1-12</v>
      </c>
      <c r="J339" s="16" t="str">
        <f t="shared" si="2"/>
        <v>1-12</v>
      </c>
      <c r="K339" s="16" t="str">
        <f t="shared" si="3"/>
        <v>1-12</v>
      </c>
      <c r="L339" s="16" t="str">
        <f t="shared" si="4"/>
        <v>1-12</v>
      </c>
      <c r="M339" s="16" t="str">
        <f t="shared" si="5"/>
        <v>1-12</v>
      </c>
      <c r="N339" s="16" t="str">
        <f t="shared" si="6"/>
        <v>0</v>
      </c>
      <c r="O339" s="17"/>
      <c r="P339" s="17"/>
      <c r="Q339" s="17"/>
      <c r="R339" s="17"/>
      <c r="S339" s="17"/>
      <c r="T339" s="17"/>
      <c r="U339" s="17"/>
      <c r="V339" s="17"/>
      <c r="W339" s="17"/>
    </row>
    <row r="340" ht="15.75" customHeight="1">
      <c r="A340" s="9" t="s">
        <v>801</v>
      </c>
      <c r="B340" s="19" t="s">
        <v>246</v>
      </c>
      <c r="C340" s="11" t="s">
        <v>662</v>
      </c>
      <c r="D340" s="12" t="s">
        <v>794</v>
      </c>
      <c r="E340" s="13" t="str">
        <f t="array" ref="E340">INDEX(Turmas!C2:C106,MATCH(D340,Turmas!A2:A106,0))</f>
        <v>Noite</v>
      </c>
      <c r="F340" s="14">
        <v>0.0</v>
      </c>
      <c r="G340" s="15">
        <v>4.0</v>
      </c>
      <c r="H340" s="15">
        <v>0.0</v>
      </c>
      <c r="I340" s="16" t="str">
        <f t="shared" si="1"/>
        <v>1-12</v>
      </c>
      <c r="J340" s="16" t="str">
        <f t="shared" si="2"/>
        <v>1-12</v>
      </c>
      <c r="K340" s="16" t="str">
        <f t="shared" si="3"/>
        <v>1-12</v>
      </c>
      <c r="L340" s="16" t="str">
        <f t="shared" si="4"/>
        <v>1-12</v>
      </c>
      <c r="M340" s="16" t="str">
        <f t="shared" si="5"/>
        <v>1-12</v>
      </c>
      <c r="N340" s="16" t="str">
        <f t="shared" si="6"/>
        <v>0</v>
      </c>
      <c r="O340" s="17"/>
      <c r="P340" s="17"/>
      <c r="Q340" s="17"/>
      <c r="R340" s="17"/>
      <c r="S340" s="17"/>
      <c r="T340" s="17"/>
      <c r="U340" s="17"/>
      <c r="V340" s="17"/>
      <c r="W340" s="17"/>
    </row>
    <row r="341" ht="15.75" customHeight="1">
      <c r="A341" s="9" t="s">
        <v>802</v>
      </c>
      <c r="B341" s="19" t="s">
        <v>803</v>
      </c>
      <c r="C341" s="11" t="s">
        <v>691</v>
      </c>
      <c r="D341" s="12" t="s">
        <v>804</v>
      </c>
      <c r="E341" s="13" t="str">
        <f t="array" ref="E341">INDEX(Turmas!C2:C106,MATCH(D341,Turmas!A2:A106,0))</f>
        <v>Noite</v>
      </c>
      <c r="F341" s="14">
        <v>0.0</v>
      </c>
      <c r="G341" s="15">
        <v>2.0</v>
      </c>
      <c r="H341" s="15">
        <v>0.0</v>
      </c>
      <c r="I341" s="16" t="str">
        <f t="shared" si="1"/>
        <v>1-12</v>
      </c>
      <c r="J341" s="16" t="str">
        <f t="shared" si="2"/>
        <v>1-12</v>
      </c>
      <c r="K341" s="16" t="str">
        <f t="shared" si="3"/>
        <v>1-12</v>
      </c>
      <c r="L341" s="16" t="str">
        <f t="shared" si="4"/>
        <v>1-12</v>
      </c>
      <c r="M341" s="16" t="str">
        <f t="shared" si="5"/>
        <v>1-12</v>
      </c>
      <c r="N341" s="16" t="str">
        <f t="shared" si="6"/>
        <v>0</v>
      </c>
      <c r="O341" s="17"/>
      <c r="P341" s="17"/>
      <c r="Q341" s="17"/>
      <c r="R341" s="17"/>
      <c r="S341" s="17"/>
      <c r="T341" s="17"/>
      <c r="U341" s="17"/>
      <c r="V341" s="17"/>
      <c r="W341" s="17"/>
    </row>
    <row r="342" ht="15.75" customHeight="1">
      <c r="A342" s="9" t="s">
        <v>805</v>
      </c>
      <c r="B342" s="19" t="s">
        <v>806</v>
      </c>
      <c r="C342" s="11" t="s">
        <v>691</v>
      </c>
      <c r="D342" s="12" t="s">
        <v>804</v>
      </c>
      <c r="E342" s="13" t="str">
        <f t="array" ref="E342">INDEX(Turmas!C2:C106,MATCH(D342,Turmas!A2:A106,0))</f>
        <v>Noite</v>
      </c>
      <c r="F342" s="14">
        <v>0.0</v>
      </c>
      <c r="G342" s="15">
        <v>4.0</v>
      </c>
      <c r="H342" s="15">
        <v>0.0</v>
      </c>
      <c r="I342" s="16" t="str">
        <f t="shared" si="1"/>
        <v>1-12</v>
      </c>
      <c r="J342" s="16" t="str">
        <f t="shared" si="2"/>
        <v>1-12</v>
      </c>
      <c r="K342" s="16" t="str">
        <f t="shared" si="3"/>
        <v>1-12</v>
      </c>
      <c r="L342" s="16" t="str">
        <f t="shared" si="4"/>
        <v>1-12</v>
      </c>
      <c r="M342" s="16" t="str">
        <f t="shared" si="5"/>
        <v>1-12</v>
      </c>
      <c r="N342" s="16" t="str">
        <f t="shared" si="6"/>
        <v>0</v>
      </c>
      <c r="O342" s="17"/>
      <c r="P342" s="17"/>
      <c r="Q342" s="17"/>
      <c r="R342" s="17"/>
      <c r="S342" s="17"/>
      <c r="T342" s="17"/>
      <c r="U342" s="17"/>
      <c r="V342" s="17"/>
      <c r="W342" s="17"/>
    </row>
    <row r="343" ht="15.75" customHeight="1">
      <c r="A343" s="9" t="s">
        <v>807</v>
      </c>
      <c r="B343" s="19" t="s">
        <v>808</v>
      </c>
      <c r="C343" s="11" t="s">
        <v>691</v>
      </c>
      <c r="D343" s="12" t="s">
        <v>804</v>
      </c>
      <c r="E343" s="13" t="str">
        <f t="array" ref="E343">INDEX(Turmas!C2:C106,MATCH(D343,Turmas!A2:A106,0))</f>
        <v>Noite</v>
      </c>
      <c r="F343" s="14">
        <v>0.0</v>
      </c>
      <c r="G343" s="15">
        <v>4.0</v>
      </c>
      <c r="H343" s="15">
        <v>0.0</v>
      </c>
      <c r="I343" s="16" t="str">
        <f t="shared" si="1"/>
        <v>1-12</v>
      </c>
      <c r="J343" s="16" t="str">
        <f t="shared" si="2"/>
        <v>1-12</v>
      </c>
      <c r="K343" s="16" t="str">
        <f t="shared" si="3"/>
        <v>1-12</v>
      </c>
      <c r="L343" s="16" t="str">
        <f t="shared" si="4"/>
        <v>1-12</v>
      </c>
      <c r="M343" s="16" t="str">
        <f t="shared" si="5"/>
        <v>1-12</v>
      </c>
      <c r="N343" s="16" t="str">
        <f t="shared" si="6"/>
        <v>0</v>
      </c>
      <c r="O343" s="17"/>
      <c r="P343" s="17"/>
      <c r="Q343" s="17"/>
      <c r="R343" s="17"/>
      <c r="S343" s="17"/>
      <c r="T343" s="17"/>
      <c r="U343" s="17"/>
      <c r="V343" s="17"/>
      <c r="W343" s="17"/>
    </row>
    <row r="344" ht="15.75" customHeight="1">
      <c r="A344" s="9" t="s">
        <v>809</v>
      </c>
      <c r="B344" s="19" t="s">
        <v>810</v>
      </c>
      <c r="C344" s="11" t="s">
        <v>198</v>
      </c>
      <c r="D344" s="12" t="s">
        <v>804</v>
      </c>
      <c r="E344" s="13" t="str">
        <f t="array" ref="E344">INDEX(Turmas!C2:C106,MATCH(D344,Turmas!A2:A106,0))</f>
        <v>Noite</v>
      </c>
      <c r="F344" s="14">
        <v>0.0</v>
      </c>
      <c r="G344" s="15">
        <v>4.0</v>
      </c>
      <c r="H344" s="15">
        <v>0.0</v>
      </c>
      <c r="I344" s="16" t="str">
        <f t="shared" si="1"/>
        <v>1-12</v>
      </c>
      <c r="J344" s="16" t="str">
        <f t="shared" si="2"/>
        <v>1-12</v>
      </c>
      <c r="K344" s="16" t="str">
        <f t="shared" si="3"/>
        <v>1-12</v>
      </c>
      <c r="L344" s="16" t="str">
        <f t="shared" si="4"/>
        <v>1-12</v>
      </c>
      <c r="M344" s="16" t="str">
        <f t="shared" si="5"/>
        <v>1-12</v>
      </c>
      <c r="N344" s="16" t="str">
        <f t="shared" si="6"/>
        <v>0</v>
      </c>
      <c r="O344" s="17"/>
      <c r="P344" s="17"/>
      <c r="Q344" s="17"/>
      <c r="R344" s="17"/>
      <c r="S344" s="17"/>
      <c r="T344" s="17"/>
      <c r="U344" s="17"/>
      <c r="V344" s="17"/>
      <c r="W344" s="17"/>
    </row>
    <row r="345" ht="15.75" customHeight="1">
      <c r="A345" s="9" t="s">
        <v>811</v>
      </c>
      <c r="B345" s="19" t="s">
        <v>812</v>
      </c>
      <c r="C345" s="11" t="s">
        <v>683</v>
      </c>
      <c r="D345" s="12" t="s">
        <v>804</v>
      </c>
      <c r="E345" s="13" t="str">
        <f t="array" ref="E345">INDEX(Turmas!C2:C106,MATCH(D345,Turmas!A2:A106,0))</f>
        <v>Noite</v>
      </c>
      <c r="F345" s="14">
        <v>0.0</v>
      </c>
      <c r="G345" s="15">
        <v>4.0</v>
      </c>
      <c r="H345" s="15">
        <v>0.0</v>
      </c>
      <c r="I345" s="16" t="str">
        <f t="shared" si="1"/>
        <v>1-12</v>
      </c>
      <c r="J345" s="16" t="str">
        <f t="shared" si="2"/>
        <v>1-12</v>
      </c>
      <c r="K345" s="16" t="str">
        <f t="shared" si="3"/>
        <v>1-12</v>
      </c>
      <c r="L345" s="16" t="str">
        <f t="shared" si="4"/>
        <v>1-12</v>
      </c>
      <c r="M345" s="16" t="str">
        <f t="shared" si="5"/>
        <v>1-12</v>
      </c>
      <c r="N345" s="16" t="str">
        <f t="shared" si="6"/>
        <v>0</v>
      </c>
      <c r="O345" s="17"/>
      <c r="P345" s="17"/>
      <c r="Q345" s="17"/>
      <c r="R345" s="17"/>
      <c r="S345" s="17"/>
      <c r="T345" s="17"/>
      <c r="U345" s="17"/>
      <c r="V345" s="17"/>
      <c r="W345" s="17"/>
    </row>
    <row r="346" ht="15.75" customHeight="1">
      <c r="A346" s="9" t="s">
        <v>813</v>
      </c>
      <c r="B346" s="19" t="s">
        <v>638</v>
      </c>
      <c r="C346" s="11" t="s">
        <v>216</v>
      </c>
      <c r="D346" s="12" t="s">
        <v>814</v>
      </c>
      <c r="E346" s="13" t="str">
        <f t="array" ref="E346">INDEX(Turmas!C2:C106,MATCH(D346,Turmas!A2:A106,0))</f>
        <v>Noite</v>
      </c>
      <c r="F346" s="14">
        <v>0.0</v>
      </c>
      <c r="G346" s="15">
        <v>4.0</v>
      </c>
      <c r="H346" s="15">
        <v>0.0</v>
      </c>
      <c r="I346" s="16" t="str">
        <f t="shared" si="1"/>
        <v>1-12</v>
      </c>
      <c r="J346" s="16" t="str">
        <f t="shared" si="2"/>
        <v>1-12</v>
      </c>
      <c r="K346" s="16" t="str">
        <f t="shared" si="3"/>
        <v>1-12</v>
      </c>
      <c r="L346" s="16" t="str">
        <f t="shared" si="4"/>
        <v>1-12</v>
      </c>
      <c r="M346" s="16" t="str">
        <f t="shared" si="5"/>
        <v>1-12</v>
      </c>
      <c r="N346" s="16" t="str">
        <f t="shared" si="6"/>
        <v>0</v>
      </c>
      <c r="O346" s="17"/>
      <c r="P346" s="17"/>
      <c r="Q346" s="17"/>
      <c r="R346" s="17"/>
      <c r="S346" s="17"/>
      <c r="T346" s="17"/>
      <c r="U346" s="17"/>
      <c r="V346" s="17"/>
      <c r="W346" s="17"/>
    </row>
    <row r="347" ht="15.75" customHeight="1">
      <c r="A347" s="9" t="s">
        <v>815</v>
      </c>
      <c r="B347" s="19" t="s">
        <v>816</v>
      </c>
      <c r="C347" s="11" t="s">
        <v>68</v>
      </c>
      <c r="D347" s="12" t="s">
        <v>817</v>
      </c>
      <c r="E347" s="13" t="str">
        <f t="array" ref="E347">INDEX(Turmas!C2:C106,MATCH(D347,Turmas!A2:A106,0))</f>
        <v>Noite</v>
      </c>
      <c r="F347" s="14">
        <v>0.0</v>
      </c>
      <c r="G347" s="15">
        <v>3.0</v>
      </c>
      <c r="H347" s="15">
        <v>0.0</v>
      </c>
      <c r="I347" s="16" t="str">
        <f t="shared" si="1"/>
        <v>1-12</v>
      </c>
      <c r="J347" s="16" t="str">
        <f t="shared" si="2"/>
        <v>1-12</v>
      </c>
      <c r="K347" s="16" t="str">
        <f t="shared" si="3"/>
        <v>1-12</v>
      </c>
      <c r="L347" s="16" t="str">
        <f t="shared" si="4"/>
        <v>1-12</v>
      </c>
      <c r="M347" s="16" t="str">
        <f t="shared" si="5"/>
        <v>1-12</v>
      </c>
      <c r="N347" s="16" t="str">
        <f t="shared" si="6"/>
        <v>0</v>
      </c>
      <c r="O347" s="17"/>
      <c r="P347" s="17"/>
      <c r="Q347" s="17"/>
      <c r="R347" s="17"/>
      <c r="S347" s="17"/>
      <c r="T347" s="17"/>
      <c r="U347" s="17"/>
      <c r="V347" s="17"/>
      <c r="W347" s="17"/>
    </row>
    <row r="348" ht="15.75" customHeight="1">
      <c r="A348" s="9" t="s">
        <v>818</v>
      </c>
      <c r="B348" s="19" t="s">
        <v>819</v>
      </c>
      <c r="C348" s="11" t="s">
        <v>820</v>
      </c>
      <c r="D348" s="12" t="s">
        <v>821</v>
      </c>
      <c r="E348" s="13" t="str">
        <f t="array" ref="E348">INDEX(Turmas!C2:C106,MATCH(D348,Turmas!A2:A106,0))</f>
        <v>Noite</v>
      </c>
      <c r="F348" s="14">
        <v>0.0</v>
      </c>
      <c r="G348" s="15">
        <v>4.0</v>
      </c>
      <c r="H348" s="15">
        <v>0.0</v>
      </c>
      <c r="I348" s="16" t="str">
        <f t="shared" si="1"/>
        <v>1-12</v>
      </c>
      <c r="J348" s="16" t="str">
        <f t="shared" si="2"/>
        <v>1-12</v>
      </c>
      <c r="K348" s="16" t="str">
        <f t="shared" si="3"/>
        <v>1-12</v>
      </c>
      <c r="L348" s="16" t="str">
        <f t="shared" si="4"/>
        <v>1-12</v>
      </c>
      <c r="M348" s="16" t="str">
        <f t="shared" si="5"/>
        <v>1-12</v>
      </c>
      <c r="N348" s="16" t="str">
        <f t="shared" si="6"/>
        <v>0</v>
      </c>
      <c r="O348" s="17"/>
      <c r="P348" s="17"/>
      <c r="Q348" s="17"/>
      <c r="R348" s="17"/>
      <c r="S348" s="17"/>
      <c r="T348" s="17"/>
      <c r="U348" s="17"/>
      <c r="V348" s="17"/>
      <c r="W348" s="17"/>
    </row>
    <row r="349" ht="15.75" customHeight="1">
      <c r="A349" s="9" t="s">
        <v>822</v>
      </c>
      <c r="B349" s="19" t="s">
        <v>823</v>
      </c>
      <c r="C349" s="11" t="s">
        <v>60</v>
      </c>
      <c r="D349" s="12" t="s">
        <v>824</v>
      </c>
      <c r="E349" s="13" t="str">
        <f t="array" ref="E349">INDEX(Turmas!C2:C106,MATCH(D349,Turmas!A2:A106,0))</f>
        <v>Noite</v>
      </c>
      <c r="F349" s="14">
        <v>0.0</v>
      </c>
      <c r="G349" s="15">
        <v>3.0</v>
      </c>
      <c r="H349" s="15">
        <v>0.0</v>
      </c>
      <c r="I349" s="16" t="str">
        <f t="shared" si="1"/>
        <v>1-12</v>
      </c>
      <c r="J349" s="16" t="str">
        <f t="shared" si="2"/>
        <v>1-12</v>
      </c>
      <c r="K349" s="16" t="str">
        <f t="shared" si="3"/>
        <v>1-12</v>
      </c>
      <c r="L349" s="16" t="str">
        <f t="shared" si="4"/>
        <v>1-12</v>
      </c>
      <c r="M349" s="16" t="str">
        <f t="shared" si="5"/>
        <v>1-12</v>
      </c>
      <c r="N349" s="16" t="str">
        <f t="shared" si="6"/>
        <v>0</v>
      </c>
      <c r="O349" s="17"/>
      <c r="P349" s="17"/>
      <c r="Q349" s="17"/>
      <c r="R349" s="17"/>
      <c r="S349" s="17"/>
      <c r="T349" s="17"/>
      <c r="U349" s="17"/>
      <c r="V349" s="17"/>
      <c r="W349" s="17"/>
    </row>
    <row r="350" ht="15.75" customHeight="1">
      <c r="A350" s="9" t="s">
        <v>825</v>
      </c>
      <c r="B350" s="19" t="s">
        <v>195</v>
      </c>
      <c r="C350" s="11" t="s">
        <v>143</v>
      </c>
      <c r="D350" s="12" t="s">
        <v>826</v>
      </c>
      <c r="E350" s="13" t="str">
        <f t="array" ref="E350">INDEX(Turmas!C2:C106,MATCH(D350,Turmas!A2:A106,0))</f>
        <v>Tarde</v>
      </c>
      <c r="F350" s="14">
        <v>0.0</v>
      </c>
      <c r="G350" s="15">
        <v>2.0</v>
      </c>
      <c r="H350" s="15">
        <v>0.0</v>
      </c>
      <c r="I350" s="16" t="str">
        <f t="shared" si="1"/>
        <v>1-6,13-16</v>
      </c>
      <c r="J350" s="16" t="str">
        <f t="shared" si="2"/>
        <v>1-6,13-16</v>
      </c>
      <c r="K350" s="16" t="str">
        <f t="shared" si="3"/>
        <v>1-6,13-16</v>
      </c>
      <c r="L350" s="16" t="str">
        <f t="shared" si="4"/>
        <v>1-6,13-16</v>
      </c>
      <c r="M350" s="16" t="str">
        <f t="shared" si="5"/>
        <v>1-6,13-16</v>
      </c>
      <c r="N350" s="16" t="str">
        <f t="shared" si="6"/>
        <v>1-16</v>
      </c>
      <c r="O350" s="17"/>
      <c r="P350" s="17"/>
      <c r="Q350" s="17"/>
      <c r="R350" s="17"/>
      <c r="S350" s="17"/>
      <c r="T350" s="17"/>
      <c r="U350" s="17"/>
      <c r="V350" s="17"/>
      <c r="W350" s="17"/>
    </row>
    <row r="351" ht="15.75" customHeight="1">
      <c r="A351" s="9" t="s">
        <v>827</v>
      </c>
      <c r="B351" s="19" t="s">
        <v>828</v>
      </c>
      <c r="C351" s="11" t="s">
        <v>444</v>
      </c>
      <c r="D351" s="12" t="s">
        <v>826</v>
      </c>
      <c r="E351" s="13" t="str">
        <f t="array" ref="E351">INDEX(Turmas!C2:C106,MATCH(D351,Turmas!A2:A106,0))</f>
        <v>Tarde</v>
      </c>
      <c r="F351" s="14">
        <v>0.0</v>
      </c>
      <c r="G351" s="15">
        <v>4.0</v>
      </c>
      <c r="H351" s="15">
        <v>0.0</v>
      </c>
      <c r="I351" s="16" t="str">
        <f t="shared" si="1"/>
        <v>1-6,13-16</v>
      </c>
      <c r="J351" s="16" t="str">
        <f t="shared" si="2"/>
        <v>1-6,13-16</v>
      </c>
      <c r="K351" s="16" t="str">
        <f t="shared" si="3"/>
        <v>1-6,13-16</v>
      </c>
      <c r="L351" s="16" t="str">
        <f t="shared" si="4"/>
        <v>1-6,13-16</v>
      </c>
      <c r="M351" s="16" t="str">
        <f t="shared" si="5"/>
        <v>1-6,13-16</v>
      </c>
      <c r="N351" s="16" t="str">
        <f t="shared" si="6"/>
        <v>1-16</v>
      </c>
      <c r="O351" s="17"/>
      <c r="P351" s="17"/>
      <c r="Q351" s="17"/>
      <c r="R351" s="17"/>
      <c r="S351" s="17"/>
      <c r="T351" s="17"/>
      <c r="U351" s="17"/>
      <c r="V351" s="17"/>
      <c r="W351" s="17"/>
    </row>
    <row r="352" ht="15.75" customHeight="1">
      <c r="A352" s="9" t="s">
        <v>829</v>
      </c>
      <c r="B352" s="19" t="s">
        <v>638</v>
      </c>
      <c r="C352" s="11" t="s">
        <v>444</v>
      </c>
      <c r="D352" s="12" t="s">
        <v>826</v>
      </c>
      <c r="E352" s="13" t="str">
        <f t="array" ref="E352">INDEX(Turmas!C2:C106,MATCH(D352,Turmas!A2:A106,0))</f>
        <v>Tarde</v>
      </c>
      <c r="F352" s="20">
        <v>0.0</v>
      </c>
      <c r="G352" s="15">
        <v>2.0</v>
      </c>
      <c r="H352" s="15">
        <v>0.0</v>
      </c>
      <c r="I352" s="16" t="str">
        <f t="shared" si="1"/>
        <v>1-6,13-16</v>
      </c>
      <c r="J352" s="16" t="str">
        <f t="shared" si="2"/>
        <v>1-6,13-16</v>
      </c>
      <c r="K352" s="16" t="str">
        <f t="shared" si="3"/>
        <v>1-6,13-16</v>
      </c>
      <c r="L352" s="16" t="str">
        <f t="shared" si="4"/>
        <v>1-6,13-16</v>
      </c>
      <c r="M352" s="16" t="str">
        <f t="shared" si="5"/>
        <v>1-6,13-16</v>
      </c>
      <c r="N352" s="16" t="str">
        <f t="shared" si="6"/>
        <v>1-16</v>
      </c>
      <c r="O352" s="21"/>
      <c r="P352" s="21"/>
      <c r="Q352" s="21"/>
      <c r="R352" s="21"/>
      <c r="S352" s="21"/>
      <c r="T352" s="21"/>
      <c r="U352" s="21"/>
      <c r="V352" s="21"/>
      <c r="W352" s="21"/>
    </row>
    <row r="353" ht="15.75" customHeight="1">
      <c r="A353" s="9" t="s">
        <v>830</v>
      </c>
      <c r="B353" s="19" t="s">
        <v>659</v>
      </c>
      <c r="C353" s="11" t="s">
        <v>441</v>
      </c>
      <c r="D353" s="12" t="s">
        <v>826</v>
      </c>
      <c r="E353" s="13" t="str">
        <f t="array" ref="E353">INDEX(Turmas!C2:C106,MATCH(D353,Turmas!A2:A106,0))</f>
        <v>Tarde</v>
      </c>
      <c r="F353" s="14">
        <v>0.0</v>
      </c>
      <c r="G353" s="15">
        <v>4.0</v>
      </c>
      <c r="H353" s="15">
        <v>0.0</v>
      </c>
      <c r="I353" s="16" t="str">
        <f t="shared" si="1"/>
        <v>1-6,13-16</v>
      </c>
      <c r="J353" s="16" t="str">
        <f t="shared" si="2"/>
        <v>1-6,13-16</v>
      </c>
      <c r="K353" s="16" t="str">
        <f t="shared" si="3"/>
        <v>1-6,13-16</v>
      </c>
      <c r="L353" s="16" t="str">
        <f t="shared" si="4"/>
        <v>1-6,13-16</v>
      </c>
      <c r="M353" s="16" t="str">
        <f t="shared" si="5"/>
        <v>1-6,13-16</v>
      </c>
      <c r="N353" s="16" t="str">
        <f t="shared" si="6"/>
        <v>1-16</v>
      </c>
      <c r="O353" s="17"/>
      <c r="P353" s="17"/>
      <c r="Q353" s="17"/>
      <c r="R353" s="17"/>
      <c r="S353" s="17"/>
      <c r="T353" s="17"/>
      <c r="U353" s="17"/>
      <c r="V353" s="17"/>
      <c r="W353" s="17"/>
    </row>
    <row r="354" ht="15.75" customHeight="1">
      <c r="A354" s="9" t="s">
        <v>831</v>
      </c>
      <c r="B354" s="19" t="s">
        <v>832</v>
      </c>
      <c r="C354" s="11" t="s">
        <v>393</v>
      </c>
      <c r="D354" s="12" t="s">
        <v>826</v>
      </c>
      <c r="E354" s="13" t="str">
        <f t="array" ref="E354">INDEX(Turmas!C2:C106,MATCH(D354,Turmas!A2:A106,0))</f>
        <v>Tarde</v>
      </c>
      <c r="F354" s="14">
        <v>0.0</v>
      </c>
      <c r="G354" s="15">
        <v>4.0</v>
      </c>
      <c r="H354" s="15">
        <v>0.0</v>
      </c>
      <c r="I354" s="16" t="str">
        <f t="shared" si="1"/>
        <v>1-6,13-16</v>
      </c>
      <c r="J354" s="16" t="str">
        <f t="shared" si="2"/>
        <v>1-6,13-16</v>
      </c>
      <c r="K354" s="16" t="str">
        <f t="shared" si="3"/>
        <v>1-6,13-16</v>
      </c>
      <c r="L354" s="16" t="str">
        <f t="shared" si="4"/>
        <v>1-6,13-16</v>
      </c>
      <c r="M354" s="16" t="str">
        <f t="shared" si="5"/>
        <v>1-6,13-16</v>
      </c>
      <c r="N354" s="16" t="str">
        <f t="shared" si="6"/>
        <v>1-16</v>
      </c>
      <c r="O354" s="17"/>
      <c r="P354" s="17"/>
      <c r="Q354" s="17"/>
      <c r="R354" s="17"/>
      <c r="S354" s="17"/>
      <c r="T354" s="17"/>
      <c r="U354" s="17"/>
      <c r="V354" s="17"/>
      <c r="W354" s="17"/>
    </row>
    <row r="355" ht="15.75" customHeight="1">
      <c r="A355" s="9" t="s">
        <v>833</v>
      </c>
      <c r="B355" s="19" t="s">
        <v>643</v>
      </c>
      <c r="C355" s="22" t="s">
        <v>834</v>
      </c>
      <c r="D355" s="12" t="s">
        <v>826</v>
      </c>
      <c r="E355" s="13" t="str">
        <f t="array" ref="E355">INDEX(Turmas!C2:C106,MATCH(D355,Turmas!A2:A106,0))</f>
        <v>Tarde</v>
      </c>
      <c r="F355" s="14">
        <v>0.0</v>
      </c>
      <c r="G355" s="15">
        <v>2.0</v>
      </c>
      <c r="H355" s="15">
        <v>0.0</v>
      </c>
      <c r="I355" s="16" t="str">
        <f t="shared" si="1"/>
        <v>1-6,13-16</v>
      </c>
      <c r="J355" s="16" t="str">
        <f t="shared" si="2"/>
        <v>1-6,13-16</v>
      </c>
      <c r="K355" s="16" t="str">
        <f t="shared" si="3"/>
        <v>1-6,13-16</v>
      </c>
      <c r="L355" s="16" t="str">
        <f t="shared" si="4"/>
        <v>1-6,13-16</v>
      </c>
      <c r="M355" s="16" t="str">
        <f t="shared" si="5"/>
        <v>1-6,13-16</v>
      </c>
      <c r="N355" s="16" t="str">
        <f t="shared" si="6"/>
        <v>1-16</v>
      </c>
      <c r="O355" s="17"/>
      <c r="P355" s="17"/>
      <c r="Q355" s="17"/>
      <c r="R355" s="17"/>
      <c r="S355" s="17"/>
      <c r="T355" s="17"/>
      <c r="U355" s="17"/>
      <c r="V355" s="17"/>
      <c r="W355" s="17"/>
    </row>
    <row r="356" ht="15.75" customHeight="1">
      <c r="A356" s="9" t="s">
        <v>835</v>
      </c>
      <c r="B356" s="19" t="s">
        <v>209</v>
      </c>
      <c r="C356" s="11" t="s">
        <v>836</v>
      </c>
      <c r="D356" s="12" t="s">
        <v>826</v>
      </c>
      <c r="E356" s="13" t="str">
        <f t="array" ref="E356">INDEX(Turmas!C2:C106,MATCH(D356,Turmas!A2:A106,0))</f>
        <v>Tarde</v>
      </c>
      <c r="F356" s="14">
        <v>0.0</v>
      </c>
      <c r="G356" s="15">
        <v>2.0</v>
      </c>
      <c r="H356" s="15">
        <v>0.0</v>
      </c>
      <c r="I356" s="16" t="str">
        <f t="shared" si="1"/>
        <v>1-6,13-16</v>
      </c>
      <c r="J356" s="16" t="str">
        <f t="shared" si="2"/>
        <v>1-6,13-16</v>
      </c>
      <c r="K356" s="16" t="str">
        <f t="shared" si="3"/>
        <v>1-6,13-16</v>
      </c>
      <c r="L356" s="16" t="str">
        <f t="shared" si="4"/>
        <v>1-6,13-16</v>
      </c>
      <c r="M356" s="16" t="str">
        <f t="shared" si="5"/>
        <v>1-6,13-16</v>
      </c>
      <c r="N356" s="16" t="str">
        <f t="shared" si="6"/>
        <v>1-16</v>
      </c>
      <c r="O356" s="17"/>
      <c r="P356" s="17"/>
      <c r="Q356" s="17"/>
      <c r="R356" s="17"/>
      <c r="S356" s="17"/>
      <c r="T356" s="17"/>
      <c r="U356" s="17"/>
      <c r="V356" s="17"/>
      <c r="W356" s="17"/>
    </row>
    <row r="357" ht="15.75" customHeight="1">
      <c r="A357" s="9" t="s">
        <v>837</v>
      </c>
      <c r="B357" s="19" t="s">
        <v>651</v>
      </c>
      <c r="C357" s="11" t="s">
        <v>652</v>
      </c>
      <c r="D357" s="12" t="s">
        <v>838</v>
      </c>
      <c r="E357" s="13" t="str">
        <f t="array" ref="E357">INDEX(Turmas!C2:C106,MATCH(D357,Turmas!A2:A106,0))</f>
        <v>Manhã</v>
      </c>
      <c r="F357" s="14">
        <v>0.0</v>
      </c>
      <c r="G357" s="15">
        <v>3.0</v>
      </c>
      <c r="H357" s="15">
        <v>0.0</v>
      </c>
      <c r="I357" s="16" t="str">
        <f t="shared" si="1"/>
        <v>7-16</v>
      </c>
      <c r="J357" s="16" t="str">
        <f t="shared" si="2"/>
        <v>7-16</v>
      </c>
      <c r="K357" s="16" t="str">
        <f t="shared" si="3"/>
        <v>7-16</v>
      </c>
      <c r="L357" s="16" t="str">
        <f t="shared" si="4"/>
        <v>7-16</v>
      </c>
      <c r="M357" s="16" t="str">
        <f t="shared" si="5"/>
        <v>7-16</v>
      </c>
      <c r="N357" s="16" t="str">
        <f t="shared" si="6"/>
        <v>1-16</v>
      </c>
      <c r="O357" s="17"/>
      <c r="P357" s="17"/>
      <c r="Q357" s="17"/>
      <c r="R357" s="17"/>
      <c r="S357" s="17"/>
      <c r="T357" s="17"/>
      <c r="U357" s="17"/>
      <c r="V357" s="17"/>
      <c r="W357" s="17"/>
    </row>
    <row r="358" ht="15.75" customHeight="1">
      <c r="A358" s="9" t="s">
        <v>839</v>
      </c>
      <c r="B358" s="10" t="s">
        <v>654</v>
      </c>
      <c r="C358" s="11" t="s">
        <v>652</v>
      </c>
      <c r="D358" s="12" t="s">
        <v>838</v>
      </c>
      <c r="E358" s="13" t="str">
        <f t="array" ref="E358">INDEX(Turmas!C2:C106,MATCH(D358,Turmas!A2:A106,0))</f>
        <v>Manhã</v>
      </c>
      <c r="F358" s="14">
        <v>0.0</v>
      </c>
      <c r="G358" s="15">
        <v>2.0</v>
      </c>
      <c r="H358" s="15">
        <v>0.0</v>
      </c>
      <c r="I358" s="16" t="str">
        <f t="shared" si="1"/>
        <v>7-16</v>
      </c>
      <c r="J358" s="16" t="str">
        <f t="shared" si="2"/>
        <v>7-16</v>
      </c>
      <c r="K358" s="16" t="str">
        <f t="shared" si="3"/>
        <v>7-16</v>
      </c>
      <c r="L358" s="16" t="str">
        <f t="shared" si="4"/>
        <v>7-16</v>
      </c>
      <c r="M358" s="16" t="str">
        <f t="shared" si="5"/>
        <v>7-16</v>
      </c>
      <c r="N358" s="16" t="str">
        <f t="shared" si="6"/>
        <v>1-16</v>
      </c>
      <c r="O358" s="17"/>
      <c r="P358" s="17"/>
      <c r="Q358" s="17"/>
      <c r="R358" s="17"/>
      <c r="S358" s="17"/>
      <c r="T358" s="17"/>
      <c r="U358" s="17"/>
      <c r="V358" s="17"/>
      <c r="W358" s="17"/>
    </row>
    <row r="359" ht="15.75" customHeight="1">
      <c r="A359" s="9" t="s">
        <v>840</v>
      </c>
      <c r="B359" s="10" t="s">
        <v>392</v>
      </c>
      <c r="C359" s="11" t="s">
        <v>393</v>
      </c>
      <c r="D359" s="12" t="s">
        <v>838</v>
      </c>
      <c r="E359" s="13" t="str">
        <f t="array" ref="E359">INDEX(Turmas!C2:C106,MATCH(D359,Turmas!A2:A106,0))</f>
        <v>Manhã</v>
      </c>
      <c r="F359" s="14">
        <v>0.0</v>
      </c>
      <c r="G359" s="15">
        <v>4.0</v>
      </c>
      <c r="H359" s="15">
        <v>0.0</v>
      </c>
      <c r="I359" s="16" t="str">
        <f t="shared" si="1"/>
        <v>7-16</v>
      </c>
      <c r="J359" s="16" t="str">
        <f t="shared" si="2"/>
        <v>7-16</v>
      </c>
      <c r="K359" s="16" t="str">
        <f t="shared" si="3"/>
        <v>7-16</v>
      </c>
      <c r="L359" s="16" t="str">
        <f t="shared" si="4"/>
        <v>7-16</v>
      </c>
      <c r="M359" s="16" t="str">
        <f t="shared" si="5"/>
        <v>7-16</v>
      </c>
      <c r="N359" s="16" t="str">
        <f t="shared" si="6"/>
        <v>1-16</v>
      </c>
      <c r="O359" s="17"/>
      <c r="P359" s="17"/>
      <c r="Q359" s="17"/>
      <c r="R359" s="17"/>
      <c r="S359" s="17"/>
      <c r="T359" s="17"/>
      <c r="U359" s="17"/>
      <c r="V359" s="17"/>
      <c r="W359" s="17"/>
    </row>
    <row r="360" ht="15.75" customHeight="1">
      <c r="A360" s="9" t="s">
        <v>841</v>
      </c>
      <c r="B360" s="10" t="s">
        <v>842</v>
      </c>
      <c r="C360" s="11" t="s">
        <v>843</v>
      </c>
      <c r="D360" s="12" t="s">
        <v>838</v>
      </c>
      <c r="E360" s="13" t="str">
        <f t="array" ref="E360">INDEX(Turmas!C2:C106,MATCH(D360,Turmas!A2:A106,0))</f>
        <v>Manhã</v>
      </c>
      <c r="F360" s="14">
        <v>0.0</v>
      </c>
      <c r="G360" s="15">
        <v>4.0</v>
      </c>
      <c r="H360" s="15">
        <v>0.0</v>
      </c>
      <c r="I360" s="16" t="str">
        <f t="shared" si="1"/>
        <v>7-16</v>
      </c>
      <c r="J360" s="16" t="str">
        <f t="shared" si="2"/>
        <v>7-16</v>
      </c>
      <c r="K360" s="16" t="str">
        <f t="shared" si="3"/>
        <v>7-16</v>
      </c>
      <c r="L360" s="16" t="str">
        <f t="shared" si="4"/>
        <v>7-16</v>
      </c>
      <c r="M360" s="16" t="str">
        <f t="shared" si="5"/>
        <v>7-16</v>
      </c>
      <c r="N360" s="16" t="str">
        <f t="shared" si="6"/>
        <v>1-16</v>
      </c>
      <c r="O360" s="17"/>
      <c r="P360" s="17"/>
      <c r="Q360" s="17"/>
      <c r="R360" s="17"/>
      <c r="S360" s="17"/>
      <c r="T360" s="17"/>
      <c r="U360" s="17"/>
      <c r="V360" s="17"/>
      <c r="W360" s="17"/>
    </row>
    <row r="361" ht="15.75" customHeight="1">
      <c r="A361" s="9" t="s">
        <v>844</v>
      </c>
      <c r="B361" s="19" t="s">
        <v>455</v>
      </c>
      <c r="C361" s="11" t="s">
        <v>845</v>
      </c>
      <c r="D361" s="23" t="s">
        <v>846</v>
      </c>
      <c r="E361" s="13" t="str">
        <f t="array" ref="E361">INDEX(Turmas!C2:C106,MATCH(D361,Turmas!A2:A106,0))</f>
        <v>Tarde</v>
      </c>
      <c r="F361" s="14">
        <v>0.0</v>
      </c>
      <c r="G361" s="15">
        <v>3.0</v>
      </c>
      <c r="H361" s="15">
        <v>0.0</v>
      </c>
      <c r="I361" s="16" t="str">
        <f t="shared" si="1"/>
        <v>1-6,13-16</v>
      </c>
      <c r="J361" s="16" t="str">
        <f t="shared" si="2"/>
        <v>1-6,13-16</v>
      </c>
      <c r="K361" s="16" t="str">
        <f t="shared" si="3"/>
        <v>1-6,13-16</v>
      </c>
      <c r="L361" s="16" t="str">
        <f t="shared" si="4"/>
        <v>1-6,13-16</v>
      </c>
      <c r="M361" s="16" t="str">
        <f t="shared" si="5"/>
        <v>1-6,13-16</v>
      </c>
      <c r="N361" s="16" t="str">
        <f t="shared" si="6"/>
        <v>1-16</v>
      </c>
      <c r="O361" s="17"/>
      <c r="P361" s="17"/>
      <c r="Q361" s="17"/>
      <c r="R361" s="17"/>
      <c r="S361" s="17"/>
      <c r="T361" s="17"/>
      <c r="U361" s="17"/>
      <c r="V361" s="17"/>
      <c r="W361" s="17"/>
    </row>
    <row r="362" ht="15.75" customHeight="1">
      <c r="A362" s="9" t="s">
        <v>847</v>
      </c>
      <c r="B362" s="19" t="s">
        <v>848</v>
      </c>
      <c r="C362" s="11" t="s">
        <v>390</v>
      </c>
      <c r="D362" s="23" t="s">
        <v>846</v>
      </c>
      <c r="E362" s="13" t="str">
        <f t="array" ref="E362">INDEX(Turmas!C2:C106,MATCH(D362,Turmas!A2:A106,0))</f>
        <v>Tarde</v>
      </c>
      <c r="F362" s="14">
        <v>0.0</v>
      </c>
      <c r="G362" s="15">
        <v>4.0</v>
      </c>
      <c r="H362" s="15">
        <v>0.0</v>
      </c>
      <c r="I362" s="16" t="str">
        <f t="shared" si="1"/>
        <v>1-6,13-16</v>
      </c>
      <c r="J362" s="16" t="str">
        <f t="shared" si="2"/>
        <v>1-6,13-16</v>
      </c>
      <c r="K362" s="16" t="str">
        <f t="shared" si="3"/>
        <v>1-6,13-16</v>
      </c>
      <c r="L362" s="16" t="str">
        <f t="shared" si="4"/>
        <v>1-6,13-16</v>
      </c>
      <c r="M362" s="16" t="str">
        <f t="shared" si="5"/>
        <v>1-6,13-16</v>
      </c>
      <c r="N362" s="16" t="str">
        <f t="shared" si="6"/>
        <v>1-16</v>
      </c>
      <c r="O362" s="17"/>
      <c r="P362" s="17"/>
      <c r="Q362" s="17"/>
      <c r="R362" s="17"/>
      <c r="S362" s="17"/>
      <c r="T362" s="17"/>
      <c r="U362" s="17"/>
      <c r="V362" s="17"/>
      <c r="W362" s="17"/>
    </row>
    <row r="363" ht="15.75" customHeight="1">
      <c r="A363" s="9" t="s">
        <v>849</v>
      </c>
      <c r="B363" s="10" t="s">
        <v>401</v>
      </c>
      <c r="C363" s="11" t="s">
        <v>402</v>
      </c>
      <c r="D363" s="23" t="s">
        <v>846</v>
      </c>
      <c r="E363" s="13" t="str">
        <f t="array" ref="E363">INDEX(Turmas!C2:C106,MATCH(D363,Turmas!A2:A106,0))</f>
        <v>Tarde</v>
      </c>
      <c r="F363" s="14">
        <v>0.0</v>
      </c>
      <c r="G363" s="15">
        <v>2.0</v>
      </c>
      <c r="H363" s="15">
        <v>0.0</v>
      </c>
      <c r="I363" s="16" t="str">
        <f t="shared" si="1"/>
        <v>1-6,13-16</v>
      </c>
      <c r="J363" s="16" t="str">
        <f t="shared" si="2"/>
        <v>1-6,13-16</v>
      </c>
      <c r="K363" s="16" t="str">
        <f t="shared" si="3"/>
        <v>1-6,13-16</v>
      </c>
      <c r="L363" s="16" t="str">
        <f t="shared" si="4"/>
        <v>1-6,13-16</v>
      </c>
      <c r="M363" s="16" t="str">
        <f t="shared" si="5"/>
        <v>1-6,13-16</v>
      </c>
      <c r="N363" s="16" t="str">
        <f t="shared" si="6"/>
        <v>1-16</v>
      </c>
      <c r="O363" s="17"/>
      <c r="P363" s="17"/>
      <c r="Q363" s="17"/>
      <c r="R363" s="17"/>
      <c r="S363" s="17"/>
      <c r="T363" s="17"/>
      <c r="U363" s="17"/>
      <c r="V363" s="17"/>
      <c r="W363" s="17"/>
    </row>
    <row r="364" ht="15.75" customHeight="1">
      <c r="A364" s="9" t="s">
        <v>850</v>
      </c>
      <c r="B364" s="10" t="s">
        <v>851</v>
      </c>
      <c r="C364" s="11" t="s">
        <v>601</v>
      </c>
      <c r="D364" s="23" t="s">
        <v>846</v>
      </c>
      <c r="E364" s="13" t="str">
        <f t="array" ref="E364">INDEX(Turmas!C2:C106,MATCH(D364,Turmas!A2:A106,0))</f>
        <v>Tarde</v>
      </c>
      <c r="F364" s="14">
        <v>0.0</v>
      </c>
      <c r="G364" s="15">
        <v>3.0</v>
      </c>
      <c r="H364" s="15">
        <v>0.0</v>
      </c>
      <c r="I364" s="16" t="str">
        <f t="shared" si="1"/>
        <v>1-6,13-16</v>
      </c>
      <c r="J364" s="16" t="str">
        <f t="shared" si="2"/>
        <v>1-6,13-16</v>
      </c>
      <c r="K364" s="16" t="str">
        <f t="shared" si="3"/>
        <v>1-6,13-16</v>
      </c>
      <c r="L364" s="16" t="str">
        <f t="shared" si="4"/>
        <v>1-6,13-16</v>
      </c>
      <c r="M364" s="16" t="str">
        <f t="shared" si="5"/>
        <v>1-6,13-16</v>
      </c>
      <c r="N364" s="16" t="str">
        <f t="shared" si="6"/>
        <v>1-16</v>
      </c>
      <c r="O364" s="17"/>
      <c r="P364" s="17"/>
      <c r="Q364" s="17"/>
      <c r="R364" s="17"/>
      <c r="S364" s="17"/>
      <c r="T364" s="17"/>
      <c r="U364" s="17"/>
      <c r="V364" s="17"/>
      <c r="W364" s="17"/>
    </row>
    <row r="365" ht="15.75" customHeight="1">
      <c r="A365" s="9" t="s">
        <v>852</v>
      </c>
      <c r="B365" s="10" t="s">
        <v>853</v>
      </c>
      <c r="C365" s="11" t="s">
        <v>854</v>
      </c>
      <c r="D365" s="23" t="s">
        <v>846</v>
      </c>
      <c r="E365" s="13" t="str">
        <f t="array" ref="E365">INDEX(Turmas!C2:C106,MATCH(D365,Turmas!A2:A106,0))</f>
        <v>Tarde</v>
      </c>
      <c r="F365" s="14">
        <v>0.0</v>
      </c>
      <c r="G365" s="15">
        <v>3.0</v>
      </c>
      <c r="H365" s="15">
        <v>0.0</v>
      </c>
      <c r="I365" s="16" t="str">
        <f t="shared" si="1"/>
        <v>1-6,13-16</v>
      </c>
      <c r="J365" s="16" t="str">
        <f t="shared" si="2"/>
        <v>1-6,13-16</v>
      </c>
      <c r="K365" s="16" t="str">
        <f t="shared" si="3"/>
        <v>1-6,13-16</v>
      </c>
      <c r="L365" s="16" t="str">
        <f t="shared" si="4"/>
        <v>1-6,13-16</v>
      </c>
      <c r="M365" s="16" t="str">
        <f t="shared" si="5"/>
        <v>1-6,13-16</v>
      </c>
      <c r="N365" s="16" t="str">
        <f t="shared" si="6"/>
        <v>1-16</v>
      </c>
      <c r="O365" s="17"/>
      <c r="P365" s="17"/>
      <c r="Q365" s="17"/>
      <c r="R365" s="17"/>
      <c r="S365" s="17"/>
      <c r="T365" s="17"/>
      <c r="U365" s="17"/>
      <c r="V365" s="17"/>
      <c r="W365" s="17"/>
    </row>
    <row r="366" ht="15.75" customHeight="1">
      <c r="A366" s="9" t="s">
        <v>855</v>
      </c>
      <c r="B366" s="10" t="s">
        <v>856</v>
      </c>
      <c r="C366" s="11" t="s">
        <v>407</v>
      </c>
      <c r="D366" s="23" t="s">
        <v>846</v>
      </c>
      <c r="E366" s="13" t="str">
        <f t="array" ref="E366">INDEX(Turmas!C2:C106,MATCH(D366,Turmas!A2:A106,0))</f>
        <v>Tarde</v>
      </c>
      <c r="F366" s="14">
        <v>0.0</v>
      </c>
      <c r="G366" s="15">
        <v>2.0</v>
      </c>
      <c r="H366" s="15">
        <v>0.0</v>
      </c>
      <c r="I366" s="16" t="str">
        <f t="shared" si="1"/>
        <v>1-6,13-16</v>
      </c>
      <c r="J366" s="16" t="str">
        <f t="shared" si="2"/>
        <v>1-6,13-16</v>
      </c>
      <c r="K366" s="16" t="str">
        <f t="shared" si="3"/>
        <v>1-6,13-16</v>
      </c>
      <c r="L366" s="16" t="str">
        <f t="shared" si="4"/>
        <v>1-6,13-16</v>
      </c>
      <c r="M366" s="16" t="str">
        <f t="shared" si="5"/>
        <v>1-6,13-16</v>
      </c>
      <c r="N366" s="16" t="str">
        <f t="shared" si="6"/>
        <v>1-16</v>
      </c>
      <c r="O366" s="17"/>
      <c r="P366" s="17"/>
      <c r="Q366" s="17"/>
      <c r="R366" s="17"/>
      <c r="S366" s="17"/>
      <c r="T366" s="17"/>
      <c r="U366" s="17"/>
      <c r="V366" s="17"/>
      <c r="W366" s="17"/>
    </row>
    <row r="367" ht="15.75" customHeight="1">
      <c r="A367" s="9" t="s">
        <v>857</v>
      </c>
      <c r="B367" s="19" t="s">
        <v>858</v>
      </c>
      <c r="C367" s="11" t="s">
        <v>436</v>
      </c>
      <c r="D367" s="12" t="s">
        <v>859</v>
      </c>
      <c r="E367" s="13" t="str">
        <f t="array" ref="E367">INDEX(Turmas!C2:C106,MATCH(D367,Turmas!A2:A106,0))</f>
        <v>Manhã</v>
      </c>
      <c r="F367" s="20">
        <v>0.0</v>
      </c>
      <c r="G367" s="15">
        <v>4.0</v>
      </c>
      <c r="H367" s="15">
        <v>0.0</v>
      </c>
      <c r="I367" s="16" t="str">
        <f t="shared" si="1"/>
        <v>7-16</v>
      </c>
      <c r="J367" s="16" t="str">
        <f t="shared" si="2"/>
        <v>7-16</v>
      </c>
      <c r="K367" s="16" t="str">
        <f t="shared" si="3"/>
        <v>7-16</v>
      </c>
      <c r="L367" s="16" t="str">
        <f t="shared" si="4"/>
        <v>7-16</v>
      </c>
      <c r="M367" s="16" t="str">
        <f t="shared" si="5"/>
        <v>7-16</v>
      </c>
      <c r="N367" s="16" t="str">
        <f t="shared" si="6"/>
        <v>1-16</v>
      </c>
      <c r="O367" s="21"/>
      <c r="P367" s="21"/>
      <c r="Q367" s="21"/>
      <c r="R367" s="21"/>
      <c r="S367" s="21"/>
      <c r="T367" s="21"/>
      <c r="U367" s="21"/>
      <c r="V367" s="21"/>
      <c r="W367" s="21"/>
    </row>
    <row r="368" ht="15.75" customHeight="1">
      <c r="A368" s="9" t="s">
        <v>860</v>
      </c>
      <c r="B368" s="10" t="s">
        <v>861</v>
      </c>
      <c r="C368" s="11" t="s">
        <v>56</v>
      </c>
      <c r="D368" s="23" t="s">
        <v>862</v>
      </c>
      <c r="E368" s="13" t="str">
        <f t="array" ref="E368">INDEX(Turmas!C2:C106,MATCH(D368,Turmas!A2:A106,0))</f>
        <v>Noite</v>
      </c>
      <c r="F368" s="14">
        <v>0.0</v>
      </c>
      <c r="G368" s="15">
        <v>3.0</v>
      </c>
      <c r="H368" s="15">
        <v>0.0</v>
      </c>
      <c r="I368" s="16" t="str">
        <f t="shared" si="1"/>
        <v>1-12</v>
      </c>
      <c r="J368" s="16" t="str">
        <f t="shared" si="2"/>
        <v>1-12</v>
      </c>
      <c r="K368" s="16" t="str">
        <f t="shared" si="3"/>
        <v>1-12</v>
      </c>
      <c r="L368" s="16" t="str">
        <f t="shared" si="4"/>
        <v>1-12</v>
      </c>
      <c r="M368" s="16" t="str">
        <f t="shared" si="5"/>
        <v>1-12</v>
      </c>
      <c r="N368" s="16" t="str">
        <f t="shared" si="6"/>
        <v>0</v>
      </c>
      <c r="O368" s="17"/>
      <c r="P368" s="17"/>
      <c r="Q368" s="17"/>
      <c r="R368" s="17"/>
      <c r="S368" s="17"/>
      <c r="T368" s="17"/>
      <c r="U368" s="17"/>
      <c r="V368" s="17"/>
      <c r="W368" s="17"/>
    </row>
    <row r="369" ht="15.75" customHeight="1">
      <c r="A369" s="9" t="s">
        <v>863</v>
      </c>
      <c r="B369" s="10" t="s">
        <v>864</v>
      </c>
      <c r="C369" s="11" t="s">
        <v>614</v>
      </c>
      <c r="D369" s="23" t="s">
        <v>862</v>
      </c>
      <c r="E369" s="13" t="str">
        <f t="array" ref="E369">INDEX(Turmas!C2:C106,MATCH(D369,Turmas!A2:A106,0))</f>
        <v>Noite</v>
      </c>
      <c r="F369" s="14">
        <v>0.0</v>
      </c>
      <c r="G369" s="15">
        <v>3.0</v>
      </c>
      <c r="H369" s="15">
        <v>0.0</v>
      </c>
      <c r="I369" s="16" t="str">
        <f t="shared" si="1"/>
        <v>1-12</v>
      </c>
      <c r="J369" s="16" t="str">
        <f t="shared" si="2"/>
        <v>1-12</v>
      </c>
      <c r="K369" s="16" t="str">
        <f t="shared" si="3"/>
        <v>1-12</v>
      </c>
      <c r="L369" s="16" t="str">
        <f t="shared" si="4"/>
        <v>1-12</v>
      </c>
      <c r="M369" s="16" t="str">
        <f t="shared" si="5"/>
        <v>1-12</v>
      </c>
      <c r="N369" s="16" t="str">
        <f t="shared" si="6"/>
        <v>0</v>
      </c>
      <c r="O369" s="17"/>
      <c r="P369" s="17"/>
      <c r="Q369" s="17"/>
      <c r="R369" s="17"/>
      <c r="S369" s="17"/>
      <c r="T369" s="17"/>
      <c r="U369" s="17"/>
      <c r="V369" s="17"/>
      <c r="W369" s="17"/>
    </row>
    <row r="370" ht="15.75" customHeight="1">
      <c r="A370" s="9" t="s">
        <v>865</v>
      </c>
      <c r="B370" s="10" t="s">
        <v>866</v>
      </c>
      <c r="C370" s="11" t="s">
        <v>595</v>
      </c>
      <c r="D370" s="23" t="s">
        <v>862</v>
      </c>
      <c r="E370" s="13" t="str">
        <f t="array" ref="E370">INDEX(Turmas!C2:C106,MATCH(D370,Turmas!A2:A106,0))</f>
        <v>Noite</v>
      </c>
      <c r="F370" s="14">
        <v>0.0</v>
      </c>
      <c r="G370" s="15">
        <v>4.0</v>
      </c>
      <c r="H370" s="15">
        <v>0.0</v>
      </c>
      <c r="I370" s="16" t="str">
        <f t="shared" si="1"/>
        <v>1-12</v>
      </c>
      <c r="J370" s="16" t="str">
        <f t="shared" si="2"/>
        <v>1-12</v>
      </c>
      <c r="K370" s="16" t="str">
        <f t="shared" si="3"/>
        <v>1-12</v>
      </c>
      <c r="L370" s="16" t="str">
        <f t="shared" si="4"/>
        <v>1-12</v>
      </c>
      <c r="M370" s="16" t="str">
        <f t="shared" si="5"/>
        <v>1-12</v>
      </c>
      <c r="N370" s="16" t="str">
        <f t="shared" si="6"/>
        <v>0</v>
      </c>
      <c r="O370" s="17"/>
      <c r="P370" s="17"/>
      <c r="Q370" s="17"/>
      <c r="R370" s="17"/>
      <c r="S370" s="17"/>
      <c r="T370" s="17"/>
      <c r="U370" s="17"/>
      <c r="V370" s="17"/>
      <c r="W370" s="17"/>
    </row>
    <row r="371" ht="15.75" customHeight="1">
      <c r="A371" s="9" t="s">
        <v>867</v>
      </c>
      <c r="B371" s="10" t="s">
        <v>868</v>
      </c>
      <c r="C371" s="11" t="s">
        <v>598</v>
      </c>
      <c r="D371" s="23" t="s">
        <v>869</v>
      </c>
      <c r="E371" s="13" t="str">
        <f t="array" ref="E371">INDEX(Turmas!C2:C106,MATCH(D371,Turmas!A2:A106,0))</f>
        <v>Noite</v>
      </c>
      <c r="F371" s="14">
        <v>0.0</v>
      </c>
      <c r="G371" s="15">
        <v>4.0</v>
      </c>
      <c r="H371" s="15">
        <v>0.0</v>
      </c>
      <c r="I371" s="16" t="str">
        <f t="shared" si="1"/>
        <v>1-12</v>
      </c>
      <c r="J371" s="16" t="str">
        <f t="shared" si="2"/>
        <v>1-12</v>
      </c>
      <c r="K371" s="16" t="str">
        <f t="shared" si="3"/>
        <v>1-12</v>
      </c>
      <c r="L371" s="16" t="str">
        <f t="shared" si="4"/>
        <v>1-12</v>
      </c>
      <c r="M371" s="16" t="str">
        <f t="shared" si="5"/>
        <v>1-12</v>
      </c>
      <c r="N371" s="16" t="str">
        <f t="shared" si="6"/>
        <v>0</v>
      </c>
      <c r="O371" s="17"/>
      <c r="P371" s="17"/>
      <c r="Q371" s="17"/>
      <c r="R371" s="17"/>
      <c r="S371" s="17"/>
      <c r="T371" s="17"/>
      <c r="U371" s="17"/>
      <c r="V371" s="17"/>
      <c r="W371" s="17"/>
    </row>
    <row r="372" ht="15.75" customHeight="1">
      <c r="A372" s="9" t="s">
        <v>870</v>
      </c>
      <c r="B372" s="10" t="s">
        <v>871</v>
      </c>
      <c r="C372" s="11" t="s">
        <v>604</v>
      </c>
      <c r="D372" s="23" t="s">
        <v>869</v>
      </c>
      <c r="E372" s="13" t="str">
        <f t="array" ref="E372">INDEX(Turmas!C2:C106,MATCH(D372,Turmas!A2:A106,0))</f>
        <v>Noite</v>
      </c>
      <c r="F372" s="14">
        <v>0.0</v>
      </c>
      <c r="G372" s="15">
        <v>8.0</v>
      </c>
      <c r="H372" s="15">
        <v>0.0</v>
      </c>
      <c r="I372" s="16" t="str">
        <f t="shared" si="1"/>
        <v>1-12</v>
      </c>
      <c r="J372" s="16" t="str">
        <f t="shared" si="2"/>
        <v>1-12</v>
      </c>
      <c r="K372" s="16" t="str">
        <f t="shared" si="3"/>
        <v>1-12</v>
      </c>
      <c r="L372" s="16" t="str">
        <f t="shared" si="4"/>
        <v>1-12</v>
      </c>
      <c r="M372" s="16" t="str">
        <f t="shared" si="5"/>
        <v>1-12</v>
      </c>
      <c r="N372" s="16" t="str">
        <f t="shared" si="6"/>
        <v>0</v>
      </c>
      <c r="O372" s="17"/>
      <c r="P372" s="17"/>
      <c r="Q372" s="17"/>
      <c r="R372" s="17"/>
      <c r="S372" s="17"/>
      <c r="T372" s="17"/>
      <c r="U372" s="17"/>
      <c r="V372" s="17"/>
      <c r="W372" s="17"/>
    </row>
    <row r="373" ht="15.75" customHeight="1">
      <c r="A373" s="9" t="s">
        <v>872</v>
      </c>
      <c r="B373" s="10" t="s">
        <v>616</v>
      </c>
      <c r="C373" s="11" t="s">
        <v>590</v>
      </c>
      <c r="D373" s="23" t="s">
        <v>869</v>
      </c>
      <c r="E373" s="13" t="str">
        <f t="array" ref="E373">INDEX(Turmas!C2:C106,MATCH(D373,Turmas!A2:A106,0))</f>
        <v>Noite</v>
      </c>
      <c r="F373" s="14">
        <v>0.0</v>
      </c>
      <c r="G373" s="15">
        <v>4.0</v>
      </c>
      <c r="H373" s="15">
        <v>0.0</v>
      </c>
      <c r="I373" s="16" t="str">
        <f t="shared" si="1"/>
        <v>1-12</v>
      </c>
      <c r="J373" s="16" t="str">
        <f t="shared" si="2"/>
        <v>1-12</v>
      </c>
      <c r="K373" s="16" t="str">
        <f t="shared" si="3"/>
        <v>1-12</v>
      </c>
      <c r="L373" s="16" t="str">
        <f t="shared" si="4"/>
        <v>1-12</v>
      </c>
      <c r="M373" s="16" t="str">
        <f t="shared" si="5"/>
        <v>1-12</v>
      </c>
      <c r="N373" s="16" t="str">
        <f t="shared" si="6"/>
        <v>0</v>
      </c>
      <c r="O373" s="17"/>
      <c r="P373" s="17"/>
      <c r="Q373" s="17"/>
      <c r="R373" s="17"/>
      <c r="S373" s="17"/>
      <c r="T373" s="17"/>
      <c r="U373" s="17"/>
      <c r="V373" s="17"/>
      <c r="W373" s="17"/>
    </row>
    <row r="374" ht="15.75" customHeight="1">
      <c r="A374" s="9" t="s">
        <v>340</v>
      </c>
      <c r="B374" s="10" t="s">
        <v>142</v>
      </c>
      <c r="C374" s="11" t="s">
        <v>341</v>
      </c>
      <c r="D374" s="23" t="s">
        <v>873</v>
      </c>
      <c r="E374" s="13" t="str">
        <f t="array" ref="E374">INDEX(Turmas!C2:C106,MATCH(D374,Turmas!A2:A106,0))</f>
        <v>Noite</v>
      </c>
      <c r="F374" s="14">
        <v>0.0</v>
      </c>
      <c r="G374" s="15">
        <v>4.0</v>
      </c>
      <c r="H374" s="15">
        <v>0.0</v>
      </c>
      <c r="I374" s="16" t="str">
        <f t="shared" si="1"/>
        <v>1-12</v>
      </c>
      <c r="J374" s="16" t="str">
        <f t="shared" si="2"/>
        <v>1-12</v>
      </c>
      <c r="K374" s="16" t="str">
        <f t="shared" si="3"/>
        <v>1-12</v>
      </c>
      <c r="L374" s="16" t="str">
        <f t="shared" si="4"/>
        <v>1-12</v>
      </c>
      <c r="M374" s="16" t="str">
        <f t="shared" si="5"/>
        <v>1-12</v>
      </c>
      <c r="N374" s="16" t="str">
        <f t="shared" si="6"/>
        <v>0</v>
      </c>
      <c r="O374" s="17"/>
      <c r="P374" s="17"/>
      <c r="Q374" s="17"/>
      <c r="R374" s="17"/>
      <c r="S374" s="17"/>
      <c r="T374" s="17"/>
      <c r="U374" s="17"/>
      <c r="V374" s="17"/>
      <c r="W374" s="17"/>
    </row>
    <row r="375" ht="15.75" customHeight="1">
      <c r="A375" s="9" t="s">
        <v>874</v>
      </c>
      <c r="B375" s="10" t="s">
        <v>212</v>
      </c>
      <c r="C375" s="11" t="s">
        <v>68</v>
      </c>
      <c r="D375" s="23" t="s">
        <v>873</v>
      </c>
      <c r="E375" s="13" t="str">
        <f t="array" ref="E375">INDEX(Turmas!C2:C106,MATCH(D375,Turmas!A2:A106,0))</f>
        <v>Noite</v>
      </c>
      <c r="F375" s="14">
        <v>0.0</v>
      </c>
      <c r="G375" s="15">
        <v>4.0</v>
      </c>
      <c r="H375" s="15">
        <v>0.0</v>
      </c>
      <c r="I375" s="16" t="str">
        <f t="shared" si="1"/>
        <v>1-12</v>
      </c>
      <c r="J375" s="16" t="str">
        <f t="shared" si="2"/>
        <v>1-12</v>
      </c>
      <c r="K375" s="16" t="str">
        <f t="shared" si="3"/>
        <v>1-12</v>
      </c>
      <c r="L375" s="16" t="str">
        <f t="shared" si="4"/>
        <v>1-12</v>
      </c>
      <c r="M375" s="16" t="str">
        <f t="shared" si="5"/>
        <v>1-12</v>
      </c>
      <c r="N375" s="16" t="str">
        <f t="shared" si="6"/>
        <v>0</v>
      </c>
      <c r="O375" s="17"/>
      <c r="P375" s="17"/>
      <c r="Q375" s="17"/>
      <c r="R375" s="17"/>
      <c r="S375" s="17"/>
      <c r="T375" s="17"/>
      <c r="U375" s="17"/>
      <c r="V375" s="17"/>
      <c r="W375" s="17"/>
    </row>
    <row r="376" ht="15.75" customHeight="1">
      <c r="A376" s="9" t="s">
        <v>875</v>
      </c>
      <c r="B376" s="19" t="s">
        <v>209</v>
      </c>
      <c r="C376" s="11" t="s">
        <v>80</v>
      </c>
      <c r="D376" s="12" t="s">
        <v>873</v>
      </c>
      <c r="E376" s="13" t="str">
        <f t="array" ref="E376">INDEX(Turmas!C2:C106,MATCH(D376,Turmas!A2:A106,0))</f>
        <v>Noite</v>
      </c>
      <c r="F376" s="20">
        <v>0.0</v>
      </c>
      <c r="G376" s="15">
        <v>4.0</v>
      </c>
      <c r="H376" s="15">
        <v>0.0</v>
      </c>
      <c r="I376" s="16" t="str">
        <f t="shared" si="1"/>
        <v>1-12</v>
      </c>
      <c r="J376" s="16" t="str">
        <f t="shared" si="2"/>
        <v>1-12</v>
      </c>
      <c r="K376" s="16" t="str">
        <f t="shared" si="3"/>
        <v>1-12</v>
      </c>
      <c r="L376" s="16" t="str">
        <f t="shared" si="4"/>
        <v>1-12</v>
      </c>
      <c r="M376" s="16" t="str">
        <f t="shared" si="5"/>
        <v>1-12</v>
      </c>
      <c r="N376" s="16" t="str">
        <f t="shared" si="6"/>
        <v>0</v>
      </c>
      <c r="O376" s="21"/>
      <c r="P376" s="21"/>
      <c r="Q376" s="21"/>
      <c r="R376" s="21"/>
      <c r="S376" s="21"/>
      <c r="T376" s="21"/>
      <c r="U376" s="21"/>
      <c r="V376" s="21"/>
      <c r="W376" s="21"/>
    </row>
    <row r="377" ht="15.75" customHeight="1">
      <c r="A377" s="9" t="s">
        <v>876</v>
      </c>
      <c r="B377" s="10" t="s">
        <v>877</v>
      </c>
      <c r="C377" s="11" t="s">
        <v>77</v>
      </c>
      <c r="D377" s="23" t="s">
        <v>873</v>
      </c>
      <c r="E377" s="13" t="str">
        <f t="array" ref="E377">INDEX(Turmas!C2:C106,MATCH(D377,Turmas!A2:A106,0))</f>
        <v>Noite</v>
      </c>
      <c r="F377" s="14">
        <v>0.0</v>
      </c>
      <c r="G377" s="15">
        <v>4.0</v>
      </c>
      <c r="H377" s="15">
        <v>0.0</v>
      </c>
      <c r="I377" s="16" t="str">
        <f t="shared" si="1"/>
        <v>1-12</v>
      </c>
      <c r="J377" s="16" t="str">
        <f t="shared" si="2"/>
        <v>1-12</v>
      </c>
      <c r="K377" s="16" t="str">
        <f t="shared" si="3"/>
        <v>1-12</v>
      </c>
      <c r="L377" s="16" t="str">
        <f t="shared" si="4"/>
        <v>1-12</v>
      </c>
      <c r="M377" s="16" t="str">
        <f t="shared" si="5"/>
        <v>1-12</v>
      </c>
      <c r="N377" s="16" t="str">
        <f t="shared" si="6"/>
        <v>0</v>
      </c>
      <c r="O377" s="17"/>
      <c r="P377" s="17"/>
      <c r="Q377" s="17"/>
      <c r="R377" s="17"/>
      <c r="S377" s="17"/>
      <c r="T377" s="17"/>
      <c r="U377" s="17"/>
      <c r="V377" s="17"/>
      <c r="W377" s="17"/>
    </row>
    <row r="378" ht="15.75" customHeight="1">
      <c r="A378" s="9" t="s">
        <v>878</v>
      </c>
      <c r="B378" s="10" t="s">
        <v>879</v>
      </c>
      <c r="C378" s="11" t="s">
        <v>880</v>
      </c>
      <c r="D378" s="23" t="s">
        <v>873</v>
      </c>
      <c r="E378" s="13" t="str">
        <f t="array" ref="E378">INDEX(Turmas!C2:C106,MATCH(D378,Turmas!A2:A106,0))</f>
        <v>Noite</v>
      </c>
      <c r="F378" s="14">
        <v>0.0</v>
      </c>
      <c r="G378" s="15">
        <v>1.0</v>
      </c>
      <c r="H378" s="15">
        <v>0.0</v>
      </c>
      <c r="I378" s="16" t="str">
        <f t="shared" si="1"/>
        <v>1-12</v>
      </c>
      <c r="J378" s="16" t="str">
        <f t="shared" si="2"/>
        <v>1-12</v>
      </c>
      <c r="K378" s="16" t="str">
        <f t="shared" si="3"/>
        <v>1-12</v>
      </c>
      <c r="L378" s="16" t="str">
        <f t="shared" si="4"/>
        <v>1-12</v>
      </c>
      <c r="M378" s="16" t="str">
        <f t="shared" si="5"/>
        <v>1-12</v>
      </c>
      <c r="N378" s="16" t="str">
        <f t="shared" si="6"/>
        <v>0</v>
      </c>
      <c r="O378" s="17"/>
      <c r="P378" s="17"/>
      <c r="Q378" s="17"/>
      <c r="R378" s="17"/>
      <c r="S378" s="17"/>
      <c r="T378" s="17"/>
      <c r="U378" s="17"/>
      <c r="V378" s="17"/>
      <c r="W378" s="17"/>
    </row>
    <row r="379" ht="15.75" customHeight="1">
      <c r="A379" s="9" t="s">
        <v>881</v>
      </c>
      <c r="B379" s="10" t="s">
        <v>882</v>
      </c>
      <c r="C379" s="11" t="s">
        <v>883</v>
      </c>
      <c r="D379" s="23" t="s">
        <v>873</v>
      </c>
      <c r="E379" s="13" t="str">
        <f t="array" ref="E379">INDEX(Turmas!C2:C106,MATCH(D379,Turmas!A2:A106,0))</f>
        <v>Noite</v>
      </c>
      <c r="F379" s="14">
        <v>0.0</v>
      </c>
      <c r="G379" s="15">
        <v>4.0</v>
      </c>
      <c r="H379" s="15">
        <v>0.0</v>
      </c>
      <c r="I379" s="16" t="str">
        <f t="shared" si="1"/>
        <v>1-12</v>
      </c>
      <c r="J379" s="16" t="str">
        <f t="shared" si="2"/>
        <v>1-12</v>
      </c>
      <c r="K379" s="16" t="str">
        <f t="shared" si="3"/>
        <v>1-12</v>
      </c>
      <c r="L379" s="16" t="str">
        <f t="shared" si="4"/>
        <v>1-12</v>
      </c>
      <c r="M379" s="16" t="str">
        <f t="shared" si="5"/>
        <v>1-12</v>
      </c>
      <c r="N379" s="16" t="str">
        <f t="shared" si="6"/>
        <v>0</v>
      </c>
      <c r="O379" s="17"/>
      <c r="P379" s="17"/>
      <c r="Q379" s="17"/>
      <c r="R379" s="17"/>
      <c r="S379" s="17"/>
      <c r="T379" s="17"/>
      <c r="U379" s="17"/>
      <c r="V379" s="17"/>
      <c r="W379" s="17"/>
    </row>
    <row r="380" ht="15.75" customHeight="1">
      <c r="A380" s="9" t="s">
        <v>884</v>
      </c>
      <c r="B380" s="10" t="s">
        <v>885</v>
      </c>
      <c r="C380" s="11" t="s">
        <v>77</v>
      </c>
      <c r="D380" s="23" t="s">
        <v>873</v>
      </c>
      <c r="E380" s="13" t="str">
        <f t="array" ref="E380">INDEX(Turmas!C2:C106,MATCH(D380,Turmas!A2:A106,0))</f>
        <v>Noite</v>
      </c>
      <c r="F380" s="14">
        <v>0.0</v>
      </c>
      <c r="G380" s="15">
        <v>2.0</v>
      </c>
      <c r="H380" s="15">
        <v>0.0</v>
      </c>
      <c r="I380" s="16" t="str">
        <f t="shared" si="1"/>
        <v>1-12</v>
      </c>
      <c r="J380" s="16" t="str">
        <f t="shared" si="2"/>
        <v>1-12</v>
      </c>
      <c r="K380" s="16" t="str">
        <f t="shared" si="3"/>
        <v>1-12</v>
      </c>
      <c r="L380" s="16" t="str">
        <f t="shared" si="4"/>
        <v>1-12</v>
      </c>
      <c r="M380" s="16" t="str">
        <f t="shared" si="5"/>
        <v>1-12</v>
      </c>
      <c r="N380" s="16" t="str">
        <f t="shared" si="6"/>
        <v>0</v>
      </c>
      <c r="O380" s="17"/>
      <c r="P380" s="17"/>
      <c r="Q380" s="17"/>
      <c r="R380" s="17"/>
      <c r="S380" s="17"/>
      <c r="T380" s="17"/>
      <c r="U380" s="17"/>
      <c r="V380" s="17"/>
      <c r="W380" s="17"/>
    </row>
    <row r="381" ht="15.75" customHeight="1">
      <c r="A381" s="9" t="s">
        <v>886</v>
      </c>
      <c r="B381" s="10" t="s">
        <v>352</v>
      </c>
      <c r="C381" s="11" t="s">
        <v>153</v>
      </c>
      <c r="D381" s="23" t="s">
        <v>887</v>
      </c>
      <c r="E381" s="13" t="str">
        <f t="array" ref="E381">INDEX(Turmas!C2:C106,MATCH(D381,Turmas!A2:A106,0))</f>
        <v>Noite</v>
      </c>
      <c r="F381" s="14">
        <v>26.0</v>
      </c>
      <c r="G381" s="15">
        <v>1.0</v>
      </c>
      <c r="H381" s="15">
        <v>0.0</v>
      </c>
      <c r="I381" s="16" t="str">
        <f t="shared" si="1"/>
        <v>1-12</v>
      </c>
      <c r="J381" s="16" t="str">
        <f t="shared" si="2"/>
        <v>1-12</v>
      </c>
      <c r="K381" s="16" t="str">
        <f t="shared" si="3"/>
        <v>1-12</v>
      </c>
      <c r="L381" s="16" t="str">
        <f t="shared" si="4"/>
        <v>1-12</v>
      </c>
      <c r="M381" s="16" t="str">
        <f t="shared" si="5"/>
        <v>1-12</v>
      </c>
      <c r="N381" s="16" t="str">
        <f t="shared" si="6"/>
        <v>0</v>
      </c>
      <c r="O381" s="17"/>
      <c r="P381" s="17"/>
      <c r="Q381" s="17"/>
      <c r="R381" s="17"/>
      <c r="S381" s="17"/>
      <c r="T381" s="17"/>
      <c r="U381" s="17"/>
      <c r="V381" s="17"/>
      <c r="W381" s="17"/>
    </row>
    <row r="382" ht="15.75" customHeight="1">
      <c r="A382" s="9" t="s">
        <v>888</v>
      </c>
      <c r="B382" s="10" t="s">
        <v>889</v>
      </c>
      <c r="C382" s="11" t="s">
        <v>836</v>
      </c>
      <c r="D382" s="23" t="s">
        <v>887</v>
      </c>
      <c r="E382" s="13" t="str">
        <f t="array" ref="E382">INDEX(Turmas!C2:C106,MATCH(D382,Turmas!A2:A106,0))</f>
        <v>Noite</v>
      </c>
      <c r="F382" s="14">
        <v>0.0</v>
      </c>
      <c r="G382" s="15">
        <v>3.0</v>
      </c>
      <c r="H382" s="15">
        <v>0.0</v>
      </c>
      <c r="I382" s="16" t="str">
        <f t="shared" si="1"/>
        <v>1-12</v>
      </c>
      <c r="J382" s="16" t="str">
        <f t="shared" si="2"/>
        <v>1-12</v>
      </c>
      <c r="K382" s="16" t="str">
        <f t="shared" si="3"/>
        <v>1-12</v>
      </c>
      <c r="L382" s="16" t="str">
        <f t="shared" si="4"/>
        <v>1-12</v>
      </c>
      <c r="M382" s="16" t="str">
        <f t="shared" si="5"/>
        <v>1-12</v>
      </c>
      <c r="N382" s="16" t="str">
        <f t="shared" si="6"/>
        <v>0</v>
      </c>
      <c r="O382" s="17"/>
      <c r="P382" s="17"/>
      <c r="Q382" s="17"/>
      <c r="R382" s="17"/>
      <c r="S382" s="17"/>
      <c r="T382" s="17"/>
      <c r="U382" s="17"/>
      <c r="V382" s="17"/>
      <c r="W382" s="17"/>
    </row>
    <row r="383" ht="15.75" customHeight="1">
      <c r="A383" s="9" t="s">
        <v>890</v>
      </c>
      <c r="B383" s="10" t="s">
        <v>842</v>
      </c>
      <c r="C383" s="11" t="s">
        <v>80</v>
      </c>
      <c r="D383" s="23" t="s">
        <v>887</v>
      </c>
      <c r="E383" s="13" t="str">
        <f t="array" ref="E383">INDEX(Turmas!C2:C106,MATCH(D383,Turmas!A2:A106,0))</f>
        <v>Noite</v>
      </c>
      <c r="F383" s="14">
        <v>0.0</v>
      </c>
      <c r="G383" s="15">
        <v>4.0</v>
      </c>
      <c r="H383" s="15">
        <v>0.0</v>
      </c>
      <c r="I383" s="16" t="str">
        <f t="shared" si="1"/>
        <v>1-12</v>
      </c>
      <c r="J383" s="16" t="str">
        <f t="shared" si="2"/>
        <v>1-12</v>
      </c>
      <c r="K383" s="16" t="str">
        <f t="shared" si="3"/>
        <v>1-12</v>
      </c>
      <c r="L383" s="16" t="str">
        <f t="shared" si="4"/>
        <v>1-12</v>
      </c>
      <c r="M383" s="16" t="str">
        <f t="shared" si="5"/>
        <v>1-12</v>
      </c>
      <c r="N383" s="16" t="str">
        <f t="shared" si="6"/>
        <v>0</v>
      </c>
      <c r="O383" s="17"/>
      <c r="P383" s="17"/>
      <c r="Q383" s="17"/>
      <c r="R383" s="17"/>
      <c r="S383" s="17"/>
      <c r="T383" s="17"/>
      <c r="U383" s="17"/>
      <c r="V383" s="17"/>
      <c r="W383" s="17"/>
    </row>
    <row r="384" ht="15.75" customHeight="1">
      <c r="A384" s="9" t="s">
        <v>891</v>
      </c>
      <c r="B384" s="10" t="s">
        <v>892</v>
      </c>
      <c r="C384" s="11" t="s">
        <v>893</v>
      </c>
      <c r="D384" s="23" t="s">
        <v>887</v>
      </c>
      <c r="E384" s="13" t="str">
        <f t="array" ref="E384">INDEX(Turmas!C2:C106,MATCH(D384,Turmas!A2:A106,0))</f>
        <v>Noite</v>
      </c>
      <c r="F384" s="14">
        <v>0.0</v>
      </c>
      <c r="G384" s="15">
        <v>4.0</v>
      </c>
      <c r="H384" s="15">
        <v>0.0</v>
      </c>
      <c r="I384" s="16" t="str">
        <f t="shared" si="1"/>
        <v>1-12</v>
      </c>
      <c r="J384" s="16" t="str">
        <f t="shared" si="2"/>
        <v>1-12</v>
      </c>
      <c r="K384" s="16" t="str">
        <f t="shared" si="3"/>
        <v>1-12</v>
      </c>
      <c r="L384" s="16" t="str">
        <f t="shared" si="4"/>
        <v>1-12</v>
      </c>
      <c r="M384" s="16" t="str">
        <f t="shared" si="5"/>
        <v>1-12</v>
      </c>
      <c r="N384" s="16" t="str">
        <f t="shared" si="6"/>
        <v>0</v>
      </c>
      <c r="O384" s="17"/>
      <c r="P384" s="17"/>
      <c r="Q384" s="17"/>
      <c r="R384" s="17"/>
      <c r="S384" s="17"/>
      <c r="T384" s="17"/>
      <c r="U384" s="17"/>
      <c r="V384" s="17"/>
      <c r="W384" s="17"/>
    </row>
    <row r="385" ht="15.75" customHeight="1">
      <c r="A385" s="9" t="s">
        <v>894</v>
      </c>
      <c r="B385" s="10" t="s">
        <v>895</v>
      </c>
      <c r="C385" s="11" t="s">
        <v>836</v>
      </c>
      <c r="D385" s="23" t="s">
        <v>887</v>
      </c>
      <c r="E385" s="13" t="str">
        <f t="array" ref="E385">INDEX(Turmas!C2:C106,MATCH(D385,Turmas!A2:A106,0))</f>
        <v>Noite</v>
      </c>
      <c r="F385" s="14">
        <v>0.0</v>
      </c>
      <c r="G385" s="15">
        <v>4.0</v>
      </c>
      <c r="H385" s="15">
        <v>0.0</v>
      </c>
      <c r="I385" s="16" t="str">
        <f t="shared" si="1"/>
        <v>1-12</v>
      </c>
      <c r="J385" s="16" t="str">
        <f t="shared" si="2"/>
        <v>1-12</v>
      </c>
      <c r="K385" s="16" t="str">
        <f t="shared" si="3"/>
        <v>1-12</v>
      </c>
      <c r="L385" s="16" t="str">
        <f t="shared" si="4"/>
        <v>1-12</v>
      </c>
      <c r="M385" s="16" t="str">
        <f t="shared" si="5"/>
        <v>1-12</v>
      </c>
      <c r="N385" s="16" t="str">
        <f t="shared" si="6"/>
        <v>0</v>
      </c>
      <c r="O385" s="17"/>
      <c r="P385" s="17"/>
      <c r="Q385" s="17"/>
      <c r="R385" s="17"/>
      <c r="S385" s="17"/>
      <c r="T385" s="17"/>
      <c r="U385" s="17"/>
      <c r="V385" s="17"/>
      <c r="W385" s="17"/>
    </row>
    <row r="386" ht="15.75" customHeight="1">
      <c r="A386" s="9" t="s">
        <v>896</v>
      </c>
      <c r="B386" s="10" t="s">
        <v>897</v>
      </c>
      <c r="C386" s="11" t="s">
        <v>710</v>
      </c>
      <c r="D386" s="23" t="s">
        <v>887</v>
      </c>
      <c r="E386" s="13" t="str">
        <f t="array" ref="E386">INDEX(Turmas!C2:C106,MATCH(D386,Turmas!A2:A106,0))</f>
        <v>Noite</v>
      </c>
      <c r="F386" s="14">
        <v>0.0</v>
      </c>
      <c r="G386" s="15">
        <v>4.0</v>
      </c>
      <c r="H386" s="15">
        <v>0.0</v>
      </c>
      <c r="I386" s="16" t="str">
        <f t="shared" si="1"/>
        <v>1-12</v>
      </c>
      <c r="J386" s="16" t="str">
        <f t="shared" si="2"/>
        <v>1-12</v>
      </c>
      <c r="K386" s="16" t="str">
        <f t="shared" si="3"/>
        <v>1-12</v>
      </c>
      <c r="L386" s="16" t="str">
        <f t="shared" si="4"/>
        <v>1-12</v>
      </c>
      <c r="M386" s="16" t="str">
        <f t="shared" si="5"/>
        <v>1-12</v>
      </c>
      <c r="N386" s="16" t="str">
        <f t="shared" si="6"/>
        <v>0</v>
      </c>
      <c r="O386" s="17"/>
      <c r="P386" s="17"/>
      <c r="Q386" s="17"/>
      <c r="R386" s="17"/>
      <c r="S386" s="17"/>
      <c r="T386" s="17"/>
      <c r="U386" s="17"/>
      <c r="V386" s="17"/>
      <c r="W386" s="17"/>
    </row>
    <row r="387" ht="15.75" customHeight="1">
      <c r="A387" s="9" t="s">
        <v>898</v>
      </c>
      <c r="B387" s="10" t="s">
        <v>52</v>
      </c>
      <c r="C387" s="11" t="s">
        <v>53</v>
      </c>
      <c r="D387" s="23" t="s">
        <v>887</v>
      </c>
      <c r="E387" s="13" t="str">
        <f t="array" ref="E387">INDEX(Turmas!C2:C106,MATCH(D387,Turmas!A2:A106,0))</f>
        <v>Noite</v>
      </c>
      <c r="F387" s="14">
        <v>0.0</v>
      </c>
      <c r="G387" s="15">
        <v>4.0</v>
      </c>
      <c r="H387" s="15">
        <v>0.0</v>
      </c>
      <c r="I387" s="16" t="str">
        <f t="shared" si="1"/>
        <v>1-12</v>
      </c>
      <c r="J387" s="16" t="str">
        <f t="shared" si="2"/>
        <v>1-12</v>
      </c>
      <c r="K387" s="16" t="str">
        <f t="shared" si="3"/>
        <v>1-12</v>
      </c>
      <c r="L387" s="16" t="str">
        <f t="shared" si="4"/>
        <v>1-12</v>
      </c>
      <c r="M387" s="16" t="str">
        <f t="shared" si="5"/>
        <v>1-12</v>
      </c>
      <c r="N387" s="16" t="str">
        <f t="shared" si="6"/>
        <v>0</v>
      </c>
      <c r="O387" s="17"/>
      <c r="P387" s="17"/>
      <c r="Q387" s="17"/>
      <c r="R387" s="17"/>
      <c r="S387" s="17"/>
      <c r="T387" s="17"/>
      <c r="U387" s="17"/>
      <c r="V387" s="17"/>
      <c r="W387" s="17"/>
    </row>
    <row r="388" ht="15.75" customHeight="1">
      <c r="A388" s="9" t="s">
        <v>439</v>
      </c>
      <c r="B388" s="10" t="s">
        <v>440</v>
      </c>
      <c r="C388" s="11" t="s">
        <v>341</v>
      </c>
      <c r="D388" s="23" t="s">
        <v>899</v>
      </c>
      <c r="E388" s="13" t="str">
        <f t="array" ref="E388">INDEX(Turmas!C2:C106,MATCH(D388,Turmas!A2:A106,0))</f>
        <v>Noite</v>
      </c>
      <c r="F388" s="14">
        <v>0.0</v>
      </c>
      <c r="G388" s="15">
        <v>3.0</v>
      </c>
      <c r="H388" s="15">
        <v>0.0</v>
      </c>
      <c r="I388" s="16" t="str">
        <f t="shared" si="1"/>
        <v>1-12</v>
      </c>
      <c r="J388" s="16" t="str">
        <f t="shared" si="2"/>
        <v>1-12</v>
      </c>
      <c r="K388" s="16" t="str">
        <f t="shared" si="3"/>
        <v>1-12</v>
      </c>
      <c r="L388" s="16" t="str">
        <f t="shared" si="4"/>
        <v>1-12</v>
      </c>
      <c r="M388" s="16" t="str">
        <f t="shared" si="5"/>
        <v>1-12</v>
      </c>
      <c r="N388" s="16" t="str">
        <f t="shared" si="6"/>
        <v>0</v>
      </c>
      <c r="O388" s="17"/>
      <c r="P388" s="17"/>
      <c r="Q388" s="17"/>
      <c r="R388" s="17"/>
      <c r="S388" s="17"/>
      <c r="T388" s="17"/>
      <c r="U388" s="17"/>
      <c r="V388" s="17"/>
      <c r="W388" s="17"/>
    </row>
    <row r="389" ht="15.75" customHeight="1">
      <c r="A389" s="9" t="s">
        <v>445</v>
      </c>
      <c r="B389" s="10" t="s">
        <v>446</v>
      </c>
      <c r="C389" s="11" t="s">
        <v>447</v>
      </c>
      <c r="D389" s="23" t="s">
        <v>899</v>
      </c>
      <c r="E389" s="13" t="str">
        <f t="array" ref="E389">INDEX(Turmas!C2:C106,MATCH(D389,Turmas!A2:A106,0))</f>
        <v>Noite</v>
      </c>
      <c r="F389" s="14">
        <v>0.0</v>
      </c>
      <c r="G389" s="15">
        <v>4.0</v>
      </c>
      <c r="H389" s="15">
        <v>0.0</v>
      </c>
      <c r="I389" s="16" t="str">
        <f t="shared" si="1"/>
        <v>1-12</v>
      </c>
      <c r="J389" s="16" t="str">
        <f t="shared" si="2"/>
        <v>1-12</v>
      </c>
      <c r="K389" s="16" t="str">
        <f t="shared" si="3"/>
        <v>1-12</v>
      </c>
      <c r="L389" s="16" t="str">
        <f t="shared" si="4"/>
        <v>1-12</v>
      </c>
      <c r="M389" s="16" t="str">
        <f t="shared" si="5"/>
        <v>1-12</v>
      </c>
      <c r="N389" s="16" t="str">
        <f t="shared" si="6"/>
        <v>0</v>
      </c>
      <c r="O389" s="17"/>
      <c r="P389" s="17"/>
      <c r="Q389" s="17"/>
      <c r="R389" s="17"/>
      <c r="S389" s="17"/>
      <c r="T389" s="17"/>
      <c r="U389" s="17"/>
      <c r="V389" s="17"/>
      <c r="W389" s="17"/>
    </row>
    <row r="390" ht="15.75" customHeight="1">
      <c r="A390" s="9" t="s">
        <v>900</v>
      </c>
      <c r="B390" s="10" t="s">
        <v>901</v>
      </c>
      <c r="C390" s="11" t="s">
        <v>883</v>
      </c>
      <c r="D390" s="23" t="s">
        <v>899</v>
      </c>
      <c r="E390" s="13" t="str">
        <f t="array" ref="E390">INDEX(Turmas!C2:C106,MATCH(D390,Turmas!A2:A106,0))</f>
        <v>Noite</v>
      </c>
      <c r="F390" s="14">
        <v>0.0</v>
      </c>
      <c r="G390" s="15">
        <v>2.0</v>
      </c>
      <c r="H390" s="15">
        <v>0.0</v>
      </c>
      <c r="I390" s="16" t="str">
        <f t="shared" si="1"/>
        <v>1-12</v>
      </c>
      <c r="J390" s="16" t="str">
        <f t="shared" si="2"/>
        <v>1-12</v>
      </c>
      <c r="K390" s="16" t="str">
        <f t="shared" si="3"/>
        <v>1-12</v>
      </c>
      <c r="L390" s="16" t="str">
        <f t="shared" si="4"/>
        <v>1-12</v>
      </c>
      <c r="M390" s="16" t="str">
        <f t="shared" si="5"/>
        <v>1-12</v>
      </c>
      <c r="N390" s="16" t="str">
        <f t="shared" si="6"/>
        <v>0</v>
      </c>
      <c r="O390" s="17"/>
      <c r="P390" s="17"/>
      <c r="Q390" s="17"/>
      <c r="R390" s="17"/>
      <c r="S390" s="17"/>
      <c r="T390" s="17"/>
      <c r="U390" s="17"/>
      <c r="V390" s="17"/>
      <c r="W390" s="17"/>
    </row>
    <row r="391" ht="15.75" customHeight="1">
      <c r="A391" s="9" t="s">
        <v>378</v>
      </c>
      <c r="B391" s="10" t="s">
        <v>206</v>
      </c>
      <c r="C391" s="11" t="s">
        <v>448</v>
      </c>
      <c r="D391" s="23" t="s">
        <v>899</v>
      </c>
      <c r="E391" s="13" t="str">
        <f t="array" ref="E391">INDEX(Turmas!C2:C106,MATCH(D391,Turmas!A2:A106,0))</f>
        <v>Noite</v>
      </c>
      <c r="F391" s="14">
        <v>0.0</v>
      </c>
      <c r="G391" s="15">
        <v>2.0</v>
      </c>
      <c r="H391" s="15">
        <v>0.0</v>
      </c>
      <c r="I391" s="16" t="str">
        <f t="shared" si="1"/>
        <v>1-12</v>
      </c>
      <c r="J391" s="16" t="str">
        <f t="shared" si="2"/>
        <v>1-12</v>
      </c>
      <c r="K391" s="16" t="str">
        <f t="shared" si="3"/>
        <v>1-12</v>
      </c>
      <c r="L391" s="16" t="str">
        <f t="shared" si="4"/>
        <v>1-12</v>
      </c>
      <c r="M391" s="16" t="str">
        <f t="shared" si="5"/>
        <v>1-12</v>
      </c>
      <c r="N391" s="16" t="str">
        <f t="shared" si="6"/>
        <v>0</v>
      </c>
      <c r="O391" s="17"/>
      <c r="P391" s="17"/>
      <c r="Q391" s="17"/>
      <c r="R391" s="17"/>
      <c r="S391" s="17"/>
      <c r="T391" s="17"/>
      <c r="U391" s="17"/>
      <c r="V391" s="17"/>
      <c r="W391" s="17"/>
    </row>
    <row r="392" ht="15.75" customHeight="1">
      <c r="A392" s="9" t="s">
        <v>902</v>
      </c>
      <c r="B392" s="10" t="s">
        <v>903</v>
      </c>
      <c r="C392" s="11" t="s">
        <v>904</v>
      </c>
      <c r="D392" s="23" t="s">
        <v>899</v>
      </c>
      <c r="E392" s="13" t="str">
        <f t="array" ref="E392">INDEX(Turmas!C2:C106,MATCH(D392,Turmas!A2:A106,0))</f>
        <v>Noite</v>
      </c>
      <c r="F392" s="14">
        <v>0.0</v>
      </c>
      <c r="G392" s="15">
        <v>2.0</v>
      </c>
      <c r="H392" s="15">
        <v>0.0</v>
      </c>
      <c r="I392" s="16" t="str">
        <f t="shared" si="1"/>
        <v>1-12</v>
      </c>
      <c r="J392" s="16" t="str">
        <f t="shared" si="2"/>
        <v>1-12</v>
      </c>
      <c r="K392" s="16" t="str">
        <f t="shared" si="3"/>
        <v>1-12</v>
      </c>
      <c r="L392" s="16" t="str">
        <f t="shared" si="4"/>
        <v>1-12</v>
      </c>
      <c r="M392" s="16" t="str">
        <f t="shared" si="5"/>
        <v>1-12</v>
      </c>
      <c r="N392" s="16" t="str">
        <f t="shared" si="6"/>
        <v>0</v>
      </c>
      <c r="O392" s="17"/>
      <c r="P392" s="17"/>
      <c r="Q392" s="17"/>
      <c r="R392" s="17"/>
      <c r="S392" s="17"/>
      <c r="T392" s="17"/>
      <c r="U392" s="17"/>
      <c r="V392" s="17"/>
      <c r="W392" s="17"/>
    </row>
    <row r="393" ht="15.75" customHeight="1">
      <c r="A393" s="9" t="s">
        <v>905</v>
      </c>
      <c r="B393" s="10" t="s">
        <v>906</v>
      </c>
      <c r="C393" s="11" t="s">
        <v>883</v>
      </c>
      <c r="D393" s="23" t="s">
        <v>899</v>
      </c>
      <c r="E393" s="13" t="str">
        <f t="array" ref="E393">INDEX(Turmas!C2:C106,MATCH(D393,Turmas!A2:A106,0))</f>
        <v>Noite</v>
      </c>
      <c r="F393" s="14">
        <v>0.0</v>
      </c>
      <c r="G393" s="15">
        <v>4.0</v>
      </c>
      <c r="H393" s="15">
        <v>0.0</v>
      </c>
      <c r="I393" s="16" t="str">
        <f t="shared" si="1"/>
        <v>1-12</v>
      </c>
      <c r="J393" s="16" t="str">
        <f t="shared" si="2"/>
        <v>1-12</v>
      </c>
      <c r="K393" s="16" t="str">
        <f t="shared" si="3"/>
        <v>1-12</v>
      </c>
      <c r="L393" s="16" t="str">
        <f t="shared" si="4"/>
        <v>1-12</v>
      </c>
      <c r="M393" s="16" t="str">
        <f t="shared" si="5"/>
        <v>1-12</v>
      </c>
      <c r="N393" s="16" t="str">
        <f t="shared" si="6"/>
        <v>0</v>
      </c>
      <c r="O393" s="17"/>
      <c r="P393" s="17"/>
      <c r="Q393" s="17"/>
      <c r="R393" s="17"/>
      <c r="S393" s="17"/>
      <c r="T393" s="17"/>
      <c r="U393" s="17"/>
      <c r="V393" s="17"/>
      <c r="W393" s="17"/>
    </row>
    <row r="394" ht="15.75" customHeight="1">
      <c r="A394" s="9" t="s">
        <v>907</v>
      </c>
      <c r="B394" s="10" t="s">
        <v>908</v>
      </c>
      <c r="C394" s="11" t="s">
        <v>652</v>
      </c>
      <c r="D394" s="23" t="s">
        <v>909</v>
      </c>
      <c r="E394" s="13" t="str">
        <f t="array" ref="E394">INDEX(Turmas!C2:C106,MATCH(D394,Turmas!A2:A106,0))</f>
        <v>Noite</v>
      </c>
      <c r="F394" s="14">
        <v>0.0</v>
      </c>
      <c r="G394" s="15">
        <v>4.0</v>
      </c>
      <c r="H394" s="15">
        <v>0.0</v>
      </c>
      <c r="I394" s="16" t="str">
        <f t="shared" si="1"/>
        <v>1-12</v>
      </c>
      <c r="J394" s="16" t="str">
        <f t="shared" si="2"/>
        <v>1-12</v>
      </c>
      <c r="K394" s="16" t="str">
        <f t="shared" si="3"/>
        <v>1-12</v>
      </c>
      <c r="L394" s="16" t="str">
        <f t="shared" si="4"/>
        <v>1-12</v>
      </c>
      <c r="M394" s="16" t="str">
        <f t="shared" si="5"/>
        <v>1-12</v>
      </c>
      <c r="N394" s="16" t="str">
        <f t="shared" si="6"/>
        <v>0</v>
      </c>
      <c r="O394" s="17"/>
      <c r="P394" s="17"/>
      <c r="Q394" s="17"/>
      <c r="R394" s="17"/>
      <c r="S394" s="17"/>
      <c r="T394" s="17"/>
      <c r="U394" s="17"/>
      <c r="V394" s="17"/>
      <c r="W394" s="17"/>
    </row>
    <row r="395" ht="15.75" customHeight="1">
      <c r="A395" s="9" t="s">
        <v>910</v>
      </c>
      <c r="B395" s="10" t="s">
        <v>848</v>
      </c>
      <c r="C395" s="11" t="s">
        <v>893</v>
      </c>
      <c r="D395" s="23" t="s">
        <v>909</v>
      </c>
      <c r="E395" s="13" t="str">
        <f t="array" ref="E395">INDEX(Turmas!C2:C106,MATCH(D395,Turmas!A2:A106,0))</f>
        <v>Noite</v>
      </c>
      <c r="F395" s="14">
        <v>0.0</v>
      </c>
      <c r="G395" s="15">
        <v>4.0</v>
      </c>
      <c r="H395" s="15">
        <v>0.0</v>
      </c>
      <c r="I395" s="16" t="str">
        <f t="shared" si="1"/>
        <v>1-12</v>
      </c>
      <c r="J395" s="16" t="str">
        <f t="shared" si="2"/>
        <v>1-12</v>
      </c>
      <c r="K395" s="16" t="str">
        <f t="shared" si="3"/>
        <v>1-12</v>
      </c>
      <c r="L395" s="16" t="str">
        <f t="shared" si="4"/>
        <v>1-12</v>
      </c>
      <c r="M395" s="16" t="str">
        <f t="shared" si="5"/>
        <v>1-12</v>
      </c>
      <c r="N395" s="16" t="str">
        <f t="shared" si="6"/>
        <v>0</v>
      </c>
      <c r="O395" s="17"/>
      <c r="P395" s="17"/>
      <c r="Q395" s="17"/>
      <c r="R395" s="17"/>
      <c r="S395" s="17"/>
      <c r="T395" s="17"/>
      <c r="U395" s="17"/>
      <c r="V395" s="17"/>
      <c r="W395" s="17"/>
    </row>
    <row r="396" ht="15.75" customHeight="1">
      <c r="A396" s="9" t="s">
        <v>911</v>
      </c>
      <c r="B396" s="10" t="s">
        <v>912</v>
      </c>
      <c r="C396" s="11" t="s">
        <v>893</v>
      </c>
      <c r="D396" s="23" t="s">
        <v>909</v>
      </c>
      <c r="E396" s="13" t="str">
        <f t="array" ref="E396">INDEX(Turmas!C2:C106,MATCH(D396,Turmas!A2:A106,0))</f>
        <v>Noite</v>
      </c>
      <c r="F396" s="14">
        <v>0.0</v>
      </c>
      <c r="G396" s="15">
        <v>2.0</v>
      </c>
      <c r="H396" s="15">
        <v>0.0</v>
      </c>
      <c r="I396" s="16" t="str">
        <f t="shared" si="1"/>
        <v>1-12</v>
      </c>
      <c r="J396" s="16" t="str">
        <f t="shared" si="2"/>
        <v>1-12</v>
      </c>
      <c r="K396" s="16" t="str">
        <f t="shared" si="3"/>
        <v>1-12</v>
      </c>
      <c r="L396" s="16" t="str">
        <f t="shared" si="4"/>
        <v>1-12</v>
      </c>
      <c r="M396" s="16" t="str">
        <f t="shared" si="5"/>
        <v>1-12</v>
      </c>
      <c r="N396" s="16" t="str">
        <f t="shared" si="6"/>
        <v>0</v>
      </c>
      <c r="O396" s="17"/>
      <c r="P396" s="17"/>
      <c r="Q396" s="17"/>
      <c r="R396" s="17"/>
      <c r="S396" s="17"/>
      <c r="T396" s="17"/>
      <c r="U396" s="17"/>
      <c r="V396" s="17"/>
      <c r="W396" s="17"/>
    </row>
    <row r="397" ht="15.75" customHeight="1">
      <c r="A397" s="9" t="s">
        <v>913</v>
      </c>
      <c r="B397" s="10" t="s">
        <v>914</v>
      </c>
      <c r="C397" s="11" t="s">
        <v>836</v>
      </c>
      <c r="D397" s="23" t="s">
        <v>909</v>
      </c>
      <c r="E397" s="13" t="str">
        <f t="array" ref="E397">INDEX(Turmas!C2:C106,MATCH(D397,Turmas!A2:A106,0))</f>
        <v>Noite</v>
      </c>
      <c r="F397" s="14">
        <v>0.0</v>
      </c>
      <c r="G397" s="15">
        <v>2.0</v>
      </c>
      <c r="H397" s="15">
        <v>0.0</v>
      </c>
      <c r="I397" s="16" t="str">
        <f t="shared" si="1"/>
        <v>1-12</v>
      </c>
      <c r="J397" s="16" t="str">
        <f t="shared" si="2"/>
        <v>1-12</v>
      </c>
      <c r="K397" s="16" t="str">
        <f t="shared" si="3"/>
        <v>1-12</v>
      </c>
      <c r="L397" s="16" t="str">
        <f t="shared" si="4"/>
        <v>1-12</v>
      </c>
      <c r="M397" s="16" t="str">
        <f t="shared" si="5"/>
        <v>1-12</v>
      </c>
      <c r="N397" s="16" t="str">
        <f t="shared" si="6"/>
        <v>0</v>
      </c>
      <c r="O397" s="17"/>
      <c r="P397" s="17"/>
      <c r="Q397" s="17"/>
      <c r="R397" s="17"/>
      <c r="S397" s="17"/>
      <c r="T397" s="17"/>
      <c r="U397" s="17"/>
      <c r="V397" s="17"/>
      <c r="W397" s="17"/>
    </row>
    <row r="398" ht="15.75" customHeight="1">
      <c r="A398" s="9" t="s">
        <v>915</v>
      </c>
      <c r="B398" s="10" t="s">
        <v>842</v>
      </c>
      <c r="C398" s="11" t="s">
        <v>843</v>
      </c>
      <c r="D398" s="23" t="s">
        <v>909</v>
      </c>
      <c r="E398" s="13" t="str">
        <f t="array" ref="E398">INDEX(Turmas!C2:C106,MATCH(D398,Turmas!A2:A106,0))</f>
        <v>Noite</v>
      </c>
      <c r="F398" s="14">
        <v>0.0</v>
      </c>
      <c r="G398" s="15">
        <v>2.0</v>
      </c>
      <c r="H398" s="15">
        <v>0.0</v>
      </c>
      <c r="I398" s="16" t="str">
        <f t="shared" si="1"/>
        <v>1-12</v>
      </c>
      <c r="J398" s="16" t="str">
        <f t="shared" si="2"/>
        <v>1-12</v>
      </c>
      <c r="K398" s="16" t="str">
        <f t="shared" si="3"/>
        <v>1-12</v>
      </c>
      <c r="L398" s="16" t="str">
        <f t="shared" si="4"/>
        <v>1-12</v>
      </c>
      <c r="M398" s="16" t="str">
        <f t="shared" si="5"/>
        <v>1-12</v>
      </c>
      <c r="N398" s="16" t="str">
        <f t="shared" si="6"/>
        <v>0</v>
      </c>
      <c r="O398" s="17"/>
      <c r="P398" s="17"/>
      <c r="Q398" s="17"/>
      <c r="R398" s="17"/>
      <c r="S398" s="17"/>
      <c r="T398" s="17"/>
      <c r="U398" s="17"/>
      <c r="V398" s="17"/>
      <c r="W398" s="17"/>
    </row>
    <row r="399" ht="15.75" customHeight="1">
      <c r="A399" s="9" t="s">
        <v>916</v>
      </c>
      <c r="B399" s="10" t="s">
        <v>917</v>
      </c>
      <c r="C399" s="11" t="s">
        <v>390</v>
      </c>
      <c r="D399" s="23" t="s">
        <v>918</v>
      </c>
      <c r="E399" s="13" t="str">
        <f t="array" ref="E399">INDEX(Turmas!C2:C106,MATCH(D399,Turmas!A2:A106,0))</f>
        <v>Noite</v>
      </c>
      <c r="F399" s="14">
        <v>0.0</v>
      </c>
      <c r="G399" s="15">
        <v>4.0</v>
      </c>
      <c r="H399" s="15">
        <v>0.0</v>
      </c>
      <c r="I399" s="16" t="str">
        <f t="shared" si="1"/>
        <v>1-12</v>
      </c>
      <c r="J399" s="16" t="str">
        <f t="shared" si="2"/>
        <v>1-12</v>
      </c>
      <c r="K399" s="16" t="str">
        <f t="shared" si="3"/>
        <v>1-12</v>
      </c>
      <c r="L399" s="16" t="str">
        <f t="shared" si="4"/>
        <v>1-12</v>
      </c>
      <c r="M399" s="16" t="str">
        <f t="shared" si="5"/>
        <v>1-12</v>
      </c>
      <c r="N399" s="16" t="str">
        <f t="shared" si="6"/>
        <v>0</v>
      </c>
      <c r="O399" s="17"/>
      <c r="P399" s="17"/>
      <c r="Q399" s="17"/>
      <c r="R399" s="17"/>
      <c r="S399" s="17"/>
      <c r="T399" s="17"/>
      <c r="U399" s="17"/>
      <c r="V399" s="17"/>
      <c r="W399" s="17"/>
    </row>
    <row r="400" ht="15.75" customHeight="1">
      <c r="A400" s="9" t="s">
        <v>707</v>
      </c>
      <c r="B400" s="10" t="s">
        <v>492</v>
      </c>
      <c r="C400" s="11" t="s">
        <v>493</v>
      </c>
      <c r="D400" s="23" t="s">
        <v>918</v>
      </c>
      <c r="E400" s="13" t="str">
        <f t="array" ref="E400">INDEX(Turmas!C2:C106,MATCH(D2,Turmas!A2:A106,0))</f>
        <v>Noite</v>
      </c>
      <c r="F400" s="14">
        <v>0.0</v>
      </c>
      <c r="G400" s="15">
        <v>2.0</v>
      </c>
      <c r="H400" s="15">
        <v>0.0</v>
      </c>
      <c r="I400" s="16" t="str">
        <f t="shared" si="1"/>
        <v>1-12</v>
      </c>
      <c r="J400" s="16" t="str">
        <f t="shared" si="2"/>
        <v>1-12</v>
      </c>
      <c r="K400" s="16" t="str">
        <f t="shared" si="3"/>
        <v>1-12</v>
      </c>
      <c r="L400" s="16" t="str">
        <f t="shared" si="4"/>
        <v>1-12</v>
      </c>
      <c r="M400" s="16" t="str">
        <f t="shared" si="5"/>
        <v>1-12</v>
      </c>
      <c r="N400" s="16" t="str">
        <f t="shared" si="6"/>
        <v>0</v>
      </c>
      <c r="O400" s="17"/>
      <c r="P400" s="17"/>
      <c r="Q400" s="17"/>
      <c r="R400" s="17"/>
      <c r="S400" s="17"/>
      <c r="T400" s="17"/>
      <c r="U400" s="17"/>
      <c r="V400" s="17"/>
      <c r="W400" s="17"/>
    </row>
    <row r="401" ht="15.75" customHeight="1">
      <c r="A401" s="9" t="s">
        <v>919</v>
      </c>
      <c r="B401" s="10" t="s">
        <v>920</v>
      </c>
      <c r="C401" s="11" t="s">
        <v>843</v>
      </c>
      <c r="D401" s="23" t="s">
        <v>918</v>
      </c>
      <c r="E401" s="13" t="str">
        <f t="array" ref="E401">INDEX(Turmas!C2:C106,MATCH(D3,Turmas!A2:A106,0))</f>
        <v>Noite</v>
      </c>
      <c r="F401" s="14">
        <v>0.0</v>
      </c>
      <c r="G401" s="15">
        <v>2.0</v>
      </c>
      <c r="H401" s="15">
        <v>0.0</v>
      </c>
      <c r="I401" s="16" t="str">
        <f t="shared" si="1"/>
        <v>1-12</v>
      </c>
      <c r="J401" s="16" t="str">
        <f t="shared" si="2"/>
        <v>1-12</v>
      </c>
      <c r="K401" s="16" t="str">
        <f t="shared" si="3"/>
        <v>1-12</v>
      </c>
      <c r="L401" s="16" t="str">
        <f t="shared" si="4"/>
        <v>1-12</v>
      </c>
      <c r="M401" s="16" t="str">
        <f t="shared" si="5"/>
        <v>1-12</v>
      </c>
      <c r="N401" s="16" t="str">
        <f t="shared" si="6"/>
        <v>0</v>
      </c>
      <c r="O401" s="17"/>
      <c r="P401" s="17"/>
      <c r="Q401" s="17"/>
      <c r="R401" s="17"/>
      <c r="S401" s="17"/>
      <c r="T401" s="17"/>
      <c r="U401" s="17"/>
      <c r="V401" s="17"/>
      <c r="W401" s="17"/>
    </row>
    <row r="402" ht="15.75" customHeight="1">
      <c r="A402" s="9" t="s">
        <v>921</v>
      </c>
      <c r="B402" s="10" t="s">
        <v>922</v>
      </c>
      <c r="C402" s="11" t="s">
        <v>646</v>
      </c>
      <c r="D402" s="23" t="s">
        <v>918</v>
      </c>
      <c r="E402" s="13" t="str">
        <f t="array" ref="E402">INDEX(Turmas!C2:C106,MATCH(D4,Turmas!A2:A106,0))</f>
        <v>Noite</v>
      </c>
      <c r="F402" s="14">
        <v>0.0</v>
      </c>
      <c r="G402" s="15">
        <v>2.0</v>
      </c>
      <c r="H402" s="15">
        <v>0.0</v>
      </c>
      <c r="I402" s="16" t="str">
        <f t="shared" si="1"/>
        <v>1-12</v>
      </c>
      <c r="J402" s="16" t="str">
        <f t="shared" si="2"/>
        <v>1-12</v>
      </c>
      <c r="K402" s="16" t="str">
        <f t="shared" si="3"/>
        <v>1-12</v>
      </c>
      <c r="L402" s="16" t="str">
        <f t="shared" si="4"/>
        <v>1-12</v>
      </c>
      <c r="M402" s="16" t="str">
        <f t="shared" si="5"/>
        <v>1-12</v>
      </c>
      <c r="N402" s="16" t="str">
        <f t="shared" si="6"/>
        <v>0</v>
      </c>
      <c r="O402" s="17"/>
      <c r="P402" s="17"/>
      <c r="Q402" s="17"/>
      <c r="R402" s="17"/>
      <c r="S402" s="17"/>
      <c r="T402" s="17"/>
      <c r="U402" s="17"/>
      <c r="V402" s="17"/>
      <c r="W402" s="17"/>
    </row>
    <row r="403" ht="15.75" customHeight="1">
      <c r="A403" s="9" t="s">
        <v>742</v>
      </c>
      <c r="B403" s="10" t="s">
        <v>455</v>
      </c>
      <c r="C403" s="11" t="s">
        <v>820</v>
      </c>
      <c r="D403" s="23" t="s">
        <v>923</v>
      </c>
      <c r="E403" s="13" t="str">
        <f t="array" ref="E403">INDEX(Turmas!C2:C106,MATCH(D5,Turmas!A2:A106,0))</f>
        <v>Noite</v>
      </c>
      <c r="F403" s="14">
        <v>0.0</v>
      </c>
      <c r="G403" s="15">
        <v>4.0</v>
      </c>
      <c r="H403" s="15">
        <v>0.0</v>
      </c>
      <c r="I403" s="16" t="str">
        <f t="shared" si="1"/>
        <v>1-12</v>
      </c>
      <c r="J403" s="16" t="str">
        <f t="shared" si="2"/>
        <v>1-12</v>
      </c>
      <c r="K403" s="16" t="str">
        <f t="shared" si="3"/>
        <v>1-12</v>
      </c>
      <c r="L403" s="16" t="str">
        <f t="shared" si="4"/>
        <v>1-12</v>
      </c>
      <c r="M403" s="16" t="str">
        <f t="shared" si="5"/>
        <v>1-12</v>
      </c>
      <c r="N403" s="16" t="str">
        <f t="shared" si="6"/>
        <v>0</v>
      </c>
      <c r="O403" s="17"/>
      <c r="P403" s="17"/>
      <c r="Q403" s="17"/>
      <c r="R403" s="17"/>
      <c r="S403" s="17"/>
      <c r="T403" s="17"/>
      <c r="U403" s="17"/>
      <c r="V403" s="17"/>
      <c r="W403" s="17"/>
    </row>
    <row r="404" ht="15.75" customHeight="1">
      <c r="A404" s="9" t="s">
        <v>924</v>
      </c>
      <c r="B404" s="10" t="s">
        <v>925</v>
      </c>
      <c r="C404" s="11" t="s">
        <v>227</v>
      </c>
      <c r="D404" s="23" t="s">
        <v>923</v>
      </c>
      <c r="E404" s="13" t="str">
        <f t="array" ref="E404">INDEX(Turmas!C2:C106,MATCH(D6,Turmas!A2:A106,0))</f>
        <v>Noite</v>
      </c>
      <c r="F404" s="14">
        <v>0.0</v>
      </c>
      <c r="G404" s="15">
        <v>4.0</v>
      </c>
      <c r="H404" s="15">
        <v>0.0</v>
      </c>
      <c r="I404" s="16" t="str">
        <f t="shared" si="1"/>
        <v>1-12</v>
      </c>
      <c r="J404" s="16" t="str">
        <f t="shared" si="2"/>
        <v>1-12</v>
      </c>
      <c r="K404" s="16" t="str">
        <f t="shared" si="3"/>
        <v>1-12</v>
      </c>
      <c r="L404" s="16" t="str">
        <f t="shared" si="4"/>
        <v>1-12</v>
      </c>
      <c r="M404" s="16" t="str">
        <f t="shared" si="5"/>
        <v>1-12</v>
      </c>
      <c r="N404" s="16" t="str">
        <f t="shared" si="6"/>
        <v>0</v>
      </c>
      <c r="O404" s="17"/>
      <c r="P404" s="17"/>
      <c r="Q404" s="17"/>
      <c r="R404" s="17"/>
      <c r="S404" s="17"/>
      <c r="T404" s="17"/>
      <c r="U404" s="17"/>
      <c r="V404" s="17"/>
      <c r="W404" s="17"/>
    </row>
    <row r="405" ht="15.75" customHeight="1">
      <c r="A405" s="9" t="s">
        <v>926</v>
      </c>
      <c r="B405" s="10" t="s">
        <v>927</v>
      </c>
      <c r="C405" s="11" t="s">
        <v>436</v>
      </c>
      <c r="D405" s="23" t="s">
        <v>923</v>
      </c>
      <c r="E405" s="13" t="str">
        <f t="array" ref="E405">INDEX(Turmas!C2:C106,MATCH(D7,Turmas!A2:A106,0))</f>
        <v>Noite</v>
      </c>
      <c r="F405" s="14">
        <v>0.0</v>
      </c>
      <c r="G405" s="15">
        <v>2.0</v>
      </c>
      <c r="H405" s="15">
        <v>0.0</v>
      </c>
      <c r="I405" s="16" t="str">
        <f t="shared" si="1"/>
        <v>1-12</v>
      </c>
      <c r="J405" s="16" t="str">
        <f t="shared" si="2"/>
        <v>1-12</v>
      </c>
      <c r="K405" s="16" t="str">
        <f t="shared" si="3"/>
        <v>1-12</v>
      </c>
      <c r="L405" s="16" t="str">
        <f t="shared" si="4"/>
        <v>1-12</v>
      </c>
      <c r="M405" s="16" t="str">
        <f t="shared" si="5"/>
        <v>1-12</v>
      </c>
      <c r="N405" s="16" t="str">
        <f t="shared" si="6"/>
        <v>0</v>
      </c>
      <c r="O405" s="17"/>
      <c r="P405" s="17"/>
      <c r="Q405" s="17"/>
      <c r="R405" s="17"/>
      <c r="S405" s="17"/>
      <c r="T405" s="17"/>
      <c r="U405" s="17"/>
      <c r="V405" s="17"/>
      <c r="W405" s="17"/>
    </row>
    <row r="406" ht="15.75" customHeight="1">
      <c r="A406" s="9" t="s">
        <v>928</v>
      </c>
      <c r="B406" s="10" t="s">
        <v>929</v>
      </c>
      <c r="C406" s="11" t="s">
        <v>436</v>
      </c>
      <c r="D406" s="23" t="s">
        <v>923</v>
      </c>
      <c r="E406" s="13" t="str">
        <f t="array" ref="E406">INDEX(Turmas!C2:C106,MATCH(D8,Turmas!A2:A106,0))</f>
        <v>Noite</v>
      </c>
      <c r="F406" s="14">
        <v>0.0</v>
      </c>
      <c r="G406" s="15">
        <v>4.0</v>
      </c>
      <c r="H406" s="15">
        <v>0.0</v>
      </c>
      <c r="I406" s="16" t="str">
        <f t="shared" si="1"/>
        <v>1-12</v>
      </c>
      <c r="J406" s="16" t="str">
        <f t="shared" si="2"/>
        <v>1-12</v>
      </c>
      <c r="K406" s="16" t="str">
        <f t="shared" si="3"/>
        <v>1-12</v>
      </c>
      <c r="L406" s="16" t="str">
        <f t="shared" si="4"/>
        <v>1-12</v>
      </c>
      <c r="M406" s="16" t="str">
        <f t="shared" si="5"/>
        <v>1-12</v>
      </c>
      <c r="N406" s="16" t="str">
        <f t="shared" si="6"/>
        <v>0</v>
      </c>
      <c r="O406" s="17"/>
      <c r="P406" s="17"/>
      <c r="Q406" s="17"/>
      <c r="R406" s="17"/>
      <c r="S406" s="17"/>
      <c r="T406" s="17"/>
      <c r="U406" s="17"/>
      <c r="V406" s="17"/>
      <c r="W406" s="17"/>
    </row>
    <row r="407" ht="15.75" customHeight="1">
      <c r="A407" s="9" t="s">
        <v>517</v>
      </c>
      <c r="B407" s="10" t="s">
        <v>518</v>
      </c>
      <c r="C407" s="11" t="s">
        <v>710</v>
      </c>
      <c r="D407" s="23" t="s">
        <v>930</v>
      </c>
      <c r="E407" s="13" t="str">
        <f t="array" ref="E407">INDEX(Turmas!C2:C106,MATCH(D9,Turmas!A2:A106,0))</f>
        <v>Noite</v>
      </c>
      <c r="F407" s="14">
        <v>0.0</v>
      </c>
      <c r="G407" s="15">
        <v>2.0</v>
      </c>
      <c r="H407" s="15">
        <v>0.0</v>
      </c>
      <c r="I407" s="16" t="str">
        <f t="shared" si="1"/>
        <v>1-12</v>
      </c>
      <c r="J407" s="16" t="str">
        <f t="shared" si="2"/>
        <v>1-12</v>
      </c>
      <c r="K407" s="16" t="str">
        <f t="shared" si="3"/>
        <v>1-12</v>
      </c>
      <c r="L407" s="16" t="str">
        <f t="shared" si="4"/>
        <v>1-12</v>
      </c>
      <c r="M407" s="16" t="str">
        <f t="shared" si="5"/>
        <v>1-12</v>
      </c>
      <c r="N407" s="16" t="str">
        <f t="shared" si="6"/>
        <v>0</v>
      </c>
      <c r="O407" s="17"/>
      <c r="P407" s="17"/>
      <c r="Q407" s="17"/>
      <c r="R407" s="17"/>
      <c r="S407" s="17"/>
      <c r="T407" s="17"/>
      <c r="U407" s="17"/>
      <c r="V407" s="17"/>
      <c r="W407" s="17"/>
    </row>
    <row r="408" ht="15.75" customHeight="1">
      <c r="A408" s="9" t="s">
        <v>931</v>
      </c>
      <c r="B408" s="10" t="s">
        <v>932</v>
      </c>
      <c r="C408" s="11" t="s">
        <v>696</v>
      </c>
      <c r="D408" s="23" t="s">
        <v>930</v>
      </c>
      <c r="E408" s="13" t="str">
        <f t="array" ref="E408">INDEX(Turmas!C2:C106,MATCH(D10,Turmas!A2:A106,0))</f>
        <v>Noite</v>
      </c>
      <c r="F408" s="14">
        <v>0.0</v>
      </c>
      <c r="G408" s="15">
        <v>3.0</v>
      </c>
      <c r="H408" s="15">
        <v>0.0</v>
      </c>
      <c r="I408" s="16" t="str">
        <f t="shared" si="1"/>
        <v>1-12</v>
      </c>
      <c r="J408" s="16" t="str">
        <f t="shared" si="2"/>
        <v>1-12</v>
      </c>
      <c r="K408" s="16" t="str">
        <f t="shared" si="3"/>
        <v>1-12</v>
      </c>
      <c r="L408" s="16" t="str">
        <f t="shared" si="4"/>
        <v>1-12</v>
      </c>
      <c r="M408" s="16" t="str">
        <f t="shared" si="5"/>
        <v>1-12</v>
      </c>
      <c r="N408" s="16" t="str">
        <f t="shared" si="6"/>
        <v>0</v>
      </c>
      <c r="O408" s="17"/>
      <c r="P408" s="17"/>
      <c r="Q408" s="17"/>
      <c r="R408" s="17"/>
      <c r="S408" s="17"/>
      <c r="T408" s="17"/>
      <c r="U408" s="17"/>
      <c r="V408" s="17"/>
      <c r="W408" s="17"/>
    </row>
    <row r="409" ht="15.75" customHeight="1">
      <c r="A409" s="9" t="s">
        <v>782</v>
      </c>
      <c r="B409" s="10" t="s">
        <v>783</v>
      </c>
      <c r="C409" s="11" t="s">
        <v>662</v>
      </c>
      <c r="D409" s="23" t="s">
        <v>930</v>
      </c>
      <c r="E409" s="13" t="str">
        <f t="array" ref="E409">INDEX(Turmas!C2:C106,MATCH(D11,Turmas!A2:A106,0))</f>
        <v>Noite</v>
      </c>
      <c r="F409" s="14">
        <v>0.0</v>
      </c>
      <c r="G409" s="15">
        <v>4.0</v>
      </c>
      <c r="H409" s="15">
        <v>0.0</v>
      </c>
      <c r="I409" s="16" t="str">
        <f t="shared" si="1"/>
        <v>1-12</v>
      </c>
      <c r="J409" s="16" t="str">
        <f t="shared" si="2"/>
        <v>1-12</v>
      </c>
      <c r="K409" s="16" t="str">
        <f t="shared" si="3"/>
        <v>1-12</v>
      </c>
      <c r="L409" s="16" t="str">
        <f t="shared" si="4"/>
        <v>1-12</v>
      </c>
      <c r="M409" s="16" t="str">
        <f t="shared" si="5"/>
        <v>1-12</v>
      </c>
      <c r="N409" s="16" t="str">
        <f t="shared" si="6"/>
        <v>0</v>
      </c>
      <c r="O409" s="17"/>
      <c r="P409" s="17"/>
      <c r="Q409" s="17"/>
      <c r="R409" s="17"/>
      <c r="S409" s="17"/>
      <c r="T409" s="17"/>
      <c r="U409" s="17"/>
      <c r="V409" s="17"/>
      <c r="W409" s="17"/>
    </row>
    <row r="410" ht="15.75" customHeight="1">
      <c r="A410" s="9" t="s">
        <v>933</v>
      </c>
      <c r="B410" s="10" t="s">
        <v>934</v>
      </c>
      <c r="C410" s="11" t="s">
        <v>434</v>
      </c>
      <c r="D410" s="23" t="s">
        <v>930</v>
      </c>
      <c r="E410" s="13" t="str">
        <f t="array" ref="E410">INDEX(Turmas!C2:C106,MATCH(D12,Turmas!A2:A106,0))</f>
        <v>Noite</v>
      </c>
      <c r="F410" s="14">
        <v>0.0</v>
      </c>
      <c r="G410" s="15">
        <v>4.0</v>
      </c>
      <c r="H410" s="15">
        <v>0.0</v>
      </c>
      <c r="I410" s="16" t="str">
        <f t="shared" si="1"/>
        <v>1-12</v>
      </c>
      <c r="J410" s="16" t="str">
        <f t="shared" si="2"/>
        <v>1-12</v>
      </c>
      <c r="K410" s="16" t="str">
        <f t="shared" si="3"/>
        <v>1-12</v>
      </c>
      <c r="L410" s="16" t="str">
        <f t="shared" si="4"/>
        <v>1-12</v>
      </c>
      <c r="M410" s="16" t="str">
        <f t="shared" si="5"/>
        <v>1-12</v>
      </c>
      <c r="N410" s="16" t="str">
        <f t="shared" si="6"/>
        <v>0</v>
      </c>
      <c r="O410" s="17"/>
      <c r="P410" s="17"/>
      <c r="Q410" s="17"/>
      <c r="R410" s="17"/>
      <c r="S410" s="17"/>
      <c r="T410" s="17"/>
      <c r="U410" s="17"/>
      <c r="V410" s="17"/>
      <c r="W410" s="17"/>
    </row>
    <row r="411" ht="15.75" customHeight="1">
      <c r="A411" s="9" t="s">
        <v>935</v>
      </c>
      <c r="B411" s="10" t="s">
        <v>936</v>
      </c>
      <c r="C411" s="11" t="s">
        <v>434</v>
      </c>
      <c r="D411" s="23" t="s">
        <v>930</v>
      </c>
      <c r="E411" s="13" t="str">
        <f t="array" ref="E411">INDEX(Turmas!C2:C106,MATCH(D13,Turmas!A2:A106,0))</f>
        <v>Noite</v>
      </c>
      <c r="F411" s="14">
        <v>0.0</v>
      </c>
      <c r="G411" s="15">
        <v>4.0</v>
      </c>
      <c r="H411" s="15">
        <v>0.0</v>
      </c>
      <c r="I411" s="16" t="str">
        <f t="shared" si="1"/>
        <v>1-12</v>
      </c>
      <c r="J411" s="16" t="str">
        <f t="shared" si="2"/>
        <v>1-12</v>
      </c>
      <c r="K411" s="16" t="str">
        <f t="shared" si="3"/>
        <v>1-12</v>
      </c>
      <c r="L411" s="16" t="str">
        <f t="shared" si="4"/>
        <v>1-12</v>
      </c>
      <c r="M411" s="16" t="str">
        <f t="shared" si="5"/>
        <v>1-12</v>
      </c>
      <c r="N411" s="16" t="str">
        <f t="shared" si="6"/>
        <v>0</v>
      </c>
      <c r="O411" s="17"/>
      <c r="P411" s="17"/>
      <c r="Q411" s="17"/>
      <c r="R411" s="17"/>
      <c r="S411" s="17"/>
      <c r="T411" s="17"/>
      <c r="U411" s="17"/>
      <c r="V411" s="17"/>
      <c r="W411" s="17"/>
    </row>
    <row r="412" ht="15.75" customHeight="1">
      <c r="A412" s="9" t="s">
        <v>937</v>
      </c>
      <c r="B412" s="10" t="s">
        <v>938</v>
      </c>
      <c r="C412" s="11" t="s">
        <v>939</v>
      </c>
      <c r="D412" s="23" t="s">
        <v>940</v>
      </c>
      <c r="E412" s="13" t="str">
        <f t="array" ref="E412">INDEX(Turmas!C2:C106,MATCH(D14,Turmas!A2:A106,0))</f>
        <v>Noite</v>
      </c>
      <c r="F412" s="14">
        <v>8.0</v>
      </c>
      <c r="G412" s="15">
        <v>4.0</v>
      </c>
      <c r="H412" s="15">
        <v>0.0</v>
      </c>
      <c r="I412" s="16" t="str">
        <f t="shared" si="1"/>
        <v>1-12</v>
      </c>
      <c r="J412" s="16" t="str">
        <f t="shared" si="2"/>
        <v>1-12</v>
      </c>
      <c r="K412" s="16" t="str">
        <f t="shared" si="3"/>
        <v>1-12</v>
      </c>
      <c r="L412" s="16" t="str">
        <f t="shared" si="4"/>
        <v>1-12</v>
      </c>
      <c r="M412" s="16" t="str">
        <f t="shared" si="5"/>
        <v>1-12</v>
      </c>
      <c r="N412" s="16" t="str">
        <f t="shared" si="6"/>
        <v>0</v>
      </c>
      <c r="O412" s="17"/>
      <c r="P412" s="17"/>
      <c r="Q412" s="17"/>
      <c r="R412" s="17"/>
      <c r="S412" s="17"/>
      <c r="T412" s="17"/>
      <c r="U412" s="17"/>
      <c r="V412" s="17"/>
      <c r="W412" s="17"/>
    </row>
    <row r="413" ht="15.75" customHeight="1">
      <c r="A413" s="9" t="s">
        <v>735</v>
      </c>
      <c r="B413" s="10" t="s">
        <v>736</v>
      </c>
      <c r="C413" s="11" t="s">
        <v>216</v>
      </c>
      <c r="D413" s="23" t="s">
        <v>941</v>
      </c>
      <c r="E413" s="13" t="str">
        <f t="array" ref="E413">INDEX(Turmas!C2:C106,MATCH(D15,Turmas!A2:A106,0))</f>
        <v>Noite</v>
      </c>
      <c r="F413" s="14">
        <v>0.0</v>
      </c>
      <c r="G413" s="15">
        <v>3.0</v>
      </c>
      <c r="H413" s="15">
        <v>0.0</v>
      </c>
      <c r="I413" s="16" t="str">
        <f t="shared" si="1"/>
        <v>1-12</v>
      </c>
      <c r="J413" s="16" t="str">
        <f t="shared" si="2"/>
        <v>1-12</v>
      </c>
      <c r="K413" s="16" t="str">
        <f t="shared" si="3"/>
        <v>1-12</v>
      </c>
      <c r="L413" s="16" t="str">
        <f t="shared" si="4"/>
        <v>1-12</v>
      </c>
      <c r="M413" s="16" t="str">
        <f t="shared" si="5"/>
        <v>1-12</v>
      </c>
      <c r="N413" s="16" t="str">
        <f t="shared" si="6"/>
        <v>0</v>
      </c>
      <c r="O413" s="17"/>
      <c r="P413" s="17"/>
      <c r="Q413" s="17"/>
      <c r="R413" s="17"/>
      <c r="S413" s="17"/>
      <c r="T413" s="17"/>
      <c r="U413" s="17"/>
      <c r="V413" s="17"/>
      <c r="W413" s="17"/>
    </row>
    <row r="414" ht="15.75" customHeight="1">
      <c r="A414" s="9" t="s">
        <v>942</v>
      </c>
      <c r="B414" s="10" t="s">
        <v>943</v>
      </c>
      <c r="C414" s="11" t="s">
        <v>434</v>
      </c>
      <c r="D414" s="23" t="s">
        <v>941</v>
      </c>
      <c r="E414" s="13" t="str">
        <f t="array" ref="E414">INDEX(Turmas!C2:C106,MATCH(D16,Turmas!A2:A106,0))</f>
        <v>Noite</v>
      </c>
      <c r="F414" s="14">
        <v>0.0</v>
      </c>
      <c r="G414" s="15">
        <v>3.0</v>
      </c>
      <c r="H414" s="15">
        <v>0.0</v>
      </c>
      <c r="I414" s="16" t="str">
        <f t="shared" si="1"/>
        <v>1-12</v>
      </c>
      <c r="J414" s="16" t="str">
        <f t="shared" si="2"/>
        <v>1-12</v>
      </c>
      <c r="K414" s="16" t="str">
        <f t="shared" si="3"/>
        <v>1-12</v>
      </c>
      <c r="L414" s="16" t="str">
        <f t="shared" si="4"/>
        <v>1-12</v>
      </c>
      <c r="M414" s="16" t="str">
        <f t="shared" si="5"/>
        <v>1-12</v>
      </c>
      <c r="N414" s="16" t="str">
        <f t="shared" si="6"/>
        <v>0</v>
      </c>
      <c r="O414" s="17"/>
      <c r="P414" s="17"/>
      <c r="Q414" s="17"/>
      <c r="R414" s="17"/>
      <c r="S414" s="17"/>
      <c r="T414" s="17"/>
      <c r="U414" s="17"/>
      <c r="V414" s="17"/>
      <c r="W414" s="17"/>
    </row>
    <row r="415" ht="15.75" customHeight="1">
      <c r="A415" s="9" t="s">
        <v>944</v>
      </c>
      <c r="B415" s="10" t="s">
        <v>945</v>
      </c>
      <c r="C415" s="11" t="s">
        <v>434</v>
      </c>
      <c r="D415" s="23" t="s">
        <v>941</v>
      </c>
      <c r="E415" s="13" t="str">
        <f t="array" ref="E415">INDEX(Turmas!C2:C106,MATCH(D17,Turmas!A2:A106,0))</f>
        <v>Noite</v>
      </c>
      <c r="F415" s="14">
        <v>0.0</v>
      </c>
      <c r="G415" s="15">
        <v>3.0</v>
      </c>
      <c r="H415" s="15">
        <v>0.0</v>
      </c>
      <c r="I415" s="16" t="str">
        <f t="shared" si="1"/>
        <v>1-12</v>
      </c>
      <c r="J415" s="16" t="str">
        <f t="shared" si="2"/>
        <v>1-12</v>
      </c>
      <c r="K415" s="16" t="str">
        <f t="shared" si="3"/>
        <v>1-12</v>
      </c>
      <c r="L415" s="16" t="str">
        <f t="shared" si="4"/>
        <v>1-12</v>
      </c>
      <c r="M415" s="16" t="str">
        <f t="shared" si="5"/>
        <v>1-12</v>
      </c>
      <c r="N415" s="16" t="str">
        <f t="shared" si="6"/>
        <v>0</v>
      </c>
      <c r="O415" s="17"/>
      <c r="P415" s="17"/>
      <c r="Q415" s="17"/>
      <c r="R415" s="17"/>
      <c r="S415" s="17"/>
      <c r="T415" s="17"/>
      <c r="U415" s="17"/>
      <c r="V415" s="17"/>
      <c r="W415" s="17"/>
    </row>
    <row r="416" ht="15.75" customHeight="1">
      <c r="A416" s="9" t="s">
        <v>946</v>
      </c>
      <c r="B416" s="10" t="s">
        <v>947</v>
      </c>
      <c r="C416" s="11" t="s">
        <v>704</v>
      </c>
      <c r="D416" s="23" t="s">
        <v>948</v>
      </c>
      <c r="E416" s="13" t="str">
        <f t="array" ref="E416">INDEX(Turmas!C2:C106,MATCH(D18,Turmas!A2:A106,0))</f>
        <v>Noite</v>
      </c>
      <c r="F416" s="14">
        <v>0.0</v>
      </c>
      <c r="G416" s="15">
        <v>2.0</v>
      </c>
      <c r="H416" s="15">
        <v>0.0</v>
      </c>
      <c r="I416" s="16" t="str">
        <f t="shared" si="1"/>
        <v>1-12</v>
      </c>
      <c r="J416" s="16" t="str">
        <f t="shared" si="2"/>
        <v>1-12</v>
      </c>
      <c r="K416" s="16" t="str">
        <f t="shared" si="3"/>
        <v>1-12</v>
      </c>
      <c r="L416" s="16" t="str">
        <f t="shared" si="4"/>
        <v>1-12</v>
      </c>
      <c r="M416" s="16" t="str">
        <f t="shared" si="5"/>
        <v>1-12</v>
      </c>
      <c r="N416" s="16" t="str">
        <f t="shared" si="6"/>
        <v>0</v>
      </c>
      <c r="O416" s="17"/>
      <c r="P416" s="17"/>
      <c r="Q416" s="17"/>
      <c r="R416" s="17"/>
      <c r="S416" s="17"/>
      <c r="T416" s="17"/>
      <c r="U416" s="17"/>
      <c r="V416" s="17"/>
      <c r="W416" s="17"/>
    </row>
    <row r="417" ht="15.75" customHeight="1">
      <c r="A417" s="9" t="s">
        <v>949</v>
      </c>
      <c r="B417" s="10" t="s">
        <v>950</v>
      </c>
      <c r="C417" s="11" t="s">
        <v>102</v>
      </c>
      <c r="D417" s="23" t="s">
        <v>948</v>
      </c>
      <c r="E417" s="13" t="str">
        <f t="array" ref="E417">INDEX(Turmas!C2:C106,MATCH(D19,Turmas!A2:A106,0))</f>
        <v>Noite</v>
      </c>
      <c r="F417" s="14">
        <v>0.0</v>
      </c>
      <c r="G417" s="15">
        <v>4.0</v>
      </c>
      <c r="H417" s="15">
        <v>0.0</v>
      </c>
      <c r="I417" s="16" t="str">
        <f t="shared" si="1"/>
        <v>1-12</v>
      </c>
      <c r="J417" s="16" t="str">
        <f t="shared" si="2"/>
        <v>1-12</v>
      </c>
      <c r="K417" s="16" t="str">
        <f t="shared" si="3"/>
        <v>1-12</v>
      </c>
      <c r="L417" s="16" t="str">
        <f t="shared" si="4"/>
        <v>1-12</v>
      </c>
      <c r="M417" s="16" t="str">
        <f t="shared" si="5"/>
        <v>1-12</v>
      </c>
      <c r="N417" s="16" t="str">
        <f t="shared" si="6"/>
        <v>0</v>
      </c>
      <c r="O417" s="17"/>
      <c r="P417" s="17"/>
      <c r="Q417" s="17"/>
      <c r="R417" s="17"/>
      <c r="S417" s="17"/>
      <c r="T417" s="17"/>
      <c r="U417" s="17"/>
      <c r="V417" s="17"/>
      <c r="W417" s="17"/>
    </row>
    <row r="418" ht="15.75" customHeight="1">
      <c r="A418" s="9" t="s">
        <v>951</v>
      </c>
      <c r="B418" s="10" t="s">
        <v>952</v>
      </c>
      <c r="C418" s="11" t="s">
        <v>570</v>
      </c>
      <c r="D418" s="23" t="s">
        <v>948</v>
      </c>
      <c r="E418" s="13" t="str">
        <f t="array" ref="E418">INDEX(Turmas!C2:C106,MATCH(D20,Turmas!A2:A106,0))</f>
        <v>Noite</v>
      </c>
      <c r="F418" s="14">
        <v>0.0</v>
      </c>
      <c r="G418" s="15">
        <v>2.0</v>
      </c>
      <c r="H418" s="15">
        <v>0.0</v>
      </c>
      <c r="I418" s="16" t="str">
        <f t="shared" si="1"/>
        <v>1-12</v>
      </c>
      <c r="J418" s="16" t="str">
        <f t="shared" si="2"/>
        <v>1-12</v>
      </c>
      <c r="K418" s="16" t="str">
        <f t="shared" si="3"/>
        <v>1-12</v>
      </c>
      <c r="L418" s="16" t="str">
        <f t="shared" si="4"/>
        <v>1-12</v>
      </c>
      <c r="M418" s="16" t="str">
        <f t="shared" si="5"/>
        <v>1-12</v>
      </c>
      <c r="N418" s="16" t="str">
        <f t="shared" si="6"/>
        <v>0</v>
      </c>
      <c r="O418" s="17"/>
      <c r="P418" s="17"/>
      <c r="Q418" s="17"/>
      <c r="R418" s="17"/>
      <c r="S418" s="17"/>
      <c r="T418" s="17"/>
      <c r="U418" s="17"/>
      <c r="V418" s="17"/>
      <c r="W418" s="17"/>
    </row>
    <row r="419" ht="15.75" customHeight="1">
      <c r="A419" s="9" t="s">
        <v>953</v>
      </c>
      <c r="B419" s="10" t="s">
        <v>954</v>
      </c>
      <c r="C419" s="11" t="s">
        <v>153</v>
      </c>
      <c r="D419" s="23" t="s">
        <v>948</v>
      </c>
      <c r="E419" s="13" t="str">
        <f t="array" ref="E419">INDEX(Turmas!C2:C106,MATCH(D21,Turmas!A2:A106,0))</f>
        <v>Noite</v>
      </c>
      <c r="F419" s="14">
        <v>0.0</v>
      </c>
      <c r="G419" s="15">
        <v>2.0</v>
      </c>
      <c r="H419" s="15">
        <v>0.0</v>
      </c>
      <c r="I419" s="16" t="str">
        <f t="shared" si="1"/>
        <v>1-12</v>
      </c>
      <c r="J419" s="16" t="str">
        <f t="shared" si="2"/>
        <v>1-12</v>
      </c>
      <c r="K419" s="16" t="str">
        <f t="shared" si="3"/>
        <v>1-12</v>
      </c>
      <c r="L419" s="16" t="str">
        <f t="shared" si="4"/>
        <v>1-12</v>
      </c>
      <c r="M419" s="16" t="str">
        <f t="shared" si="5"/>
        <v>1-12</v>
      </c>
      <c r="N419" s="16" t="str">
        <f t="shared" si="6"/>
        <v>0</v>
      </c>
      <c r="O419" s="17"/>
      <c r="P419" s="17"/>
      <c r="Q419" s="17"/>
      <c r="R419" s="17"/>
      <c r="S419" s="17"/>
      <c r="T419" s="17"/>
      <c r="U419" s="17"/>
      <c r="V419" s="17"/>
      <c r="W419" s="17"/>
    </row>
    <row r="420" ht="15.75" customHeight="1">
      <c r="A420" s="9" t="s">
        <v>955</v>
      </c>
      <c r="B420" s="10" t="s">
        <v>956</v>
      </c>
      <c r="C420" s="11" t="s">
        <v>56</v>
      </c>
      <c r="D420" s="23" t="s">
        <v>948</v>
      </c>
      <c r="E420" s="13" t="str">
        <f t="array" ref="E420">INDEX(Turmas!C2:C106,MATCH(D22,Turmas!A2:A106,0))</f>
        <v>Noite</v>
      </c>
      <c r="F420" s="14">
        <v>0.0</v>
      </c>
      <c r="G420" s="15">
        <v>2.0</v>
      </c>
      <c r="H420" s="15">
        <v>0.0</v>
      </c>
      <c r="I420" s="16" t="str">
        <f t="shared" si="1"/>
        <v>1-12</v>
      </c>
      <c r="J420" s="16" t="str">
        <f t="shared" si="2"/>
        <v>1-12</v>
      </c>
      <c r="K420" s="16" t="str">
        <f t="shared" si="3"/>
        <v>1-12</v>
      </c>
      <c r="L420" s="16" t="str">
        <f t="shared" si="4"/>
        <v>1-12</v>
      </c>
      <c r="M420" s="16" t="str">
        <f t="shared" si="5"/>
        <v>1-12</v>
      </c>
      <c r="N420" s="16" t="str">
        <f t="shared" si="6"/>
        <v>0</v>
      </c>
      <c r="O420" s="17"/>
      <c r="P420" s="17"/>
      <c r="Q420" s="17"/>
      <c r="R420" s="17"/>
      <c r="S420" s="17"/>
      <c r="T420" s="17"/>
      <c r="U420" s="17"/>
      <c r="V420" s="17"/>
      <c r="W420" s="17"/>
    </row>
    <row r="421" ht="15.75" customHeight="1">
      <c r="A421" s="9" t="s">
        <v>957</v>
      </c>
      <c r="B421" s="10" t="s">
        <v>958</v>
      </c>
      <c r="C421" s="11" t="s">
        <v>441</v>
      </c>
      <c r="D421" s="23" t="s">
        <v>948</v>
      </c>
      <c r="E421" s="13" t="str">
        <f t="array" ref="E421">INDEX(Turmas!C2:C106,MATCH(D23,Turmas!A2:A106,0))</f>
        <v>Noite</v>
      </c>
      <c r="F421" s="14">
        <v>0.0</v>
      </c>
      <c r="G421" s="15">
        <v>2.0</v>
      </c>
      <c r="H421" s="15">
        <v>0.0</v>
      </c>
      <c r="I421" s="16" t="str">
        <f t="shared" si="1"/>
        <v>1-12</v>
      </c>
      <c r="J421" s="16" t="str">
        <f t="shared" si="2"/>
        <v>1-12</v>
      </c>
      <c r="K421" s="16" t="str">
        <f t="shared" si="3"/>
        <v>1-12</v>
      </c>
      <c r="L421" s="16" t="str">
        <f t="shared" si="4"/>
        <v>1-12</v>
      </c>
      <c r="M421" s="16" t="str">
        <f t="shared" si="5"/>
        <v>1-12</v>
      </c>
      <c r="N421" s="16" t="str">
        <f t="shared" si="6"/>
        <v>0</v>
      </c>
      <c r="O421" s="17"/>
      <c r="P421" s="17"/>
      <c r="Q421" s="17"/>
      <c r="R421" s="17"/>
      <c r="S421" s="17"/>
      <c r="T421" s="17"/>
      <c r="U421" s="17"/>
      <c r="V421" s="17"/>
      <c r="W421" s="17"/>
    </row>
    <row r="422" ht="15.75" customHeight="1">
      <c r="A422" s="9" t="s">
        <v>959</v>
      </c>
      <c r="B422" s="10" t="s">
        <v>960</v>
      </c>
      <c r="C422" s="11" t="s">
        <v>704</v>
      </c>
      <c r="D422" s="23" t="s">
        <v>961</v>
      </c>
      <c r="E422" s="13" t="str">
        <f t="array" ref="E422">INDEX(Turmas!C2:C106,MATCH(D24,Turmas!A2:A106,0))</f>
        <v>Noite</v>
      </c>
      <c r="F422" s="14">
        <v>0.0</v>
      </c>
      <c r="G422" s="15">
        <v>3.0</v>
      </c>
      <c r="H422" s="15">
        <v>0.0</v>
      </c>
      <c r="I422" s="16" t="str">
        <f t="shared" si="1"/>
        <v>1-12</v>
      </c>
      <c r="J422" s="16" t="str">
        <f t="shared" si="2"/>
        <v>1-12</v>
      </c>
      <c r="K422" s="16" t="str">
        <f t="shared" si="3"/>
        <v>1-12</v>
      </c>
      <c r="L422" s="16" t="str">
        <f t="shared" si="4"/>
        <v>1-12</v>
      </c>
      <c r="M422" s="16" t="str">
        <f t="shared" si="5"/>
        <v>1-12</v>
      </c>
      <c r="N422" s="16" t="str">
        <f t="shared" si="6"/>
        <v>0</v>
      </c>
      <c r="O422" s="17"/>
      <c r="P422" s="17"/>
      <c r="Q422" s="17"/>
      <c r="R422" s="17"/>
      <c r="S422" s="17"/>
      <c r="T422" s="17"/>
      <c r="U422" s="17"/>
      <c r="V422" s="17"/>
      <c r="W422" s="17"/>
    </row>
    <row r="423" ht="15.75" customHeight="1">
      <c r="A423" s="9" t="s">
        <v>962</v>
      </c>
      <c r="B423" s="10" t="s">
        <v>963</v>
      </c>
      <c r="C423" s="11" t="s">
        <v>704</v>
      </c>
      <c r="D423" s="23" t="s">
        <v>961</v>
      </c>
      <c r="E423" s="13" t="str">
        <f t="array" ref="E423">INDEX(Turmas!C2:C106,MATCH(D25,Turmas!A2:A106,0))</f>
        <v>Noite</v>
      </c>
      <c r="F423" s="14">
        <v>0.0</v>
      </c>
      <c r="G423" s="15">
        <v>4.0</v>
      </c>
      <c r="H423" s="15">
        <v>0.0</v>
      </c>
      <c r="I423" s="16" t="str">
        <f t="shared" si="1"/>
        <v>1-12</v>
      </c>
      <c r="J423" s="16" t="str">
        <f t="shared" si="2"/>
        <v>1-12</v>
      </c>
      <c r="K423" s="16" t="str">
        <f t="shared" si="3"/>
        <v>1-12</v>
      </c>
      <c r="L423" s="16" t="str">
        <f t="shared" si="4"/>
        <v>1-12</v>
      </c>
      <c r="M423" s="16" t="str">
        <f t="shared" si="5"/>
        <v>1-12</v>
      </c>
      <c r="N423" s="16" t="str">
        <f t="shared" si="6"/>
        <v>0</v>
      </c>
      <c r="O423" s="17"/>
      <c r="P423" s="17"/>
      <c r="Q423" s="17"/>
      <c r="R423" s="17"/>
      <c r="S423" s="17"/>
      <c r="T423" s="17"/>
      <c r="U423" s="17"/>
      <c r="V423" s="17"/>
      <c r="W423" s="17"/>
    </row>
    <row r="424" ht="15.75" customHeight="1">
      <c r="A424" s="9" t="s">
        <v>964</v>
      </c>
      <c r="B424" s="10" t="s">
        <v>965</v>
      </c>
      <c r="C424" s="11" t="s">
        <v>531</v>
      </c>
      <c r="D424" s="23" t="s">
        <v>961</v>
      </c>
      <c r="E424" s="13" t="str">
        <f t="array" ref="E424">INDEX(Turmas!C2:C106,MATCH(D26,Turmas!A2:A106,0))</f>
        <v>Noite</v>
      </c>
      <c r="F424" s="14">
        <v>0.0</v>
      </c>
      <c r="G424" s="15">
        <v>2.0</v>
      </c>
      <c r="H424" s="15">
        <v>0.0</v>
      </c>
      <c r="I424" s="16" t="str">
        <f t="shared" si="1"/>
        <v>1-12</v>
      </c>
      <c r="J424" s="16" t="str">
        <f t="shared" si="2"/>
        <v>1-12</v>
      </c>
      <c r="K424" s="16" t="str">
        <f t="shared" si="3"/>
        <v>1-12</v>
      </c>
      <c r="L424" s="16" t="str">
        <f t="shared" si="4"/>
        <v>1-12</v>
      </c>
      <c r="M424" s="16" t="str">
        <f t="shared" si="5"/>
        <v>1-12</v>
      </c>
      <c r="N424" s="16" t="str">
        <f t="shared" si="6"/>
        <v>0</v>
      </c>
      <c r="O424" s="17"/>
      <c r="P424" s="17"/>
      <c r="Q424" s="17"/>
      <c r="R424" s="17"/>
      <c r="S424" s="17"/>
      <c r="T424" s="17"/>
      <c r="U424" s="17"/>
      <c r="V424" s="17"/>
      <c r="W424" s="17"/>
    </row>
    <row r="425" ht="15.75" customHeight="1">
      <c r="A425" s="9" t="s">
        <v>966</v>
      </c>
      <c r="B425" s="10" t="s">
        <v>967</v>
      </c>
      <c r="C425" s="11" t="s">
        <v>460</v>
      </c>
      <c r="D425" s="23" t="s">
        <v>961</v>
      </c>
      <c r="E425" s="13" t="str">
        <f t="array" ref="E425">INDEX(Turmas!C2:C106,MATCH(D27,Turmas!A2:A106,0))</f>
        <v>Noite</v>
      </c>
      <c r="F425" s="14">
        <v>0.0</v>
      </c>
      <c r="G425" s="15">
        <v>2.0</v>
      </c>
      <c r="H425" s="15">
        <v>0.0</v>
      </c>
      <c r="I425" s="16" t="str">
        <f t="shared" si="1"/>
        <v>1-12</v>
      </c>
      <c r="J425" s="16" t="str">
        <f t="shared" si="2"/>
        <v>1-12</v>
      </c>
      <c r="K425" s="16" t="str">
        <f t="shared" si="3"/>
        <v>1-12</v>
      </c>
      <c r="L425" s="16" t="str">
        <f t="shared" si="4"/>
        <v>1-12</v>
      </c>
      <c r="M425" s="16" t="str">
        <f t="shared" si="5"/>
        <v>1-12</v>
      </c>
      <c r="N425" s="16" t="str">
        <f t="shared" si="6"/>
        <v>0</v>
      </c>
      <c r="O425" s="17"/>
      <c r="P425" s="17"/>
      <c r="Q425" s="17"/>
      <c r="R425" s="17"/>
      <c r="S425" s="17"/>
      <c r="T425" s="17"/>
      <c r="U425" s="17"/>
      <c r="V425" s="17"/>
      <c r="W425" s="17"/>
    </row>
    <row r="426" ht="15.75" customHeight="1">
      <c r="A426" s="9" t="s">
        <v>968</v>
      </c>
      <c r="B426" s="10" t="s">
        <v>969</v>
      </c>
      <c r="C426" s="11" t="s">
        <v>393</v>
      </c>
      <c r="D426" s="23" t="s">
        <v>961</v>
      </c>
      <c r="E426" s="13" t="str">
        <f t="array" ref="E426">INDEX(Turmas!C2:C106,MATCH(D28,Turmas!A2:A106,0))</f>
        <v>Noite</v>
      </c>
      <c r="F426" s="14">
        <v>0.0</v>
      </c>
      <c r="G426" s="15">
        <v>2.0</v>
      </c>
      <c r="H426" s="15">
        <v>0.0</v>
      </c>
      <c r="I426" s="16" t="str">
        <f t="shared" si="1"/>
        <v>1-12</v>
      </c>
      <c r="J426" s="16" t="str">
        <f t="shared" si="2"/>
        <v>1-12</v>
      </c>
      <c r="K426" s="16" t="str">
        <f t="shared" si="3"/>
        <v>1-12</v>
      </c>
      <c r="L426" s="16" t="str">
        <f t="shared" si="4"/>
        <v>1-12</v>
      </c>
      <c r="M426" s="16" t="str">
        <f t="shared" si="5"/>
        <v>1-12</v>
      </c>
      <c r="N426" s="16" t="str">
        <f t="shared" si="6"/>
        <v>0</v>
      </c>
      <c r="O426" s="17"/>
      <c r="P426" s="17"/>
      <c r="Q426" s="17"/>
      <c r="R426" s="17"/>
      <c r="S426" s="17"/>
      <c r="T426" s="17"/>
      <c r="U426" s="17"/>
      <c r="V426" s="17"/>
      <c r="W426" s="17"/>
    </row>
    <row r="427" ht="15.75" customHeight="1">
      <c r="A427" s="9" t="s">
        <v>970</v>
      </c>
      <c r="B427" s="10" t="s">
        <v>971</v>
      </c>
      <c r="C427" s="11" t="s">
        <v>704</v>
      </c>
      <c r="D427" s="23" t="s">
        <v>961</v>
      </c>
      <c r="E427" s="13" t="str">
        <f t="array" ref="E427">INDEX(Turmas!C2:C106,MATCH(D29,Turmas!A2:A106,0))</f>
        <v>Noite</v>
      </c>
      <c r="F427" s="14">
        <v>0.0</v>
      </c>
      <c r="G427" s="15">
        <v>2.0</v>
      </c>
      <c r="H427" s="15">
        <v>0.0</v>
      </c>
      <c r="I427" s="16" t="str">
        <f t="shared" si="1"/>
        <v>1-12</v>
      </c>
      <c r="J427" s="16" t="str">
        <f t="shared" si="2"/>
        <v>1-12</v>
      </c>
      <c r="K427" s="16" t="str">
        <f t="shared" si="3"/>
        <v>1-12</v>
      </c>
      <c r="L427" s="16" t="str">
        <f t="shared" si="4"/>
        <v>1-12</v>
      </c>
      <c r="M427" s="16" t="str">
        <f t="shared" si="5"/>
        <v>1-12</v>
      </c>
      <c r="N427" s="16" t="str">
        <f t="shared" si="6"/>
        <v>0</v>
      </c>
      <c r="O427" s="17"/>
      <c r="P427" s="17"/>
      <c r="Q427" s="17"/>
      <c r="R427" s="17"/>
      <c r="S427" s="17"/>
      <c r="T427" s="17"/>
      <c r="U427" s="17"/>
      <c r="V427" s="17"/>
      <c r="W427" s="17"/>
    </row>
    <row r="428" ht="15.75" customHeight="1">
      <c r="A428" s="9" t="s">
        <v>972</v>
      </c>
      <c r="B428" s="10" t="s">
        <v>973</v>
      </c>
      <c r="C428" s="11" t="s">
        <v>704</v>
      </c>
      <c r="D428" s="23" t="s">
        <v>961</v>
      </c>
      <c r="E428" s="13" t="str">
        <f t="array" ref="E428">INDEX(Turmas!C2:C106,MATCH(D30,Turmas!A2:A106,0))</f>
        <v>Noite</v>
      </c>
      <c r="F428" s="14">
        <v>0.0</v>
      </c>
      <c r="G428" s="15">
        <v>4.0</v>
      </c>
      <c r="H428" s="15">
        <v>0.0</v>
      </c>
      <c r="I428" s="16" t="str">
        <f t="shared" si="1"/>
        <v>1-12</v>
      </c>
      <c r="J428" s="16" t="str">
        <f t="shared" si="2"/>
        <v>1-12</v>
      </c>
      <c r="K428" s="16" t="str">
        <f t="shared" si="3"/>
        <v>1-12</v>
      </c>
      <c r="L428" s="16" t="str">
        <f t="shared" si="4"/>
        <v>1-12</v>
      </c>
      <c r="M428" s="16" t="str">
        <f t="shared" si="5"/>
        <v>1-12</v>
      </c>
      <c r="N428" s="16" t="str">
        <f t="shared" si="6"/>
        <v>0</v>
      </c>
      <c r="O428" s="17"/>
      <c r="P428" s="17"/>
      <c r="Q428" s="17"/>
      <c r="R428" s="17"/>
      <c r="S428" s="17"/>
      <c r="T428" s="17"/>
      <c r="U428" s="17"/>
      <c r="V428" s="17"/>
      <c r="W428" s="17"/>
    </row>
    <row r="429" ht="15.75" customHeight="1">
      <c r="A429" s="9" t="s">
        <v>974</v>
      </c>
      <c r="B429" s="10" t="s">
        <v>975</v>
      </c>
      <c r="C429" s="11" t="s">
        <v>385</v>
      </c>
      <c r="D429" s="23" t="s">
        <v>976</v>
      </c>
      <c r="E429" s="13" t="str">
        <f t="array" ref="E429">INDEX(Turmas!C2:C106,MATCH(D31,Turmas!A2:A106,0))</f>
        <v>Noite</v>
      </c>
      <c r="F429" s="14">
        <v>0.0</v>
      </c>
      <c r="G429" s="15">
        <v>4.0</v>
      </c>
      <c r="H429" s="15">
        <v>0.0</v>
      </c>
      <c r="I429" s="16" t="str">
        <f t="shared" si="1"/>
        <v>1-12</v>
      </c>
      <c r="J429" s="16" t="str">
        <f t="shared" si="2"/>
        <v>1-12</v>
      </c>
      <c r="K429" s="16" t="str">
        <f t="shared" si="3"/>
        <v>1-12</v>
      </c>
      <c r="L429" s="16" t="str">
        <f t="shared" si="4"/>
        <v>1-12</v>
      </c>
      <c r="M429" s="16" t="str">
        <f t="shared" si="5"/>
        <v>1-12</v>
      </c>
      <c r="N429" s="16" t="str">
        <f t="shared" si="6"/>
        <v>0</v>
      </c>
      <c r="O429" s="17"/>
      <c r="P429" s="17"/>
      <c r="Q429" s="17"/>
      <c r="R429" s="17"/>
      <c r="S429" s="17"/>
      <c r="T429" s="17"/>
      <c r="U429" s="17"/>
      <c r="V429" s="17"/>
      <c r="W429" s="17"/>
    </row>
    <row r="430" ht="15.75" customHeight="1">
      <c r="A430" s="9" t="s">
        <v>977</v>
      </c>
      <c r="B430" s="10" t="s">
        <v>978</v>
      </c>
      <c r="C430" s="11" t="s">
        <v>150</v>
      </c>
      <c r="D430" s="23" t="s">
        <v>979</v>
      </c>
      <c r="E430" s="13" t="str">
        <f t="array" ref="E430">INDEX(Turmas!C2:C106,MATCH(D32,Turmas!A2:A106,0))</f>
        <v>Noite</v>
      </c>
      <c r="F430" s="14">
        <v>0.0</v>
      </c>
      <c r="G430" s="15">
        <v>3.0</v>
      </c>
      <c r="H430" s="15">
        <v>0.0</v>
      </c>
      <c r="I430" s="16" t="str">
        <f t="shared" si="1"/>
        <v>1-12</v>
      </c>
      <c r="J430" s="16" t="str">
        <f t="shared" si="2"/>
        <v>1-12</v>
      </c>
      <c r="K430" s="16" t="str">
        <f t="shared" si="3"/>
        <v>1-12</v>
      </c>
      <c r="L430" s="16" t="str">
        <f t="shared" si="4"/>
        <v>1-12</v>
      </c>
      <c r="M430" s="16" t="str">
        <f t="shared" si="5"/>
        <v>1-12</v>
      </c>
      <c r="N430" s="16" t="str">
        <f t="shared" si="6"/>
        <v>0</v>
      </c>
      <c r="O430" s="17"/>
      <c r="P430" s="17"/>
      <c r="Q430" s="17"/>
      <c r="R430" s="17"/>
      <c r="S430" s="17"/>
      <c r="T430" s="17"/>
      <c r="U430" s="17"/>
      <c r="V430" s="17"/>
      <c r="W430" s="17"/>
    </row>
    <row r="431" ht="15.75" customHeight="1">
      <c r="A431" s="9" t="s">
        <v>977</v>
      </c>
      <c r="B431" s="10" t="s">
        <v>978</v>
      </c>
      <c r="C431" s="11" t="s">
        <v>150</v>
      </c>
      <c r="D431" s="23" t="s">
        <v>979</v>
      </c>
      <c r="E431" s="13" t="str">
        <f t="array" ref="E431">INDEX(Turmas!C2:C106,MATCH(D33,Turmas!A2:A106,0))</f>
        <v>Noite</v>
      </c>
      <c r="F431" s="14">
        <v>0.0</v>
      </c>
      <c r="G431" s="15">
        <v>4.0</v>
      </c>
      <c r="H431" s="15">
        <v>0.0</v>
      </c>
      <c r="I431" s="16" t="str">
        <f t="shared" si="1"/>
        <v>1-12</v>
      </c>
      <c r="J431" s="16" t="str">
        <f t="shared" si="2"/>
        <v>1-12</v>
      </c>
      <c r="K431" s="16" t="str">
        <f t="shared" si="3"/>
        <v>1-12</v>
      </c>
      <c r="L431" s="16" t="str">
        <f t="shared" si="4"/>
        <v>1-12</v>
      </c>
      <c r="M431" s="16" t="str">
        <f t="shared" si="5"/>
        <v>1-12</v>
      </c>
      <c r="N431" s="16" t="str">
        <f t="shared" si="6"/>
        <v>0</v>
      </c>
      <c r="O431" s="17"/>
      <c r="P431" s="17"/>
      <c r="Q431" s="17"/>
      <c r="R431" s="17"/>
      <c r="S431" s="17"/>
      <c r="T431" s="17"/>
      <c r="U431" s="17"/>
      <c r="V431" s="17"/>
      <c r="W431" s="17"/>
    </row>
    <row r="432" ht="15.75" customHeight="1">
      <c r="A432" s="9" t="s">
        <v>372</v>
      </c>
      <c r="B432" s="10" t="s">
        <v>191</v>
      </c>
      <c r="C432" s="11" t="s">
        <v>373</v>
      </c>
      <c r="D432" s="23" t="s">
        <v>979</v>
      </c>
      <c r="E432" s="13" t="str">
        <f t="array" ref="E432">INDEX(Turmas!C2:C106,MATCH(D34,Turmas!A2:A106,0))</f>
        <v>Noite</v>
      </c>
      <c r="F432" s="14">
        <v>0.0</v>
      </c>
      <c r="G432" s="15">
        <v>5.0</v>
      </c>
      <c r="H432" s="15">
        <v>0.0</v>
      </c>
      <c r="I432" s="16" t="str">
        <f t="shared" si="1"/>
        <v>1-12</v>
      </c>
      <c r="J432" s="16" t="str">
        <f t="shared" si="2"/>
        <v>1-12</v>
      </c>
      <c r="K432" s="16" t="str">
        <f t="shared" si="3"/>
        <v>1-12</v>
      </c>
      <c r="L432" s="16" t="str">
        <f t="shared" si="4"/>
        <v>1-12</v>
      </c>
      <c r="M432" s="16" t="str">
        <f t="shared" si="5"/>
        <v>1-12</v>
      </c>
      <c r="N432" s="16" t="str">
        <f t="shared" si="6"/>
        <v>0</v>
      </c>
      <c r="O432" s="17"/>
      <c r="P432" s="17"/>
      <c r="Q432" s="17"/>
      <c r="R432" s="17"/>
      <c r="S432" s="17"/>
      <c r="T432" s="17"/>
      <c r="U432" s="17"/>
      <c r="V432" s="17"/>
      <c r="W432" s="17"/>
    </row>
    <row r="433" ht="15.75" customHeight="1">
      <c r="A433" s="9" t="s">
        <v>633</v>
      </c>
      <c r="B433" s="10" t="s">
        <v>197</v>
      </c>
      <c r="C433" s="11" t="s">
        <v>198</v>
      </c>
      <c r="D433" s="23" t="s">
        <v>979</v>
      </c>
      <c r="E433" s="13" t="str">
        <f t="array" ref="E433">INDEX(Turmas!C2:C106,MATCH(D35,Turmas!A2:A106,0))</f>
        <v>Noite</v>
      </c>
      <c r="F433" s="14">
        <v>0.0</v>
      </c>
      <c r="G433" s="15">
        <v>4.0</v>
      </c>
      <c r="H433" s="15">
        <v>0.0</v>
      </c>
      <c r="I433" s="16" t="str">
        <f t="shared" si="1"/>
        <v>1-12</v>
      </c>
      <c r="J433" s="16" t="str">
        <f t="shared" si="2"/>
        <v>1-12</v>
      </c>
      <c r="K433" s="16" t="str">
        <f t="shared" si="3"/>
        <v>1-12</v>
      </c>
      <c r="L433" s="16" t="str">
        <f t="shared" si="4"/>
        <v>1-12</v>
      </c>
      <c r="M433" s="16" t="str">
        <f t="shared" si="5"/>
        <v>1-12</v>
      </c>
      <c r="N433" s="16" t="str">
        <f t="shared" si="6"/>
        <v>0</v>
      </c>
      <c r="O433" s="17"/>
      <c r="P433" s="17"/>
      <c r="Q433" s="17"/>
      <c r="R433" s="17"/>
      <c r="S433" s="17"/>
      <c r="T433" s="17"/>
      <c r="U433" s="17"/>
      <c r="V433" s="17"/>
      <c r="W433" s="17"/>
    </row>
    <row r="434" ht="15.75" customHeight="1">
      <c r="A434" s="9" t="s">
        <v>633</v>
      </c>
      <c r="B434" s="10" t="s">
        <v>197</v>
      </c>
      <c r="C434" s="11" t="s">
        <v>198</v>
      </c>
      <c r="D434" s="23" t="s">
        <v>979</v>
      </c>
      <c r="E434" s="13" t="str">
        <f t="array" ref="E434">INDEX(Turmas!C2:C106,MATCH(D36,Turmas!A2:A106,0))</f>
        <v>Noite</v>
      </c>
      <c r="F434" s="14">
        <v>0.0</v>
      </c>
      <c r="G434" s="15">
        <v>4.0</v>
      </c>
      <c r="H434" s="15">
        <v>0.0</v>
      </c>
      <c r="I434" s="16" t="str">
        <f t="shared" si="1"/>
        <v>1-12</v>
      </c>
      <c r="J434" s="16" t="str">
        <f t="shared" si="2"/>
        <v>1-12</v>
      </c>
      <c r="K434" s="16" t="str">
        <f t="shared" si="3"/>
        <v>1-12</v>
      </c>
      <c r="L434" s="16" t="str">
        <f t="shared" si="4"/>
        <v>1-12</v>
      </c>
      <c r="M434" s="16" t="str">
        <f t="shared" si="5"/>
        <v>1-12</v>
      </c>
      <c r="N434" s="16" t="str">
        <f t="shared" si="6"/>
        <v>0</v>
      </c>
      <c r="O434" s="17"/>
      <c r="P434" s="17"/>
      <c r="Q434" s="17"/>
      <c r="R434" s="17"/>
      <c r="S434" s="17"/>
      <c r="T434" s="17"/>
      <c r="U434" s="17"/>
      <c r="V434" s="17"/>
      <c r="W434" s="17"/>
    </row>
    <row r="435" ht="15.75" customHeight="1">
      <c r="A435" s="9" t="s">
        <v>980</v>
      </c>
      <c r="B435" s="10" t="s">
        <v>981</v>
      </c>
      <c r="C435" s="11" t="s">
        <v>982</v>
      </c>
      <c r="D435" s="23" t="s">
        <v>979</v>
      </c>
      <c r="E435" s="13" t="str">
        <f t="array" ref="E435">INDEX(Turmas!C2:C106,MATCH(D37,Turmas!A2:A106,0))</f>
        <v>Noite</v>
      </c>
      <c r="F435" s="14">
        <v>0.0</v>
      </c>
      <c r="G435" s="15">
        <v>5.0</v>
      </c>
      <c r="H435" s="15">
        <v>0.0</v>
      </c>
      <c r="I435" s="16" t="str">
        <f t="shared" si="1"/>
        <v>1-12</v>
      </c>
      <c r="J435" s="16" t="str">
        <f t="shared" si="2"/>
        <v>1-12</v>
      </c>
      <c r="K435" s="16" t="str">
        <f t="shared" si="3"/>
        <v>1-12</v>
      </c>
      <c r="L435" s="16" t="str">
        <f t="shared" si="4"/>
        <v>1-12</v>
      </c>
      <c r="M435" s="16" t="str">
        <f t="shared" si="5"/>
        <v>1-12</v>
      </c>
      <c r="N435" s="16" t="str">
        <f t="shared" si="6"/>
        <v>0</v>
      </c>
      <c r="O435" s="17"/>
      <c r="P435" s="17"/>
      <c r="Q435" s="17"/>
      <c r="R435" s="17"/>
      <c r="S435" s="17"/>
      <c r="T435" s="17"/>
      <c r="U435" s="17"/>
      <c r="V435" s="17"/>
      <c r="W435" s="17"/>
    </row>
    <row r="436" ht="15.75" customHeight="1">
      <c r="A436" s="9" t="s">
        <v>379</v>
      </c>
      <c r="B436" s="10" t="s">
        <v>380</v>
      </c>
      <c r="C436" s="22" t="s">
        <v>983</v>
      </c>
      <c r="D436" s="23" t="s">
        <v>979</v>
      </c>
      <c r="E436" s="13" t="str">
        <f t="array" ref="E436">INDEX(Turmas!C2:C106,MATCH(D38,Turmas!A2:A106,0))</f>
        <v>Noite</v>
      </c>
      <c r="F436" s="14">
        <v>0.0</v>
      </c>
      <c r="G436" s="15">
        <v>2.0</v>
      </c>
      <c r="H436" s="15">
        <v>0.0</v>
      </c>
      <c r="I436" s="16" t="str">
        <f t="shared" si="1"/>
        <v>1-12</v>
      </c>
      <c r="J436" s="16" t="str">
        <f t="shared" si="2"/>
        <v>1-12</v>
      </c>
      <c r="K436" s="16" t="str">
        <f t="shared" si="3"/>
        <v>1-12</v>
      </c>
      <c r="L436" s="16" t="str">
        <f t="shared" si="4"/>
        <v>1-12</v>
      </c>
      <c r="M436" s="16" t="str">
        <f t="shared" si="5"/>
        <v>1-12</v>
      </c>
      <c r="N436" s="16" t="str">
        <f t="shared" si="6"/>
        <v>0</v>
      </c>
      <c r="O436" s="17"/>
      <c r="P436" s="17"/>
      <c r="Q436" s="17"/>
      <c r="R436" s="17"/>
      <c r="S436" s="17"/>
      <c r="T436" s="17"/>
      <c r="U436" s="17"/>
      <c r="V436" s="17"/>
      <c r="W436" s="17"/>
    </row>
    <row r="437" ht="15.75" customHeight="1">
      <c r="A437" s="9" t="s">
        <v>742</v>
      </c>
      <c r="B437" s="10" t="s">
        <v>455</v>
      </c>
      <c r="C437" s="11" t="s">
        <v>984</v>
      </c>
      <c r="D437" s="23" t="s">
        <v>985</v>
      </c>
      <c r="E437" s="13" t="str">
        <f t="array" ref="E437">INDEX(Turmas!C2:C106,MATCH(D39,Turmas!A2:A106,0))</f>
        <v>Noite</v>
      </c>
      <c r="F437" s="14">
        <v>0.0</v>
      </c>
      <c r="G437" s="15">
        <v>3.0</v>
      </c>
      <c r="H437" s="15">
        <v>0.0</v>
      </c>
      <c r="I437" s="16" t="str">
        <f t="shared" si="1"/>
        <v>1-12</v>
      </c>
      <c r="J437" s="16" t="str">
        <f t="shared" si="2"/>
        <v>1-12</v>
      </c>
      <c r="K437" s="16" t="str">
        <f t="shared" si="3"/>
        <v>1-12</v>
      </c>
      <c r="L437" s="16" t="str">
        <f t="shared" si="4"/>
        <v>1-12</v>
      </c>
      <c r="M437" s="16" t="str">
        <f t="shared" si="5"/>
        <v>1-12</v>
      </c>
      <c r="N437" s="16" t="str">
        <f t="shared" si="6"/>
        <v>0</v>
      </c>
      <c r="O437" s="17"/>
      <c r="P437" s="17"/>
      <c r="Q437" s="17"/>
      <c r="R437" s="17"/>
      <c r="S437" s="17"/>
      <c r="T437" s="17"/>
      <c r="U437" s="17"/>
      <c r="V437" s="17"/>
      <c r="W437" s="17"/>
    </row>
    <row r="438" ht="15.75" customHeight="1">
      <c r="A438" s="9" t="s">
        <v>986</v>
      </c>
      <c r="B438" s="10" t="s">
        <v>987</v>
      </c>
      <c r="C438" s="11" t="s">
        <v>570</v>
      </c>
      <c r="D438" s="23" t="s">
        <v>985</v>
      </c>
      <c r="E438" s="13" t="str">
        <f t="array" ref="E438">INDEX(Turmas!C2:C106,MATCH(D40,Turmas!A2:A106,0))</f>
        <v>Noite</v>
      </c>
      <c r="F438" s="14">
        <v>0.0</v>
      </c>
      <c r="G438" s="15">
        <v>3.0</v>
      </c>
      <c r="H438" s="15">
        <v>0.0</v>
      </c>
      <c r="I438" s="16" t="str">
        <f t="shared" si="1"/>
        <v>1-12</v>
      </c>
      <c r="J438" s="16" t="str">
        <f t="shared" si="2"/>
        <v>1-12</v>
      </c>
      <c r="K438" s="16" t="str">
        <f t="shared" si="3"/>
        <v>1-12</v>
      </c>
      <c r="L438" s="16" t="str">
        <f t="shared" si="4"/>
        <v>1-12</v>
      </c>
      <c r="M438" s="16" t="str">
        <f t="shared" si="5"/>
        <v>1-12</v>
      </c>
      <c r="N438" s="16" t="str">
        <f t="shared" si="6"/>
        <v>0</v>
      </c>
      <c r="O438" s="17"/>
      <c r="P438" s="17"/>
      <c r="Q438" s="17"/>
      <c r="R438" s="17"/>
      <c r="S438" s="17"/>
      <c r="T438" s="17"/>
      <c r="U438" s="17"/>
      <c r="V438" s="17"/>
      <c r="W438" s="17"/>
    </row>
    <row r="439" ht="15.75" customHeight="1">
      <c r="A439" s="9" t="s">
        <v>988</v>
      </c>
      <c r="B439" s="10" t="s">
        <v>989</v>
      </c>
      <c r="C439" s="11" t="s">
        <v>260</v>
      </c>
      <c r="D439" s="23" t="s">
        <v>985</v>
      </c>
      <c r="E439" s="13" t="str">
        <f t="array" ref="E439">INDEX(Turmas!C2:C106,MATCH(D41,Turmas!A2:A106,0))</f>
        <v>Noite</v>
      </c>
      <c r="F439" s="14">
        <v>0.0</v>
      </c>
      <c r="G439" s="15">
        <v>3.0</v>
      </c>
      <c r="H439" s="15">
        <v>0.0</v>
      </c>
      <c r="I439" s="16" t="str">
        <f t="shared" si="1"/>
        <v>1-12</v>
      </c>
      <c r="J439" s="16" t="str">
        <f t="shared" si="2"/>
        <v>1-12</v>
      </c>
      <c r="K439" s="16" t="str">
        <f t="shared" si="3"/>
        <v>1-12</v>
      </c>
      <c r="L439" s="16" t="str">
        <f t="shared" si="4"/>
        <v>1-12</v>
      </c>
      <c r="M439" s="16" t="str">
        <f t="shared" si="5"/>
        <v>1-12</v>
      </c>
      <c r="N439" s="16" t="str">
        <f t="shared" si="6"/>
        <v>0</v>
      </c>
      <c r="O439" s="17"/>
      <c r="P439" s="17"/>
      <c r="Q439" s="17"/>
      <c r="R439" s="17"/>
      <c r="S439" s="17"/>
      <c r="T439" s="17"/>
      <c r="U439" s="17"/>
      <c r="V439" s="17"/>
      <c r="W439" s="17"/>
    </row>
    <row r="440" ht="15.75" customHeight="1">
      <c r="A440" s="9" t="s">
        <v>990</v>
      </c>
      <c r="B440" s="10" t="s">
        <v>991</v>
      </c>
      <c r="C440" s="11" t="s">
        <v>240</v>
      </c>
      <c r="D440" s="23" t="s">
        <v>985</v>
      </c>
      <c r="E440" s="13" t="str">
        <f t="array" ref="E440">INDEX(Turmas!C2:C106,MATCH(D42,Turmas!A2:A106,0))</f>
        <v>Noite</v>
      </c>
      <c r="F440" s="14">
        <v>0.0</v>
      </c>
      <c r="G440" s="15">
        <v>3.0</v>
      </c>
      <c r="H440" s="15">
        <v>0.0</v>
      </c>
      <c r="I440" s="16" t="str">
        <f t="shared" si="1"/>
        <v>1-12</v>
      </c>
      <c r="J440" s="16" t="str">
        <f t="shared" si="2"/>
        <v>1-12</v>
      </c>
      <c r="K440" s="16" t="str">
        <f t="shared" si="3"/>
        <v>1-12</v>
      </c>
      <c r="L440" s="16" t="str">
        <f t="shared" si="4"/>
        <v>1-12</v>
      </c>
      <c r="M440" s="16" t="str">
        <f t="shared" si="5"/>
        <v>1-12</v>
      </c>
      <c r="N440" s="16" t="str">
        <f t="shared" si="6"/>
        <v>0</v>
      </c>
      <c r="O440" s="17"/>
      <c r="P440" s="17"/>
      <c r="Q440" s="17"/>
      <c r="R440" s="17"/>
      <c r="S440" s="17"/>
      <c r="T440" s="17"/>
      <c r="U440" s="17"/>
      <c r="V440" s="17"/>
      <c r="W440" s="17"/>
    </row>
    <row r="441" ht="15.75" customHeight="1">
      <c r="A441" s="9" t="s">
        <v>992</v>
      </c>
      <c r="B441" s="10" t="s">
        <v>524</v>
      </c>
      <c r="C441" s="11" t="s">
        <v>452</v>
      </c>
      <c r="D441" s="23" t="s">
        <v>985</v>
      </c>
      <c r="E441" s="13" t="str">
        <f t="array" ref="E441">INDEX(Turmas!C2:C106,MATCH(D43,Turmas!A2:A106,0))</f>
        <v>Noite</v>
      </c>
      <c r="F441" s="14">
        <v>0.0</v>
      </c>
      <c r="G441" s="15">
        <v>3.0</v>
      </c>
      <c r="H441" s="15">
        <v>0.0</v>
      </c>
      <c r="I441" s="16" t="str">
        <f t="shared" si="1"/>
        <v>1-12</v>
      </c>
      <c r="J441" s="16" t="str">
        <f t="shared" si="2"/>
        <v>1-12</v>
      </c>
      <c r="K441" s="16" t="str">
        <f t="shared" si="3"/>
        <v>1-12</v>
      </c>
      <c r="L441" s="16" t="str">
        <f t="shared" si="4"/>
        <v>1-12</v>
      </c>
      <c r="M441" s="16" t="str">
        <f t="shared" si="5"/>
        <v>1-12</v>
      </c>
      <c r="N441" s="16" t="str">
        <f t="shared" si="6"/>
        <v>0</v>
      </c>
      <c r="O441" s="17"/>
      <c r="P441" s="17"/>
      <c r="Q441" s="17"/>
      <c r="R441" s="17"/>
      <c r="S441" s="17"/>
      <c r="T441" s="17"/>
      <c r="U441" s="17"/>
      <c r="V441" s="17"/>
      <c r="W441" s="17"/>
    </row>
    <row r="442" ht="15.75" customHeight="1">
      <c r="A442" s="9" t="s">
        <v>993</v>
      </c>
      <c r="B442" s="10" t="s">
        <v>994</v>
      </c>
      <c r="C442" s="11" t="s">
        <v>984</v>
      </c>
      <c r="D442" s="23" t="s">
        <v>995</v>
      </c>
      <c r="E442" s="13" t="str">
        <f t="array" ref="E442">INDEX(Turmas!C2:C106,MATCH(D44,Turmas!A2:A106,0))</f>
        <v>Noite</v>
      </c>
      <c r="F442" s="14">
        <v>0.0</v>
      </c>
      <c r="G442" s="15">
        <v>3.0</v>
      </c>
      <c r="H442" s="15">
        <v>0.0</v>
      </c>
      <c r="I442" s="16" t="str">
        <f t="shared" si="1"/>
        <v>1-12</v>
      </c>
      <c r="J442" s="16" t="str">
        <f t="shared" si="2"/>
        <v>1-12</v>
      </c>
      <c r="K442" s="16" t="str">
        <f t="shared" si="3"/>
        <v>1-12</v>
      </c>
      <c r="L442" s="16" t="str">
        <f t="shared" si="4"/>
        <v>1-12</v>
      </c>
      <c r="M442" s="16" t="str">
        <f t="shared" si="5"/>
        <v>1-12</v>
      </c>
      <c r="N442" s="16" t="str">
        <f t="shared" si="6"/>
        <v>0</v>
      </c>
      <c r="O442" s="17"/>
      <c r="P442" s="17"/>
      <c r="Q442" s="17"/>
      <c r="R442" s="17"/>
      <c r="S442" s="17"/>
      <c r="T442" s="17"/>
      <c r="U442" s="17"/>
      <c r="V442" s="17"/>
      <c r="W442" s="17"/>
    </row>
    <row r="443" ht="15.75" customHeight="1">
      <c r="A443" s="9" t="s">
        <v>996</v>
      </c>
      <c r="B443" s="10" t="s">
        <v>997</v>
      </c>
      <c r="C443" s="11" t="s">
        <v>998</v>
      </c>
      <c r="D443" s="23" t="s">
        <v>995</v>
      </c>
      <c r="E443" s="13" t="str">
        <f t="array" ref="E443">INDEX(Turmas!C2:C106,MATCH(D45,Turmas!A2:A106,0))</f>
        <v>Noite</v>
      </c>
      <c r="F443" s="14">
        <v>0.0</v>
      </c>
      <c r="G443" s="15">
        <v>2.0</v>
      </c>
      <c r="H443" s="15">
        <v>0.0</v>
      </c>
      <c r="I443" s="16" t="str">
        <f t="shared" si="1"/>
        <v>1-12</v>
      </c>
      <c r="J443" s="16" t="str">
        <f t="shared" si="2"/>
        <v>1-12</v>
      </c>
      <c r="K443" s="16" t="str">
        <f t="shared" si="3"/>
        <v>1-12</v>
      </c>
      <c r="L443" s="16" t="str">
        <f t="shared" si="4"/>
        <v>1-12</v>
      </c>
      <c r="M443" s="16" t="str">
        <f t="shared" si="5"/>
        <v>1-12</v>
      </c>
      <c r="N443" s="16" t="str">
        <f t="shared" si="6"/>
        <v>0</v>
      </c>
      <c r="O443" s="17"/>
      <c r="P443" s="17"/>
      <c r="Q443" s="17"/>
      <c r="R443" s="17"/>
      <c r="S443" s="17"/>
      <c r="T443" s="17"/>
      <c r="U443" s="17"/>
      <c r="V443" s="17"/>
      <c r="W443" s="17"/>
    </row>
    <row r="444" ht="15.75" customHeight="1">
      <c r="A444" s="9" t="s">
        <v>999</v>
      </c>
      <c r="B444" s="10" t="s">
        <v>1000</v>
      </c>
      <c r="C444" s="11" t="s">
        <v>1001</v>
      </c>
      <c r="D444" s="23" t="s">
        <v>995</v>
      </c>
      <c r="E444" s="13" t="str">
        <f t="array" ref="E444">INDEX(Turmas!C2:C106,MATCH(D46,Turmas!A2:A106,0))</f>
        <v>Noite</v>
      </c>
      <c r="F444" s="14">
        <v>0.0</v>
      </c>
      <c r="G444" s="15">
        <v>2.0</v>
      </c>
      <c r="H444" s="15">
        <v>0.0</v>
      </c>
      <c r="I444" s="16" t="str">
        <f t="shared" si="1"/>
        <v>1-12</v>
      </c>
      <c r="J444" s="16" t="str">
        <f t="shared" si="2"/>
        <v>1-12</v>
      </c>
      <c r="K444" s="16" t="str">
        <f t="shared" si="3"/>
        <v>1-12</v>
      </c>
      <c r="L444" s="16" t="str">
        <f t="shared" si="4"/>
        <v>1-12</v>
      </c>
      <c r="M444" s="16" t="str">
        <f t="shared" si="5"/>
        <v>1-12</v>
      </c>
      <c r="N444" s="16" t="str">
        <f t="shared" si="6"/>
        <v>0</v>
      </c>
      <c r="O444" s="17"/>
      <c r="P444" s="17"/>
      <c r="Q444" s="17"/>
      <c r="R444" s="17"/>
      <c r="S444" s="17"/>
      <c r="T444" s="17"/>
      <c r="U444" s="17"/>
      <c r="V444" s="17"/>
      <c r="W444" s="17"/>
    </row>
    <row r="445" ht="15.75" customHeight="1">
      <c r="A445" s="9" t="s">
        <v>1002</v>
      </c>
      <c r="B445" s="10" t="s">
        <v>164</v>
      </c>
      <c r="C445" s="11" t="s">
        <v>289</v>
      </c>
      <c r="D445" s="23" t="s">
        <v>995</v>
      </c>
      <c r="E445" s="13" t="str">
        <f t="array" ref="E445">INDEX(Turmas!C2:C106,MATCH(D47,Turmas!A2:A106,0))</f>
        <v>Noite</v>
      </c>
      <c r="F445" s="14">
        <v>0.0</v>
      </c>
      <c r="G445" s="15">
        <v>3.0</v>
      </c>
      <c r="H445" s="15">
        <v>0.0</v>
      </c>
      <c r="I445" s="16" t="str">
        <f t="shared" si="1"/>
        <v>1-12</v>
      </c>
      <c r="J445" s="16" t="str">
        <f t="shared" si="2"/>
        <v>1-12</v>
      </c>
      <c r="K445" s="16" t="str">
        <f t="shared" si="3"/>
        <v>1-12</v>
      </c>
      <c r="L445" s="16" t="str">
        <f t="shared" si="4"/>
        <v>1-12</v>
      </c>
      <c r="M445" s="16" t="str">
        <f t="shared" si="5"/>
        <v>1-12</v>
      </c>
      <c r="N445" s="16" t="str">
        <f t="shared" si="6"/>
        <v>0</v>
      </c>
      <c r="O445" s="17"/>
      <c r="P445" s="17"/>
      <c r="Q445" s="17"/>
      <c r="R445" s="17"/>
      <c r="S445" s="17"/>
      <c r="T445" s="17"/>
      <c r="U445" s="17"/>
      <c r="V445" s="17"/>
      <c r="W445" s="17"/>
    </row>
    <row r="446" ht="15.75" customHeight="1">
      <c r="A446" s="9" t="s">
        <v>1003</v>
      </c>
      <c r="B446" s="10" t="s">
        <v>1004</v>
      </c>
      <c r="C446" s="11" t="s">
        <v>332</v>
      </c>
      <c r="D446" s="23" t="s">
        <v>995</v>
      </c>
      <c r="E446" s="13" t="str">
        <f t="array" ref="E446">INDEX(Turmas!C2:C106,MATCH(D48,Turmas!A2:A106,0))</f>
        <v>Manhã</v>
      </c>
      <c r="F446" s="14">
        <v>0.0</v>
      </c>
      <c r="G446" s="15">
        <v>3.0</v>
      </c>
      <c r="H446" s="15">
        <v>0.0</v>
      </c>
      <c r="I446" s="16" t="str">
        <f t="shared" si="1"/>
        <v>7-16</v>
      </c>
      <c r="J446" s="16" t="str">
        <f t="shared" si="2"/>
        <v>7-16</v>
      </c>
      <c r="K446" s="16" t="str">
        <f t="shared" si="3"/>
        <v>7-16</v>
      </c>
      <c r="L446" s="16" t="str">
        <f t="shared" si="4"/>
        <v>7-16</v>
      </c>
      <c r="M446" s="16" t="str">
        <f t="shared" si="5"/>
        <v>7-16</v>
      </c>
      <c r="N446" s="16" t="str">
        <f t="shared" si="6"/>
        <v>1-16</v>
      </c>
      <c r="O446" s="17"/>
      <c r="P446" s="17"/>
      <c r="Q446" s="17"/>
      <c r="R446" s="17"/>
      <c r="S446" s="17"/>
      <c r="T446" s="17"/>
      <c r="U446" s="17"/>
      <c r="V446" s="17"/>
      <c r="W446" s="17"/>
    </row>
    <row r="447" ht="15.75" customHeight="1">
      <c r="A447" s="9" t="s">
        <v>1005</v>
      </c>
      <c r="B447" s="10" t="s">
        <v>1006</v>
      </c>
      <c r="C447" s="11" t="s">
        <v>452</v>
      </c>
      <c r="D447" s="23" t="s">
        <v>995</v>
      </c>
      <c r="E447" s="13" t="str">
        <f t="array" ref="E447">INDEX(Turmas!C2:C106,MATCH(D49,Turmas!A2:A106,0))</f>
        <v>Manhã</v>
      </c>
      <c r="F447" s="14">
        <v>0.0</v>
      </c>
      <c r="G447" s="15">
        <v>4.0</v>
      </c>
      <c r="H447" s="15">
        <v>0.0</v>
      </c>
      <c r="I447" s="16" t="str">
        <f t="shared" si="1"/>
        <v>7-16</v>
      </c>
      <c r="J447" s="16" t="str">
        <f t="shared" si="2"/>
        <v>7-16</v>
      </c>
      <c r="K447" s="16" t="str">
        <f t="shared" si="3"/>
        <v>7-16</v>
      </c>
      <c r="L447" s="16" t="str">
        <f t="shared" si="4"/>
        <v>7-16</v>
      </c>
      <c r="M447" s="16" t="str">
        <f t="shared" si="5"/>
        <v>7-16</v>
      </c>
      <c r="N447" s="16" t="str">
        <f t="shared" si="6"/>
        <v>1-16</v>
      </c>
      <c r="O447" s="17"/>
      <c r="P447" s="17"/>
      <c r="Q447" s="17"/>
      <c r="R447" s="17"/>
      <c r="S447" s="17"/>
      <c r="T447" s="17"/>
      <c r="U447" s="17"/>
      <c r="V447" s="17"/>
      <c r="W447" s="17"/>
    </row>
    <row r="448" ht="15.75" customHeight="1">
      <c r="A448" s="9" t="s">
        <v>1007</v>
      </c>
      <c r="B448" s="10" t="s">
        <v>1008</v>
      </c>
      <c r="C448" s="11" t="s">
        <v>1009</v>
      </c>
      <c r="D448" s="23" t="s">
        <v>1010</v>
      </c>
      <c r="E448" s="13" t="str">
        <f t="array" ref="E448">INDEX(Turmas!C2:C106,MATCH(D50,Turmas!A2:A106,0))</f>
        <v>Manhã</v>
      </c>
      <c r="F448" s="14">
        <v>0.0</v>
      </c>
      <c r="G448" s="15">
        <v>4.0</v>
      </c>
      <c r="H448" s="15">
        <v>0.0</v>
      </c>
      <c r="I448" s="16" t="str">
        <f t="shared" si="1"/>
        <v>7-16</v>
      </c>
      <c r="J448" s="16" t="str">
        <f t="shared" si="2"/>
        <v>7-16</v>
      </c>
      <c r="K448" s="16" t="str">
        <f t="shared" si="3"/>
        <v>7-16</v>
      </c>
      <c r="L448" s="16" t="str">
        <f t="shared" si="4"/>
        <v>7-16</v>
      </c>
      <c r="M448" s="16" t="str">
        <f t="shared" si="5"/>
        <v>7-16</v>
      </c>
      <c r="N448" s="16" t="str">
        <f t="shared" si="6"/>
        <v>1-16</v>
      </c>
      <c r="O448" s="17"/>
      <c r="P448" s="17"/>
      <c r="Q448" s="17"/>
      <c r="R448" s="17"/>
      <c r="S448" s="17"/>
      <c r="T448" s="17"/>
      <c r="U448" s="17"/>
      <c r="V448" s="17"/>
      <c r="W448" s="17"/>
    </row>
    <row r="449" ht="15.75" customHeight="1">
      <c r="A449" s="9" t="s">
        <v>1011</v>
      </c>
      <c r="B449" s="10" t="s">
        <v>1012</v>
      </c>
      <c r="C449" s="11" t="s">
        <v>385</v>
      </c>
      <c r="D449" s="23" t="s">
        <v>1010</v>
      </c>
      <c r="E449" s="13" t="str">
        <f t="array" ref="E449">INDEX(Turmas!C2:C106,MATCH(D51,Turmas!A2:A106,0))</f>
        <v>Manhã</v>
      </c>
      <c r="F449" s="14">
        <v>0.0</v>
      </c>
      <c r="G449" s="15">
        <v>2.0</v>
      </c>
      <c r="H449" s="15">
        <v>0.0</v>
      </c>
      <c r="I449" s="16" t="str">
        <f t="shared" si="1"/>
        <v>7-16</v>
      </c>
      <c r="J449" s="16" t="str">
        <f t="shared" si="2"/>
        <v>7-16</v>
      </c>
      <c r="K449" s="16" t="str">
        <f t="shared" si="3"/>
        <v>7-16</v>
      </c>
      <c r="L449" s="16" t="str">
        <f t="shared" si="4"/>
        <v>7-16</v>
      </c>
      <c r="M449" s="16" t="str">
        <f t="shared" si="5"/>
        <v>7-16</v>
      </c>
      <c r="N449" s="16" t="str">
        <f t="shared" si="6"/>
        <v>1-16</v>
      </c>
      <c r="O449" s="17"/>
      <c r="P449" s="17"/>
      <c r="Q449" s="17"/>
      <c r="R449" s="17"/>
      <c r="S449" s="17"/>
      <c r="T449" s="17"/>
      <c r="U449" s="17"/>
      <c r="V449" s="17"/>
      <c r="W449" s="17"/>
    </row>
    <row r="450" ht="15.75" customHeight="1">
      <c r="A450" s="9" t="s">
        <v>1013</v>
      </c>
      <c r="B450" s="10" t="s">
        <v>1014</v>
      </c>
      <c r="C450" s="11" t="s">
        <v>982</v>
      </c>
      <c r="D450" s="23" t="s">
        <v>1010</v>
      </c>
      <c r="E450" s="13" t="str">
        <f t="array" ref="E450">INDEX(Turmas!C2:C106,MATCH(D52,Turmas!A2:A106,0))</f>
        <v>Manhã</v>
      </c>
      <c r="F450" s="14">
        <v>0.0</v>
      </c>
      <c r="G450" s="15">
        <v>3.0</v>
      </c>
      <c r="H450" s="15">
        <v>0.0</v>
      </c>
      <c r="I450" s="16" t="str">
        <f t="shared" si="1"/>
        <v>7-16</v>
      </c>
      <c r="J450" s="16" t="str">
        <f t="shared" si="2"/>
        <v>7-16</v>
      </c>
      <c r="K450" s="16" t="str">
        <f t="shared" si="3"/>
        <v>7-16</v>
      </c>
      <c r="L450" s="16" t="str">
        <f t="shared" si="4"/>
        <v>7-16</v>
      </c>
      <c r="M450" s="16" t="str">
        <f t="shared" si="5"/>
        <v>7-16</v>
      </c>
      <c r="N450" s="16" t="str">
        <f t="shared" si="6"/>
        <v>1-16</v>
      </c>
      <c r="O450" s="17"/>
      <c r="P450" s="17"/>
      <c r="Q450" s="17"/>
      <c r="R450" s="17"/>
      <c r="S450" s="17"/>
      <c r="T450" s="17"/>
      <c r="U450" s="17"/>
      <c r="V450" s="17"/>
      <c r="W450" s="17"/>
    </row>
    <row r="451" ht="15.75" customHeight="1">
      <c r="A451" s="9" t="s">
        <v>1015</v>
      </c>
      <c r="B451" s="10" t="s">
        <v>1016</v>
      </c>
      <c r="C451" s="11" t="s">
        <v>1009</v>
      </c>
      <c r="D451" s="23" t="s">
        <v>1010</v>
      </c>
      <c r="E451" s="13" t="str">
        <f t="array" ref="E451">INDEX(Turmas!C2:C106,MATCH(D53,Turmas!A2:A106,0))</f>
        <v>Manhã</v>
      </c>
      <c r="F451" s="14">
        <v>0.0</v>
      </c>
      <c r="G451" s="15">
        <v>3.0</v>
      </c>
      <c r="H451" s="15">
        <v>0.0</v>
      </c>
      <c r="I451" s="16" t="str">
        <f t="shared" si="1"/>
        <v>7-16</v>
      </c>
      <c r="J451" s="16" t="str">
        <f t="shared" si="2"/>
        <v>7-16</v>
      </c>
      <c r="K451" s="16" t="str">
        <f t="shared" si="3"/>
        <v>7-16</v>
      </c>
      <c r="L451" s="16" t="str">
        <f t="shared" si="4"/>
        <v>7-16</v>
      </c>
      <c r="M451" s="16" t="str">
        <f t="shared" si="5"/>
        <v>7-16</v>
      </c>
      <c r="N451" s="16" t="str">
        <f t="shared" si="6"/>
        <v>1-16</v>
      </c>
      <c r="O451" s="17"/>
      <c r="P451" s="17"/>
      <c r="Q451" s="17"/>
      <c r="R451" s="17"/>
      <c r="S451" s="17"/>
      <c r="T451" s="17"/>
      <c r="U451" s="17"/>
      <c r="V451" s="17"/>
      <c r="W451" s="17"/>
    </row>
    <row r="452" ht="15.75" customHeight="1">
      <c r="A452" s="9" t="s">
        <v>1017</v>
      </c>
      <c r="B452" s="10" t="s">
        <v>1018</v>
      </c>
      <c r="C452" s="11" t="s">
        <v>1001</v>
      </c>
      <c r="D452" s="23" t="s">
        <v>1010</v>
      </c>
      <c r="E452" s="13" t="str">
        <f t="array" ref="E452">INDEX(Turmas!C2:C106,MATCH(D54,Turmas!A2:A106,0))</f>
        <v>Manhã</v>
      </c>
      <c r="F452" s="14">
        <v>0.0</v>
      </c>
      <c r="G452" s="15">
        <v>2.0</v>
      </c>
      <c r="H452" s="15">
        <v>0.0</v>
      </c>
      <c r="I452" s="16" t="str">
        <f t="shared" si="1"/>
        <v>7-16</v>
      </c>
      <c r="J452" s="16" t="str">
        <f t="shared" si="2"/>
        <v>7-16</v>
      </c>
      <c r="K452" s="16" t="str">
        <f t="shared" si="3"/>
        <v>7-16</v>
      </c>
      <c r="L452" s="16" t="str">
        <f t="shared" si="4"/>
        <v>7-16</v>
      </c>
      <c r="M452" s="16" t="str">
        <f t="shared" si="5"/>
        <v>7-16</v>
      </c>
      <c r="N452" s="16" t="str">
        <f t="shared" si="6"/>
        <v>1-16</v>
      </c>
      <c r="O452" s="17"/>
      <c r="P452" s="17"/>
      <c r="Q452" s="17"/>
      <c r="R452" s="17"/>
      <c r="S452" s="17"/>
      <c r="T452" s="17"/>
      <c r="U452" s="17"/>
      <c r="V452" s="17"/>
      <c r="W452" s="17"/>
    </row>
    <row r="453" ht="15.75" customHeight="1">
      <c r="A453" s="9" t="s">
        <v>1019</v>
      </c>
      <c r="B453" s="10" t="s">
        <v>1020</v>
      </c>
      <c r="C453" s="11" t="s">
        <v>131</v>
      </c>
      <c r="D453" s="23" t="s">
        <v>1010</v>
      </c>
      <c r="E453" s="13" t="str">
        <f t="array" ref="E453">INDEX(Turmas!C2:C106,MATCH(D55,Turmas!A2:A106,0))</f>
        <v>Manhã</v>
      </c>
      <c r="F453" s="14">
        <v>0.0</v>
      </c>
      <c r="G453" s="15">
        <v>2.0</v>
      </c>
      <c r="H453" s="15">
        <v>0.0</v>
      </c>
      <c r="I453" s="16" t="str">
        <f t="shared" si="1"/>
        <v>7-16</v>
      </c>
      <c r="J453" s="16" t="str">
        <f t="shared" si="2"/>
        <v>7-16</v>
      </c>
      <c r="K453" s="16" t="str">
        <f t="shared" si="3"/>
        <v>7-16</v>
      </c>
      <c r="L453" s="16" t="str">
        <f t="shared" si="4"/>
        <v>7-16</v>
      </c>
      <c r="M453" s="16" t="str">
        <f t="shared" si="5"/>
        <v>7-16</v>
      </c>
      <c r="N453" s="16" t="str">
        <f t="shared" si="6"/>
        <v>1-16</v>
      </c>
      <c r="O453" s="17"/>
      <c r="P453" s="17"/>
      <c r="Q453" s="17"/>
      <c r="R453" s="17"/>
      <c r="S453" s="17"/>
      <c r="T453" s="17"/>
      <c r="U453" s="17"/>
      <c r="V453" s="17"/>
      <c r="W453" s="17"/>
    </row>
    <row r="454" ht="15.75" customHeight="1">
      <c r="A454" s="9" t="s">
        <v>1021</v>
      </c>
      <c r="B454" s="10" t="s">
        <v>1022</v>
      </c>
      <c r="C454" s="11" t="s">
        <v>1023</v>
      </c>
      <c r="D454" s="23" t="s">
        <v>1010</v>
      </c>
      <c r="E454" s="13" t="str">
        <f t="array" ref="E454">INDEX(Turmas!C2:C106,MATCH(D56,Turmas!A2:A106,0))</f>
        <v>Manhã</v>
      </c>
      <c r="F454" s="14">
        <v>0.0</v>
      </c>
      <c r="G454" s="15">
        <v>4.0</v>
      </c>
      <c r="H454" s="15">
        <v>0.0</v>
      </c>
      <c r="I454" s="16" t="str">
        <f t="shared" si="1"/>
        <v>7-16</v>
      </c>
      <c r="J454" s="16" t="str">
        <f t="shared" si="2"/>
        <v>7-16</v>
      </c>
      <c r="K454" s="16" t="str">
        <f t="shared" si="3"/>
        <v>7-16</v>
      </c>
      <c r="L454" s="16" t="str">
        <f t="shared" si="4"/>
        <v>7-16</v>
      </c>
      <c r="M454" s="16" t="str">
        <f t="shared" si="5"/>
        <v>7-16</v>
      </c>
      <c r="N454" s="16" t="str">
        <f t="shared" si="6"/>
        <v>1-16</v>
      </c>
      <c r="O454" s="17"/>
      <c r="P454" s="17"/>
      <c r="Q454" s="17"/>
      <c r="R454" s="17"/>
      <c r="S454" s="17"/>
      <c r="T454" s="17"/>
      <c r="U454" s="17"/>
      <c r="V454" s="17"/>
      <c r="W454" s="17"/>
    </row>
    <row r="455" ht="15.75" customHeight="1">
      <c r="A455" s="9" t="s">
        <v>1024</v>
      </c>
      <c r="B455" s="10" t="s">
        <v>1025</v>
      </c>
      <c r="C455" s="11" t="s">
        <v>1009</v>
      </c>
      <c r="D455" s="23" t="s">
        <v>1026</v>
      </c>
      <c r="E455" s="13" t="str">
        <f t="array" ref="E455">INDEX(Turmas!C2:C106,MATCH(D57,Turmas!A2:A106,0))</f>
        <v>Manhã</v>
      </c>
      <c r="F455" s="14">
        <v>0.0</v>
      </c>
      <c r="G455" s="15">
        <v>3.0</v>
      </c>
      <c r="H455" s="15">
        <v>0.0</v>
      </c>
      <c r="I455" s="16" t="str">
        <f t="shared" si="1"/>
        <v>7-16</v>
      </c>
      <c r="J455" s="16" t="str">
        <f t="shared" si="2"/>
        <v>7-16</v>
      </c>
      <c r="K455" s="16" t="str">
        <f t="shared" si="3"/>
        <v>7-16</v>
      </c>
      <c r="L455" s="16" t="str">
        <f t="shared" si="4"/>
        <v>7-16</v>
      </c>
      <c r="M455" s="16" t="str">
        <f t="shared" si="5"/>
        <v>7-16</v>
      </c>
      <c r="N455" s="16" t="str">
        <f t="shared" si="6"/>
        <v>1-16</v>
      </c>
      <c r="O455" s="17"/>
      <c r="P455" s="17"/>
      <c r="Q455" s="17"/>
      <c r="R455" s="17"/>
      <c r="S455" s="17"/>
      <c r="T455" s="17"/>
      <c r="U455" s="17"/>
      <c r="V455" s="17"/>
      <c r="W455" s="17"/>
    </row>
    <row r="456" ht="15.75" customHeight="1">
      <c r="A456" s="9" t="s">
        <v>1027</v>
      </c>
      <c r="B456" s="10" t="s">
        <v>1028</v>
      </c>
      <c r="C456" s="11" t="s">
        <v>168</v>
      </c>
      <c r="D456" s="23" t="s">
        <v>1026</v>
      </c>
      <c r="E456" s="13" t="str">
        <f t="array" ref="E456">INDEX(Turmas!C2:C106,MATCH(D58,Turmas!A2:A106,0))</f>
        <v>Manhã</v>
      </c>
      <c r="F456" s="14">
        <v>0.0</v>
      </c>
      <c r="G456" s="15">
        <v>3.0</v>
      </c>
      <c r="H456" s="15">
        <v>0.0</v>
      </c>
      <c r="I456" s="16" t="str">
        <f t="shared" si="1"/>
        <v>7-16</v>
      </c>
      <c r="J456" s="16" t="str">
        <f t="shared" si="2"/>
        <v>7-16</v>
      </c>
      <c r="K456" s="16" t="str">
        <f t="shared" si="3"/>
        <v>7-16</v>
      </c>
      <c r="L456" s="16" t="str">
        <f t="shared" si="4"/>
        <v>7-16</v>
      </c>
      <c r="M456" s="16" t="str">
        <f t="shared" si="5"/>
        <v>7-16</v>
      </c>
      <c r="N456" s="16" t="str">
        <f t="shared" si="6"/>
        <v>1-16</v>
      </c>
      <c r="O456" s="17"/>
      <c r="P456" s="17"/>
      <c r="Q456" s="17"/>
      <c r="R456" s="17"/>
      <c r="S456" s="17"/>
      <c r="T456" s="17"/>
      <c r="U456" s="17"/>
      <c r="V456" s="17"/>
      <c r="W456" s="17"/>
    </row>
    <row r="457" ht="15.75" customHeight="1">
      <c r="A457" s="9" t="s">
        <v>1029</v>
      </c>
      <c r="B457" s="10" t="s">
        <v>1030</v>
      </c>
      <c r="C457" s="11" t="s">
        <v>20</v>
      </c>
      <c r="D457" s="23" t="s">
        <v>1026</v>
      </c>
      <c r="E457" s="13" t="str">
        <f t="array" ref="E457">INDEX(Turmas!C2:C106,MATCH(D59,Turmas!A2:A106,0))</f>
        <v>Tarde</v>
      </c>
      <c r="F457" s="14">
        <v>0.0</v>
      </c>
      <c r="G457" s="15">
        <v>3.0</v>
      </c>
      <c r="H457" s="15">
        <v>0.0</v>
      </c>
      <c r="I457" s="16" t="str">
        <f t="shared" si="1"/>
        <v>1-6,13-16</v>
      </c>
      <c r="J457" s="16" t="str">
        <f t="shared" si="2"/>
        <v>1-6,13-16</v>
      </c>
      <c r="K457" s="16" t="str">
        <f t="shared" si="3"/>
        <v>1-6,13-16</v>
      </c>
      <c r="L457" s="16" t="str">
        <f t="shared" si="4"/>
        <v>1-6,13-16</v>
      </c>
      <c r="M457" s="16" t="str">
        <f t="shared" si="5"/>
        <v>1-6,13-16</v>
      </c>
      <c r="N457" s="16" t="str">
        <f t="shared" si="6"/>
        <v>1-16</v>
      </c>
      <c r="O457" s="17"/>
      <c r="P457" s="17"/>
      <c r="Q457" s="17"/>
      <c r="R457" s="17"/>
      <c r="S457" s="17"/>
      <c r="T457" s="17"/>
      <c r="U457" s="17"/>
      <c r="V457" s="17"/>
      <c r="W457" s="17"/>
    </row>
    <row r="458" ht="15.75" customHeight="1">
      <c r="A458" s="9" t="s">
        <v>786</v>
      </c>
      <c r="B458" s="10" t="s">
        <v>306</v>
      </c>
      <c r="C458" s="11" t="s">
        <v>982</v>
      </c>
      <c r="D458" s="23" t="s">
        <v>1026</v>
      </c>
      <c r="E458" s="13" t="str">
        <f t="array" ref="E458">INDEX(Turmas!C2:C106,MATCH(D60,Turmas!A2:A106,0))</f>
        <v>Tarde</v>
      </c>
      <c r="F458" s="14">
        <v>0.0</v>
      </c>
      <c r="G458" s="15">
        <v>4.0</v>
      </c>
      <c r="H458" s="15">
        <v>0.0</v>
      </c>
      <c r="I458" s="16" t="str">
        <f t="shared" si="1"/>
        <v>1-6,13-16</v>
      </c>
      <c r="J458" s="16" t="str">
        <f t="shared" si="2"/>
        <v>1-6,13-16</v>
      </c>
      <c r="K458" s="16" t="str">
        <f t="shared" si="3"/>
        <v>1-6,13-16</v>
      </c>
      <c r="L458" s="16" t="str">
        <f t="shared" si="4"/>
        <v>1-6,13-16</v>
      </c>
      <c r="M458" s="16" t="str">
        <f t="shared" si="5"/>
        <v>1-6,13-16</v>
      </c>
      <c r="N458" s="16" t="str">
        <f t="shared" si="6"/>
        <v>1-16</v>
      </c>
      <c r="O458" s="17"/>
      <c r="P458" s="17"/>
      <c r="Q458" s="17"/>
      <c r="R458" s="17"/>
      <c r="S458" s="17"/>
      <c r="T458" s="17"/>
      <c r="U458" s="17"/>
      <c r="V458" s="17"/>
      <c r="W458" s="17"/>
    </row>
  </sheetData>
  <conditionalFormatting sqref="I1:N458">
    <cfRule type="expression" dxfId="0" priority="1">
      <formula>"F!1:999"</formula>
    </cfRule>
  </conditionalFormatting>
  <dataValidations>
    <dataValidation type="list" allowBlank="1" sqref="D2:D458">
      <formula1>Turmas!$A$2:$A$94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7" t="s">
        <v>0</v>
      </c>
      <c r="B1" s="28" t="s">
        <v>1031</v>
      </c>
      <c r="C1" s="29" t="s">
        <v>1</v>
      </c>
      <c r="D1" s="30" t="s">
        <v>8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</row>
    <row r="2" ht="14.25" customHeight="1">
      <c r="A2" s="14" t="s">
        <v>1032</v>
      </c>
      <c r="B2" s="13" t="s">
        <v>16</v>
      </c>
      <c r="C2" s="31" t="str">
        <f>IFERROR(__xludf.DUMMYFUNCTION("JOIN("","",FILTER(Disciplinas!A:A, regexmatch(Disciplinas!C:C, B2)))"),"RV.ADM01,RV.PRO030,RV.TAL09,GRAD.ECRER.02,GRAD.ECRER.02,RV.ADM410")</f>
        <v>RV.ADM01,RV.PRO030,RV.TAL09,GRAD.ECRER.02,GRAD.ECRER.02,RV.ADM410</v>
      </c>
      <c r="D2" s="32" t="s">
        <v>1033</v>
      </c>
      <c r="E2" s="32" t="s">
        <v>1033</v>
      </c>
      <c r="F2" s="32" t="s">
        <v>1033</v>
      </c>
      <c r="G2" s="32" t="s">
        <v>1033</v>
      </c>
      <c r="H2" s="32" t="s">
        <v>1033</v>
      </c>
      <c r="I2" s="32" t="s">
        <v>1033</v>
      </c>
    </row>
    <row r="3" ht="14.25" customHeight="1">
      <c r="A3" s="14" t="s">
        <v>1034</v>
      </c>
      <c r="B3" s="13" t="s">
        <v>20</v>
      </c>
      <c r="C3" s="31" t="str">
        <f>IFERROR(__xludf.DUMMYFUNCTION("JOIN("","",FILTER(Disciplinas!A:A, regexmatch(Disciplinas!C:C, B3)))"),"RV.ADM02,RV.ADM10,RV.ADM405,GRAD.ADM.APME.27,GRAD.EMPREEDAGRO.01")</f>
        <v>RV.ADM02,RV.ADM10,RV.ADM405,GRAD.ADM.APME.27,GRAD.EMPREEDAGRO.01</v>
      </c>
      <c r="D3" s="32" t="s">
        <v>1033</v>
      </c>
      <c r="E3" s="32" t="s">
        <v>1033</v>
      </c>
      <c r="F3" s="32" t="s">
        <v>1033</v>
      </c>
      <c r="G3" s="32" t="s">
        <v>1033</v>
      </c>
      <c r="H3" s="32" t="s">
        <v>1033</v>
      </c>
      <c r="I3" s="32" t="s">
        <v>1033</v>
      </c>
    </row>
    <row r="4" ht="14.25" customHeight="1">
      <c r="A4" s="14" t="s">
        <v>1035</v>
      </c>
      <c r="B4" s="13" t="s">
        <v>23</v>
      </c>
      <c r="C4" s="31" t="str">
        <f>IFERROR(__xludf.DUMMYFUNCTION("JOIN("","",FILTER(Disciplinas!A:A, regexmatch(Disciplinas!C:C, B4)))"),"RV.ADM03,GRAD.EA.52,GRAD.ECONOM.01")</f>
        <v>RV.ADM03,GRAD.EA.52,GRAD.ECONOM.01</v>
      </c>
      <c r="D4" s="32" t="s">
        <v>1033</v>
      </c>
      <c r="E4" s="32" t="s">
        <v>1033</v>
      </c>
      <c r="F4" s="32" t="s">
        <v>1033</v>
      </c>
      <c r="G4" s="32" t="s">
        <v>1033</v>
      </c>
      <c r="H4" s="32" t="s">
        <v>1033</v>
      </c>
      <c r="I4" s="32" t="s">
        <v>1033</v>
      </c>
    </row>
    <row r="5" ht="14.25" customHeight="1">
      <c r="A5" s="14" t="s">
        <v>1036</v>
      </c>
      <c r="B5" s="17" t="s">
        <v>26</v>
      </c>
      <c r="C5" s="31" t="str">
        <f>IFERROR(__xludf.DUMMYFUNCTION("JOIN("","",FILTER(Disciplinas!A:A, regexmatch(Disciplinas!C:C, B5)))"),"RV.ADM04,GRAD.ADM.SO.12,GRAD.SER.03,GRAD.SCE.01")</f>
        <v>RV.ADM04,GRAD.ADM.SO.12,GRAD.SER.03,GRAD.SCE.01</v>
      </c>
      <c r="D5" s="32" t="s">
        <v>1033</v>
      </c>
      <c r="E5" s="32" t="s">
        <v>1033</v>
      </c>
      <c r="F5" s="32" t="s">
        <v>1033</v>
      </c>
      <c r="G5" s="32" t="s">
        <v>1033</v>
      </c>
      <c r="H5" s="32" t="s">
        <v>1033</v>
      </c>
      <c r="I5" s="32" t="s">
        <v>1033</v>
      </c>
    </row>
    <row r="6" ht="14.25" customHeight="1">
      <c r="A6" s="14" t="s">
        <v>1037</v>
      </c>
      <c r="B6" s="33" t="s">
        <v>29</v>
      </c>
      <c r="C6" s="31" t="str">
        <f>IFERROR(__xludf.DUMMYFUNCTION("JOIN("","",FILTER(Disciplinas!A:A, regexmatch(Disciplinas!C:C, B6)))"),"RV.ADM401,RV.HUM824,RV.ADM413")</f>
        <v>RV.ADM401,RV.HUM824,RV.ADM413</v>
      </c>
      <c r="D6" s="32" t="s">
        <v>1033</v>
      </c>
      <c r="E6" s="32" t="s">
        <v>1033</v>
      </c>
      <c r="F6" s="32" t="s">
        <v>1033</v>
      </c>
      <c r="G6" s="32" t="s">
        <v>1033</v>
      </c>
      <c r="H6" s="32" t="s">
        <v>1033</v>
      </c>
      <c r="I6" s="32" t="s">
        <v>1033</v>
      </c>
    </row>
    <row r="7" ht="14.25" customHeight="1">
      <c r="A7" s="14" t="s">
        <v>1038</v>
      </c>
      <c r="B7" s="17" t="s">
        <v>32</v>
      </c>
      <c r="C7" s="31" t="str">
        <f>IFERROR(__xludf.DUMMYFUNCTION("JOIN("","",FILTER(Disciplinas!A:A, regexmatch(Disciplinas!C:C, B7)))"),"RV.EXA808,RV.EXA808")</f>
        <v>RV.EXA808,RV.EXA808</v>
      </c>
      <c r="D7" s="32" t="s">
        <v>1033</v>
      </c>
      <c r="E7" s="32" t="s">
        <v>1033</v>
      </c>
      <c r="F7" s="32" t="s">
        <v>1033</v>
      </c>
      <c r="G7" s="32" t="s">
        <v>1033</v>
      </c>
      <c r="H7" s="32" t="s">
        <v>1033</v>
      </c>
      <c r="I7" s="32" t="s">
        <v>1033</v>
      </c>
    </row>
    <row r="8" ht="14.25" customHeight="1">
      <c r="A8" s="14" t="s">
        <v>1039</v>
      </c>
      <c r="B8" s="17" t="s">
        <v>37</v>
      </c>
      <c r="C8" s="31" t="str">
        <f>IFERROR(__xludf.DUMMYFUNCTION("JOIN("","",FILTER(Disciplinas!A:A, regexmatch(Disciplinas!C:C, B8)))"),"RV.ADM09,RV.CON817,GRAD.ADM.CONT.11,RV.CON002,RV.CONT102")</f>
        <v>RV.ADM09,RV.CON817,GRAD.ADM.CONT.11,RV.CON002,RV.CONT102</v>
      </c>
      <c r="D8" s="32" t="s">
        <v>1033</v>
      </c>
      <c r="E8" s="32" t="s">
        <v>1033</v>
      </c>
      <c r="F8" s="32" t="s">
        <v>1033</v>
      </c>
      <c r="G8" s="32" t="s">
        <v>1033</v>
      </c>
      <c r="H8" s="32" t="s">
        <v>1033</v>
      </c>
      <c r="I8" s="32" t="s">
        <v>1033</v>
      </c>
    </row>
    <row r="9" ht="14.25" customHeight="1">
      <c r="A9" s="14" t="s">
        <v>1040</v>
      </c>
      <c r="B9" s="17" t="s">
        <v>43</v>
      </c>
      <c r="C9" s="31" t="str">
        <f>IFERROR(__xludf.DUMMYFUNCTION("JOIN("","",FILTER(Disciplinas!A:A, regexmatch(Disciplinas!C:C, B9)))"),"RV.ADM11,GRAD.ADM.EGP.03,GRAD.AI.01")</f>
        <v>RV.ADM11,GRAD.ADM.EGP.03,GRAD.AI.01</v>
      </c>
      <c r="D9" s="32" t="s">
        <v>1033</v>
      </c>
      <c r="E9" s="32" t="s">
        <v>1033</v>
      </c>
      <c r="F9" s="32" t="s">
        <v>1033</v>
      </c>
      <c r="G9" s="32" t="s">
        <v>1033</v>
      </c>
      <c r="H9" s="32" t="s">
        <v>1033</v>
      </c>
      <c r="I9" s="32" t="s">
        <v>1033</v>
      </c>
    </row>
    <row r="10" ht="14.25" customHeight="1">
      <c r="A10" s="14" t="s">
        <v>1041</v>
      </c>
      <c r="B10" s="17" t="s">
        <v>50</v>
      </c>
      <c r="C10" s="31" t="str">
        <f>IFERROR(__xludf.DUMMYFUNCTION("JOIN("","",FILTER(Disciplinas!A:A, regexmatch(Disciplinas!C:C, B10)))"),"RV.ADM811,GRAD.ADM.TGA-I.02,GRAD.ADM.JE.28")</f>
        <v>RV.ADM811,GRAD.ADM.TGA-I.02,GRAD.ADM.JE.28</v>
      </c>
      <c r="D10" s="32" t="s">
        <v>1033</v>
      </c>
      <c r="E10" s="32" t="s">
        <v>1033</v>
      </c>
      <c r="F10" s="32" t="s">
        <v>1033</v>
      </c>
      <c r="G10" s="32" t="s">
        <v>1033</v>
      </c>
      <c r="H10" s="32" t="s">
        <v>1033</v>
      </c>
      <c r="I10" s="32" t="s">
        <v>1033</v>
      </c>
    </row>
    <row r="11" ht="14.25" customHeight="1">
      <c r="A11" s="14" t="s">
        <v>1042</v>
      </c>
      <c r="B11" s="17" t="s">
        <v>53</v>
      </c>
      <c r="C11" s="31" t="str">
        <f>IFERROR(__xludf.DUMMYFUNCTION("JOIN("","",FILTER(Disciplinas!A:A, regexmatch(Disciplinas!C:C, B11)))"),"TADMRV33,RV.CON008,RV.TAL10")</f>
        <v>TADMRV33,RV.CON008,RV.TAL10</v>
      </c>
      <c r="D11" s="32" t="s">
        <v>1033</v>
      </c>
      <c r="E11" s="32" t="s">
        <v>1033</v>
      </c>
      <c r="F11" s="32" t="s">
        <v>1033</v>
      </c>
      <c r="G11" s="32" t="s">
        <v>1033</v>
      </c>
      <c r="H11" s="32" t="s">
        <v>1033</v>
      </c>
      <c r="I11" s="32" t="s">
        <v>1033</v>
      </c>
    </row>
    <row r="12" ht="14.25" customHeight="1">
      <c r="A12" s="14" t="s">
        <v>1043</v>
      </c>
      <c r="B12" s="17" t="s">
        <v>56</v>
      </c>
      <c r="C12" s="31" t="str">
        <f>IFERROR(__xludf.DUMMYFUNCTION("JOIN("","",FILTER(Disciplinas!A:A, regexmatch(Disciplinas!C:C, B12)))"),"RV.PRO001,RV.PRO031,GRAD.ADM.LPCC.05,RV.INF62,CTSTRARV.31")</f>
        <v>RV.PRO001,RV.PRO031,GRAD.ADM.LPCC.05,RV.INF62,CTSTRARV.31</v>
      </c>
      <c r="D12" s="32" t="s">
        <v>1033</v>
      </c>
      <c r="E12" s="32" t="s">
        <v>1033</v>
      </c>
      <c r="F12" s="32" t="s">
        <v>1033</v>
      </c>
      <c r="G12" s="32" t="s">
        <v>1033</v>
      </c>
      <c r="H12" s="32" t="s">
        <v>1033</v>
      </c>
      <c r="I12" s="32" t="s">
        <v>1033</v>
      </c>
    </row>
    <row r="13" ht="14.25" customHeight="1">
      <c r="A13" s="14" t="s">
        <v>1044</v>
      </c>
      <c r="B13" s="33" t="s">
        <v>60</v>
      </c>
      <c r="C13" s="31" t="str">
        <f>IFERROR(__xludf.DUMMYFUNCTION("JOIN("","",FILTER(Disciplinas!A:A, regexmatch(Disciplinas!C:C, B13)))"),"RV.PRO003,RV.PRO004,RV.PRO025,GRAD.FC.03,RV.PRO41")</f>
        <v>RV.PRO003,RV.PRO004,RV.PRO025,GRAD.FC.03,RV.PRO41</v>
      </c>
      <c r="D13" s="32" t="s">
        <v>1033</v>
      </c>
      <c r="E13" s="32" t="s">
        <v>1033</v>
      </c>
      <c r="F13" s="32" t="s">
        <v>1033</v>
      </c>
      <c r="G13" s="32" t="s">
        <v>1033</v>
      </c>
      <c r="H13" s="32" t="s">
        <v>1033</v>
      </c>
      <c r="I13" s="32" t="s">
        <v>1033</v>
      </c>
    </row>
    <row r="14" ht="14.25" customHeight="1">
      <c r="A14" s="14" t="s">
        <v>1045</v>
      </c>
      <c r="B14" s="33" t="s">
        <v>68</v>
      </c>
      <c r="C14" s="31" t="str">
        <f>IFERROR(__xludf.DUMMYFUNCTION("JOIN("","",FILTER(Disciplinas!A:A, regexmatch(Disciplinas!C:C, B14)))"),"RV.PRO14,RV.EXA810,GRAD.EB.02,RV.TADM12,RV.EXA723")</f>
        <v>RV.PRO14,RV.EXA810,GRAD.EB.02,RV.TADM12,RV.EXA723</v>
      </c>
      <c r="D14" s="32" t="s">
        <v>1033</v>
      </c>
      <c r="E14" s="32" t="s">
        <v>1033</v>
      </c>
      <c r="F14" s="32" t="s">
        <v>1033</v>
      </c>
      <c r="G14" s="32" t="s">
        <v>1033</v>
      </c>
      <c r="H14" s="32" t="s">
        <v>1033</v>
      </c>
      <c r="I14" s="32" t="s">
        <v>1033</v>
      </c>
    </row>
    <row r="15" ht="14.25" customHeight="1">
      <c r="A15" s="14" t="s">
        <v>1046</v>
      </c>
      <c r="B15" s="33" t="s">
        <v>77</v>
      </c>
      <c r="C15" s="31" t="str">
        <f>IFERROR(__xludf.DUMMYFUNCTION("JOIN("","",FILTER(Disciplinas!A:A, regexmatch(Disciplinas!C:C, B15)))"),"RV.PRO032,GRAD.QA.01,GRAD.QGA.01,RV.QUI723,RV.QUI736")</f>
        <v>RV.PRO032,GRAD.QA.01,GRAD.QGA.01,RV.QUI723,RV.QUI736</v>
      </c>
      <c r="D15" s="32" t="s">
        <v>1033</v>
      </c>
      <c r="E15" s="32" t="s">
        <v>1033</v>
      </c>
      <c r="F15" s="32" t="s">
        <v>1033</v>
      </c>
      <c r="G15" s="32" t="s">
        <v>1033</v>
      </c>
      <c r="H15" s="32" t="s">
        <v>1033</v>
      </c>
      <c r="I15" s="32" t="s">
        <v>1033</v>
      </c>
    </row>
    <row r="16" ht="14.25" customHeight="1">
      <c r="A16" s="14" t="s">
        <v>1047</v>
      </c>
      <c r="B16" s="33" t="s">
        <v>80</v>
      </c>
      <c r="C16" s="31" t="str">
        <f>IFERROR(__xludf.DUMMYFUNCTION("JOIN("","",FILTER(Disciplinas!A:A, regexmatch(Disciplinas!C:C, B16)))"),"RV.PRO029,RV.QAP428,RV.QUI720,RV.QUI728")</f>
        <v>RV.PRO029,RV.QAP428,RV.QUI720,RV.QUI728</v>
      </c>
      <c r="D16" s="32" t="s">
        <v>1033</v>
      </c>
      <c r="E16" s="32" t="s">
        <v>1033</v>
      </c>
      <c r="F16" s="32" t="s">
        <v>1033</v>
      </c>
      <c r="G16" s="32" t="s">
        <v>1033</v>
      </c>
      <c r="H16" s="32" t="s">
        <v>1033</v>
      </c>
      <c r="I16" s="32" t="s">
        <v>1033</v>
      </c>
    </row>
    <row r="17" ht="14.25" customHeight="1">
      <c r="A17" s="14" t="s">
        <v>1048</v>
      </c>
      <c r="B17" s="33" t="s">
        <v>86</v>
      </c>
      <c r="C17" s="31" t="str">
        <f>IFERROR(__xludf.DUMMYFUNCTION("JOIN("","",FILTER(Disciplinas!A:A, regexmatch(Disciplinas!C:C, B17)))"),"GRAD.ADM.CO.04,GRAD.ADM.MARK-II.20,RV.TCC212,RV.TCC213")</f>
        <v>GRAD.ADM.CO.04,GRAD.ADM.MARK-II.20,RV.TCC212,RV.TCC213</v>
      </c>
      <c r="D17" s="32" t="s">
        <v>1033</v>
      </c>
      <c r="E17" s="32" t="s">
        <v>1033</v>
      </c>
      <c r="F17" s="32" t="s">
        <v>1033</v>
      </c>
      <c r="G17" s="32" t="s">
        <v>1033</v>
      </c>
      <c r="H17" s="32" t="s">
        <v>1033</v>
      </c>
      <c r="I17" s="32" t="s">
        <v>1033</v>
      </c>
    </row>
    <row r="18" ht="14.25" customHeight="1">
      <c r="A18" s="14" t="s">
        <v>1049</v>
      </c>
      <c r="B18" s="33" t="s">
        <v>94</v>
      </c>
      <c r="C18" s="31" t="str">
        <f>IFERROR(__xludf.DUMMYFUNCTION("JOIN("","",FILTER(Disciplinas!A:A, regexmatch(Disciplinas!C:C, B18)))"),"GRAD.ADM.MCF.01,GRAD.EB.01,GRAD.EB.02")</f>
        <v>GRAD.ADM.MCF.01,GRAD.EB.01,GRAD.EB.02</v>
      </c>
      <c r="D18" s="32" t="s">
        <v>1033</v>
      </c>
      <c r="E18" s="32" t="s">
        <v>1033</v>
      </c>
      <c r="F18" s="32" t="s">
        <v>1033</v>
      </c>
      <c r="G18" s="32" t="s">
        <v>1033</v>
      </c>
      <c r="H18" s="32" t="s">
        <v>1033</v>
      </c>
      <c r="I18" s="32" t="s">
        <v>1033</v>
      </c>
    </row>
    <row r="19" ht="14.25" customHeight="1">
      <c r="A19" s="14" t="s">
        <v>1050</v>
      </c>
      <c r="B19" s="33" t="s">
        <v>102</v>
      </c>
      <c r="C19" s="31" t="str">
        <f>IFERROR(__xludf.DUMMYFUNCTION("JOIN("","",FILTER(Disciplinas!A:A, regexmatch(Disciplinas!C:C, B19)))"),"GRAD.ADM.DLE.09,GRAD.ADM.DT.18,CTSTRARV.2")</f>
        <v>GRAD.ADM.DLE.09,GRAD.ADM.DT.18,CTSTRARV.2</v>
      </c>
      <c r="D19" s="32" t="s">
        <v>1033</v>
      </c>
      <c r="E19" s="32" t="s">
        <v>1033</v>
      </c>
      <c r="F19" s="32" t="s">
        <v>1033</v>
      </c>
      <c r="G19" s="32" t="s">
        <v>1033</v>
      </c>
      <c r="H19" s="32" t="s">
        <v>1033</v>
      </c>
      <c r="I19" s="32" t="s">
        <v>1033</v>
      </c>
    </row>
    <row r="20" ht="14.25" customHeight="1">
      <c r="A20" s="14" t="s">
        <v>1051</v>
      </c>
      <c r="B20" s="33" t="s">
        <v>105</v>
      </c>
      <c r="C20" s="31" t="str">
        <f>IFERROR(__xludf.DUMMYFUNCTION("JOIN("","",FILTER(Disciplinas!A:A, regexmatch(Disciplinas!C:C, B20)))"),"GRAD.ADM.GP-II.10")</f>
        <v>GRAD.ADM.GP-II.10</v>
      </c>
      <c r="D20" s="32" t="s">
        <v>1033</v>
      </c>
      <c r="E20" s="32" t="s">
        <v>1033</v>
      </c>
      <c r="F20" s="32" t="s">
        <v>1033</v>
      </c>
      <c r="G20" s="32" t="s">
        <v>1033</v>
      </c>
      <c r="H20" s="32" t="s">
        <v>1033</v>
      </c>
      <c r="I20" s="32" t="s">
        <v>1033</v>
      </c>
    </row>
    <row r="21" ht="14.25" customHeight="1">
      <c r="A21" s="14" t="s">
        <v>1052</v>
      </c>
      <c r="B21" s="33" t="s">
        <v>110</v>
      </c>
      <c r="C21" s="31" t="str">
        <f>IFERROR(__xludf.DUMMYFUNCTION("JOIN("","",FILTER(Disciplinas!A:A, regexmatch(Disciplinas!C:C, B21)))"),"GRAD.ECOBRAS.01,GRAD.ADM.LOGIST.21,GRAD.MERCCAP.01")</f>
        <v>GRAD.ECOBRAS.01,GRAD.ADM.LOGIST.21,GRAD.MERCCAP.01</v>
      </c>
      <c r="D21" s="32" t="s">
        <v>1033</v>
      </c>
      <c r="E21" s="32" t="s">
        <v>1033</v>
      </c>
      <c r="F21" s="32" t="s">
        <v>1033</v>
      </c>
      <c r="G21" s="32" t="s">
        <v>1033</v>
      </c>
      <c r="H21" s="32" t="s">
        <v>1033</v>
      </c>
      <c r="I21" s="32" t="s">
        <v>1033</v>
      </c>
    </row>
    <row r="22" ht="14.25" customHeight="1">
      <c r="A22" s="14" t="s">
        <v>1053</v>
      </c>
      <c r="B22" s="33" t="s">
        <v>113</v>
      </c>
      <c r="C22" s="31" t="str">
        <f>IFERROR(__xludf.DUMMYFUNCTION("JOIN("","",FILTER(Disciplinas!A:A, regexmatch(Disciplinas!C:C, B22)))"),"GRAD.ADM.AP.19,GRAD.GESTAGRO.01,GRAD.ADMINISTRAç.01,GRAD.ADMINIST.01")</f>
        <v>GRAD.ADM.AP.19,GRAD.GESTAGRO.01,GRAD.ADMINISTRAç.01,GRAD.ADMINIST.01</v>
      </c>
      <c r="D22" s="32" t="s">
        <v>1033</v>
      </c>
      <c r="E22" s="32" t="s">
        <v>1033</v>
      </c>
      <c r="F22" s="32" t="s">
        <v>1033</v>
      </c>
      <c r="G22" s="32" t="s">
        <v>1033</v>
      </c>
      <c r="H22" s="32" t="s">
        <v>1033</v>
      </c>
      <c r="I22" s="32" t="s">
        <v>1033</v>
      </c>
    </row>
    <row r="23" ht="14.25" customHeight="1">
      <c r="A23" s="14" t="s">
        <v>1054</v>
      </c>
      <c r="B23" s="33" t="s">
        <v>125</v>
      </c>
      <c r="C23" s="31" t="str">
        <f>IFERROR(__xludf.DUMMYFUNCTION("JOIN("","",FILTER(Disciplinas!A:A, regexmatch(Disciplinas!C:C, B23)))"),"GRAD.ADM.ADF.29,RV.CON111")</f>
        <v>GRAD.ADM.ADF.29,RV.CON111</v>
      </c>
      <c r="D23" s="32" t="s">
        <v>1033</v>
      </c>
      <c r="E23" s="32" t="s">
        <v>1033</v>
      </c>
      <c r="F23" s="32" t="s">
        <v>1033</v>
      </c>
      <c r="G23" s="32" t="s">
        <v>1033</v>
      </c>
      <c r="H23" s="32" t="s">
        <v>1033</v>
      </c>
      <c r="I23" s="32" t="s">
        <v>1033</v>
      </c>
    </row>
    <row r="24" ht="14.25" customHeight="1">
      <c r="A24" s="14" t="s">
        <v>1055</v>
      </c>
      <c r="B24" s="33" t="s">
        <v>131</v>
      </c>
      <c r="C24" s="31" t="str">
        <f>IFERROR(__xludf.DUMMYFUNCTION("JOIN("","",FILTER(Disciplinas!A:A, regexmatch(Disciplinas!C:C, B24)))"),"GRAD.ADM.EAP.26,GRAD.GN.01")</f>
        <v>GRAD.ADM.EAP.26,GRAD.GN.01</v>
      </c>
      <c r="D24" s="32" t="s">
        <v>1033</v>
      </c>
      <c r="E24" s="32" t="s">
        <v>1033</v>
      </c>
      <c r="F24" s="32" t="s">
        <v>1033</v>
      </c>
      <c r="G24" s="32" t="s">
        <v>1033</v>
      </c>
      <c r="H24" s="32" t="s">
        <v>1033</v>
      </c>
      <c r="I24" s="32" t="s">
        <v>1033</v>
      </c>
    </row>
    <row r="25" ht="14.25" customHeight="1">
      <c r="A25" s="14" t="s">
        <v>1056</v>
      </c>
      <c r="B25" s="33" t="s">
        <v>143</v>
      </c>
      <c r="C25" s="31" t="str">
        <f>IFERROR(__xludf.DUMMYFUNCTION("JOIN("","",FILTER(Disciplinas!A:A, regexmatch(Disciplinas!C:C, B25)))"),"RV.EXA224,RV.EXA224,GRAD.CDI.01,GRAD.CDI.03,GRAD.ENQ.CDI-I.01")</f>
        <v>RV.EXA224,RV.EXA224,GRAD.CDI.01,GRAD.CDI.03,GRAD.ENQ.CDI-I.01</v>
      </c>
      <c r="D25" s="32" t="s">
        <v>1033</v>
      </c>
      <c r="E25" s="32" t="s">
        <v>1033</v>
      </c>
      <c r="F25" s="32" t="s">
        <v>1033</v>
      </c>
      <c r="G25" s="32" t="s">
        <v>1033</v>
      </c>
      <c r="H25" s="32" t="s">
        <v>1033</v>
      </c>
      <c r="I25" s="32" t="s">
        <v>1033</v>
      </c>
    </row>
    <row r="26" ht="14.25" customHeight="1">
      <c r="A26" s="14" t="s">
        <v>1057</v>
      </c>
      <c r="B26" s="33" t="s">
        <v>147</v>
      </c>
      <c r="C26" s="31" t="str">
        <f>IFERROR(__xludf.DUMMYFUNCTION("JOIN("","",FILTER(Disciplinas!A:A, regexmatch(Disciplinas!C:C, B26)))"),"RV.TAG003,RV.TAG002,RV.TAG003")</f>
        <v>RV.TAG003,RV.TAG002,RV.TAG003</v>
      </c>
      <c r="D26" s="32" t="s">
        <v>1033</v>
      </c>
      <c r="E26" s="32" t="s">
        <v>1033</v>
      </c>
      <c r="F26" s="32" t="s">
        <v>1033</v>
      </c>
      <c r="G26" s="32" t="s">
        <v>1033</v>
      </c>
      <c r="H26" s="32" t="s">
        <v>1033</v>
      </c>
      <c r="I26" s="32" t="s">
        <v>1033</v>
      </c>
    </row>
    <row r="27" ht="14.25" customHeight="1">
      <c r="A27" s="14" t="s">
        <v>1058</v>
      </c>
      <c r="B27" s="33" t="s">
        <v>150</v>
      </c>
      <c r="C27" s="31" t="str">
        <f>IFERROR(__xludf.DUMMYFUNCTION("JOIN("","",FILTER(Disciplinas!A:A, regexmatch(Disciplinas!C:C, B27)))"),"RV.TAG004,RV.TAG004,GRAD.ZG.02,GRAD.ANATANIM.01,GRAD.ANATANIM.01")</f>
        <v>RV.TAG004,RV.TAG004,GRAD.ZG.02,GRAD.ANATANIM.01,GRAD.ANATANIM.01</v>
      </c>
      <c r="D27" s="32" t="s">
        <v>1033</v>
      </c>
      <c r="E27" s="32" t="s">
        <v>1033</v>
      </c>
      <c r="F27" s="32" t="s">
        <v>1033</v>
      </c>
      <c r="G27" s="32" t="s">
        <v>1033</v>
      </c>
      <c r="H27" s="32" t="s">
        <v>1033</v>
      </c>
      <c r="I27" s="32" t="s">
        <v>1033</v>
      </c>
    </row>
    <row r="28" ht="14.25" customHeight="1">
      <c r="A28" s="14" t="s">
        <v>1059</v>
      </c>
      <c r="B28" s="33" t="s">
        <v>153</v>
      </c>
      <c r="C28" s="31" t="str">
        <f>IFERROR(__xludf.DUMMYFUNCTION("JOIN("","",FILTER(Disciplinas!A:A, regexmatch(Disciplinas!C:C, B28)))"),"RV.TAG005,RV.TAG005,RV.HUM805,CTSTRARV.30")</f>
        <v>RV.TAG005,RV.TAG005,RV.HUM805,CTSTRARV.30</v>
      </c>
      <c r="D28" s="32" t="s">
        <v>1033</v>
      </c>
      <c r="E28" s="32" t="s">
        <v>1033</v>
      </c>
      <c r="F28" s="32" t="s">
        <v>1033</v>
      </c>
      <c r="G28" s="32" t="s">
        <v>1033</v>
      </c>
      <c r="H28" s="32" t="s">
        <v>1033</v>
      </c>
      <c r="I28" s="32" t="s">
        <v>1033</v>
      </c>
    </row>
    <row r="29" ht="14.25" customHeight="1">
      <c r="A29" s="14" t="s">
        <v>1060</v>
      </c>
      <c r="B29" s="33" t="s">
        <v>156</v>
      </c>
      <c r="C29" s="31" t="str">
        <f>IFERROR(__xludf.DUMMYFUNCTION("JOIN("","",FILTER(Disciplinas!A:A, regexmatch(Disciplinas!C:C, B29)))"),"RV.TAG503,RV.TAG503,GRAD.RAD.01,GRAD.A.25,RV.MAS001")</f>
        <v>RV.TAG503,RV.TAG503,GRAD.RAD.01,GRAD.A.25,RV.MAS001</v>
      </c>
      <c r="D29" s="32" t="s">
        <v>1033</v>
      </c>
      <c r="E29" s="32" t="s">
        <v>1033</v>
      </c>
      <c r="F29" s="32" t="s">
        <v>1033</v>
      </c>
      <c r="G29" s="32" t="s">
        <v>1033</v>
      </c>
      <c r="H29" s="32" t="s">
        <v>1033</v>
      </c>
      <c r="I29" s="32" t="s">
        <v>1033</v>
      </c>
    </row>
    <row r="30" ht="14.25" customHeight="1">
      <c r="A30" s="14" t="s">
        <v>1061</v>
      </c>
      <c r="B30" s="33" t="s">
        <v>159</v>
      </c>
      <c r="C30" s="31" t="str">
        <f>IFERROR(__xludf.DUMMYFUNCTION("JOIN("","",FILTER(Disciplinas!A:A, regexmatch(Disciplinas!C:C, B30)))"),"RV.TAG001,RV.TAG001,GRAD.O.45")</f>
        <v>RV.TAG001,RV.TAG001,GRAD.O.45</v>
      </c>
      <c r="D30" s="32" t="s">
        <v>1033</v>
      </c>
      <c r="E30" s="32" t="s">
        <v>1033</v>
      </c>
      <c r="F30" s="32" t="s">
        <v>1033</v>
      </c>
      <c r="G30" s="32" t="s">
        <v>1033</v>
      </c>
      <c r="H30" s="32" t="s">
        <v>1033</v>
      </c>
      <c r="I30" s="32" t="s">
        <v>1033</v>
      </c>
    </row>
    <row r="31" ht="14.25" customHeight="1">
      <c r="A31" s="14" t="s">
        <v>1062</v>
      </c>
      <c r="B31" s="33" t="s">
        <v>165</v>
      </c>
      <c r="C31" s="31" t="str">
        <f>IFERROR(__xludf.DUMMYFUNCTION("JOIN("","",FILTER(Disciplinas!A:A, regexmatch(Disciplinas!C:C, B31)))"),"RV.TAG010,RV.TAG010,GRAD.IIA.02")</f>
        <v>RV.TAG010,RV.TAG010,GRAD.IIA.02</v>
      </c>
      <c r="D31" s="32" t="s">
        <v>1033</v>
      </c>
      <c r="E31" s="32" t="s">
        <v>1033</v>
      </c>
      <c r="F31" s="32" t="s">
        <v>1033</v>
      </c>
      <c r="G31" s="32" t="s">
        <v>1033</v>
      </c>
      <c r="H31" s="32" t="s">
        <v>1033</v>
      </c>
      <c r="I31" s="32" t="s">
        <v>1033</v>
      </c>
    </row>
    <row r="32" ht="14.25" customHeight="1">
      <c r="A32" s="14" t="s">
        <v>1063</v>
      </c>
      <c r="B32" s="33" t="s">
        <v>168</v>
      </c>
      <c r="C32" s="31" t="str">
        <f>IFERROR(__xludf.DUMMYFUNCTION("JOIN("","",FILTER(Disciplinas!A:A, regexmatch(Disciplinas!C:C, B32)))"),"RV.TAG011,RV.TAG011,GRAD.BL.01")</f>
        <v>RV.TAG011,RV.TAG011,GRAD.BL.01</v>
      </c>
      <c r="D32" s="32" t="s">
        <v>1033</v>
      </c>
      <c r="E32" s="32" t="s">
        <v>1033</v>
      </c>
      <c r="F32" s="32" t="s">
        <v>1033</v>
      </c>
      <c r="G32" s="32" t="s">
        <v>1033</v>
      </c>
      <c r="H32" s="32" t="s">
        <v>1033</v>
      </c>
      <c r="I32" s="32" t="s">
        <v>1033</v>
      </c>
    </row>
    <row r="33" ht="14.25" customHeight="1">
      <c r="A33" s="14" t="s">
        <v>1064</v>
      </c>
      <c r="B33" s="33" t="s">
        <v>171</v>
      </c>
      <c r="C33" s="31" t="str">
        <f>IFERROR(__xludf.DUMMYFUNCTION("JOIN("","",FILTER(Disciplinas!A:A, regexmatch(Disciplinas!C:C, B33)))"),"RV.TAG012,RV.TAG012,GRAD.GP.01,GRAD.FCS.01")</f>
        <v>RV.TAG012,RV.TAG012,GRAD.GP.01,GRAD.FCS.01</v>
      </c>
      <c r="D33" s="32" t="s">
        <v>1033</v>
      </c>
      <c r="E33" s="32" t="s">
        <v>1033</v>
      </c>
      <c r="F33" s="32" t="s">
        <v>1033</v>
      </c>
      <c r="G33" s="32" t="s">
        <v>1033</v>
      </c>
      <c r="H33" s="32" t="s">
        <v>1033</v>
      </c>
      <c r="I33" s="32" t="s">
        <v>1033</v>
      </c>
    </row>
    <row r="34" ht="14.25" customHeight="1">
      <c r="A34" s="14" t="s">
        <v>1065</v>
      </c>
      <c r="B34" s="33" t="s">
        <v>174</v>
      </c>
      <c r="C34" s="31" t="str">
        <f>IFERROR(__xludf.DUMMYFUNCTION("JOIN("","",FILTER(Disciplinas!A:A, regexmatch(Disciplinas!C:C, B34)))"),"RV.TAG506,RV.TAG506,GRAD.T.01,GRAD.T.02")</f>
        <v>RV.TAG506,RV.TAG506,GRAD.T.01,GRAD.T.02</v>
      </c>
      <c r="D34" s="32" t="s">
        <v>1033</v>
      </c>
      <c r="E34" s="32" t="s">
        <v>1033</v>
      </c>
      <c r="F34" s="32" t="s">
        <v>1033</v>
      </c>
      <c r="G34" s="32" t="s">
        <v>1033</v>
      </c>
      <c r="H34" s="32" t="s">
        <v>1033</v>
      </c>
      <c r="I34" s="32" t="s">
        <v>1033</v>
      </c>
    </row>
    <row r="35" ht="14.25" customHeight="1">
      <c r="A35" s="14" t="s">
        <v>1066</v>
      </c>
      <c r="B35" s="33" t="s">
        <v>177</v>
      </c>
      <c r="C35" s="31" t="str">
        <f>IFERROR(__xludf.DUMMYFUNCTION("JOIN("","",FILTER(Disciplinas!A:A, regexmatch(Disciplinas!C:C, B35)))"),"RV.TAG002,GRAD.CSFGAM.01")</f>
        <v>RV.TAG002,GRAD.CSFGAM.01</v>
      </c>
      <c r="D35" s="32" t="s">
        <v>1033</v>
      </c>
      <c r="E35" s="32" t="s">
        <v>1033</v>
      </c>
      <c r="F35" s="32" t="s">
        <v>1033</v>
      </c>
      <c r="G35" s="32" t="s">
        <v>1033</v>
      </c>
      <c r="H35" s="32" t="s">
        <v>1033</v>
      </c>
      <c r="I35" s="32" t="s">
        <v>1033</v>
      </c>
    </row>
    <row r="36" ht="14.25" customHeight="1">
      <c r="A36" s="14" t="s">
        <v>1067</v>
      </c>
      <c r="B36" s="33" t="s">
        <v>180</v>
      </c>
      <c r="C36" s="31" t="str">
        <f>IFERROR(__xludf.DUMMYFUNCTION("JOIN("","",FILTER(Disciplinas!A:A, regexmatch(Disciplinas!C:C, B36)))"),"GRAD.AA.01,GRAD.GMS.01,GRAD.EP.03")</f>
        <v>GRAD.AA.01,GRAD.GMS.01,GRAD.EP.03</v>
      </c>
      <c r="D36" s="32" t="s">
        <v>1033</v>
      </c>
      <c r="E36" s="32" t="s">
        <v>1033</v>
      </c>
      <c r="F36" s="32" t="s">
        <v>1033</v>
      </c>
      <c r="G36" s="32" t="s">
        <v>1033</v>
      </c>
      <c r="H36" s="32" t="s">
        <v>1033</v>
      </c>
      <c r="I36" s="32" t="s">
        <v>1033</v>
      </c>
    </row>
    <row r="37" ht="14.25" customHeight="1">
      <c r="A37" s="14" t="s">
        <v>1068</v>
      </c>
      <c r="B37" s="33" t="s">
        <v>184</v>
      </c>
      <c r="C37" s="31" t="str">
        <f>IFERROR(__xludf.DUMMYFUNCTION("JOIN("","",FILTER(Disciplinas!A:A, regexmatch(Disciplinas!C:C, B37)))"),"GRAD.AP.02,GRAD.FS.02")</f>
        <v>GRAD.AP.02,GRAD.FS.02</v>
      </c>
      <c r="D37" s="32" t="s">
        <v>1033</v>
      </c>
      <c r="E37" s="32" t="s">
        <v>1033</v>
      </c>
      <c r="F37" s="32" t="s">
        <v>1033</v>
      </c>
      <c r="G37" s="32" t="s">
        <v>1033</v>
      </c>
      <c r="H37" s="32" t="s">
        <v>1033</v>
      </c>
      <c r="I37" s="32" t="s">
        <v>1033</v>
      </c>
    </row>
    <row r="38" ht="14.25" customHeight="1">
      <c r="A38" s="14" t="s">
        <v>1069</v>
      </c>
      <c r="B38" s="33" t="s">
        <v>187</v>
      </c>
      <c r="C38" s="31" t="str">
        <f>IFERROR(__xludf.DUMMYFUNCTION("JOIN("","",FILTER(Disciplinas!A:A, regexmatch(Disciplinas!C:C, B38)))"),"GRAD.FLORIC.01,GRAD.AP.01,GRAD.EGP.02,RV.AGR239")</f>
        <v>GRAD.FLORIC.01,GRAD.AP.01,GRAD.EGP.02,RV.AGR239</v>
      </c>
      <c r="D38" s="32" t="s">
        <v>1033</v>
      </c>
      <c r="E38" s="32" t="s">
        <v>1033</v>
      </c>
      <c r="F38" s="32" t="s">
        <v>1033</v>
      </c>
      <c r="G38" s="32" t="s">
        <v>1033</v>
      </c>
      <c r="H38" s="32" t="s">
        <v>1033</v>
      </c>
      <c r="I38" s="32" t="s">
        <v>1033</v>
      </c>
    </row>
    <row r="39" ht="14.25" customHeight="1">
      <c r="A39" s="14" t="s">
        <v>1070</v>
      </c>
      <c r="B39" s="33" t="s">
        <v>192</v>
      </c>
      <c r="C39" s="31" t="str">
        <f>IFERROR(__xludf.DUMMYFUNCTION("JOIN("","",FILTER(Disciplinas!A:A, regexmatch(Disciplinas!C:C, B39)))"),"GRAD.BC.12,GRAD.BC.12,GRAD.B.49,CTBIOTRV.19")</f>
        <v>GRAD.BC.12,GRAD.BC.12,GRAD.B.49,CTBIOTRV.19</v>
      </c>
      <c r="D39" s="32" t="s">
        <v>1033</v>
      </c>
      <c r="E39" s="32" t="s">
        <v>1033</v>
      </c>
      <c r="F39" s="32" t="s">
        <v>1033</v>
      </c>
      <c r="G39" s="32" t="s">
        <v>1033</v>
      </c>
      <c r="H39" s="32" t="s">
        <v>1033</v>
      </c>
      <c r="I39" s="32" t="s">
        <v>1033</v>
      </c>
    </row>
    <row r="40" ht="14.25" customHeight="1">
      <c r="A40" s="14" t="s">
        <v>1071</v>
      </c>
      <c r="B40" s="33" t="s">
        <v>198</v>
      </c>
      <c r="C40" s="31" t="str">
        <f>IFERROR(__xludf.DUMMYFUNCTION("JOIN("","",FILTER(Disciplinas!A:A, regexmatch(Disciplinas!C:C, B40)))"),"GRAD.DT.01,GRAD.DT.01,RV.DTC001,RV.SE-II001,GRAD.DT.02,GRAD.DT.02")</f>
        <v>GRAD.DT.01,GRAD.DT.01,RV.DTC001,RV.SE-II001,GRAD.DT.02,GRAD.DT.02</v>
      </c>
      <c r="D40" s="32" t="s">
        <v>1033</v>
      </c>
      <c r="E40" s="32" t="s">
        <v>1033</v>
      </c>
      <c r="F40" s="32" t="s">
        <v>1033</v>
      </c>
      <c r="G40" s="32" t="s">
        <v>1033</v>
      </c>
      <c r="H40" s="32" t="s">
        <v>1033</v>
      </c>
      <c r="I40" s="32" t="s">
        <v>1033</v>
      </c>
    </row>
    <row r="41" ht="14.25" customHeight="1">
      <c r="A41" s="14" t="s">
        <v>1072</v>
      </c>
      <c r="B41" s="33" t="s">
        <v>201</v>
      </c>
      <c r="C41" s="31" t="str">
        <f>IFERROR(__xludf.DUMMYFUNCTION("JOIN("","",FILTER(Disciplinas!A:A, regexmatch(Disciplinas!C:C, B41)))"),"GRAD.EG.07,GRAD.EA.03,GRAD.ECOLOG.01,GRAD.SGAS.03,GRAD.EP.02,RV.BIO221")</f>
        <v>GRAD.EG.07,GRAD.EA.03,GRAD.ECOLOG.01,GRAD.SGAS.03,GRAD.EP.02,RV.BIO221</v>
      </c>
      <c r="D41" s="32" t="s">
        <v>1033</v>
      </c>
      <c r="E41" s="32" t="s">
        <v>1033</v>
      </c>
      <c r="F41" s="32" t="s">
        <v>1033</v>
      </c>
      <c r="G41" s="32" t="s">
        <v>1033</v>
      </c>
      <c r="H41" s="32" t="s">
        <v>1033</v>
      </c>
      <c r="I41" s="32" t="s">
        <v>1033</v>
      </c>
    </row>
    <row r="42" ht="14.25" customHeight="1">
      <c r="A42" s="14" t="s">
        <v>1073</v>
      </c>
      <c r="B42" s="33" t="s">
        <v>204</v>
      </c>
      <c r="C42" s="31" t="str">
        <f>IFERROR(__xludf.DUMMYFUNCTION("JOIN("","",FILTER(Disciplinas!A:A, regexmatch(Disciplinas!C:C, B42)))"),"GRAD.IA.07,GRAD.F.02")</f>
        <v>GRAD.IA.07,GRAD.F.02</v>
      </c>
      <c r="D42" s="32" t="s">
        <v>1033</v>
      </c>
      <c r="E42" s="32" t="s">
        <v>1033</v>
      </c>
      <c r="F42" s="32" t="s">
        <v>1033</v>
      </c>
      <c r="G42" s="32" t="s">
        <v>1033</v>
      </c>
      <c r="H42" s="32" t="s">
        <v>1033</v>
      </c>
      <c r="I42" s="32" t="s">
        <v>1033</v>
      </c>
    </row>
    <row r="43" ht="14.25" customHeight="1">
      <c r="A43" s="14" t="s">
        <v>1074</v>
      </c>
      <c r="B43" s="33" t="s">
        <v>207</v>
      </c>
      <c r="C43" s="31" t="str">
        <f>IFERROR(__xludf.DUMMYFUNCTION("JOIN("","",FILTER(Disciplinas!A:A, regexmatch(Disciplinas!C:C, B43)))"),"GRAD.MC.01,GRAD.F.32,GRAD.F.42,GRAD.MC.04")</f>
        <v>GRAD.MC.01,GRAD.F.32,GRAD.F.42,GRAD.MC.04</v>
      </c>
      <c r="D43" s="32" t="s">
        <v>1033</v>
      </c>
      <c r="E43" s="32" t="s">
        <v>1033</v>
      </c>
      <c r="F43" s="32" t="s">
        <v>1033</v>
      </c>
      <c r="G43" s="32" t="s">
        <v>1033</v>
      </c>
      <c r="H43" s="32" t="s">
        <v>1033</v>
      </c>
      <c r="I43" s="32" t="s">
        <v>1033</v>
      </c>
    </row>
    <row r="44" ht="14.25" customHeight="1">
      <c r="A44" s="14" t="s">
        <v>1075</v>
      </c>
      <c r="B44" s="33" t="s">
        <v>216</v>
      </c>
      <c r="C44" s="31" t="str">
        <f>IFERROR(__xludf.DUMMYFUNCTION("JOIN("","",FILTER(Disciplinas!A:A, regexmatch(Disciplinas!C:C, B44)))"),"GRAD.F.01,GRAD.FEE.01,GRAD.FMB.01,RV.PRO60,GRAD.FMB.01")</f>
        <v>GRAD.F.01,GRAD.FEE.01,GRAD.FMB.01,RV.PRO60,GRAD.FMB.01</v>
      </c>
      <c r="D44" s="32" t="s">
        <v>1033</v>
      </c>
      <c r="E44" s="32" t="s">
        <v>1033</v>
      </c>
      <c r="F44" s="32" t="s">
        <v>1033</v>
      </c>
      <c r="G44" s="32" t="s">
        <v>1033</v>
      </c>
      <c r="H44" s="32" t="s">
        <v>1033</v>
      </c>
      <c r="I44" s="32" t="s">
        <v>1033</v>
      </c>
    </row>
    <row r="45" ht="14.25" customHeight="1">
      <c r="A45" s="14" t="s">
        <v>1076</v>
      </c>
      <c r="B45" s="33" t="s">
        <v>221</v>
      </c>
      <c r="C45" s="31" t="str">
        <f>IFERROR(__xludf.DUMMYFUNCTION("JOIN("","",FILTER(Disciplinas!A:A, regexmatch(Disciplinas!C:C, B45)))"),"GRAD.M.01,GRAD.MA.1")</f>
        <v>GRAD.M.01,GRAD.MA.1</v>
      </c>
      <c r="D45" s="32" t="s">
        <v>1033</v>
      </c>
      <c r="E45" s="32" t="s">
        <v>1033</v>
      </c>
      <c r="F45" s="32" t="s">
        <v>1033</v>
      </c>
      <c r="G45" s="32" t="s">
        <v>1033</v>
      </c>
      <c r="H45" s="32" t="s">
        <v>1033</v>
      </c>
      <c r="I45" s="32" t="s">
        <v>1033</v>
      </c>
    </row>
    <row r="46" ht="14.25" customHeight="1">
      <c r="A46" s="14" t="s">
        <v>1077</v>
      </c>
      <c r="B46" s="33" t="s">
        <v>224</v>
      </c>
      <c r="C46" s="31" t="str">
        <f>IFERROR(__xludf.DUMMYFUNCTION("JOIN("","",FILTER(Disciplinas!A:A, regexmatch(Disciplinas!C:C, B46)))"),"GRAD.OSV.01,GRAD.MOV.02,GRAD.SV.01,GRAD.ILFFC.01")</f>
        <v>GRAD.OSV.01,GRAD.MOV.02,GRAD.SV.01,GRAD.ILFFC.01</v>
      </c>
      <c r="D46" s="32" t="s">
        <v>1033</v>
      </c>
      <c r="E46" s="32" t="s">
        <v>1033</v>
      </c>
      <c r="F46" s="32" t="s">
        <v>1033</v>
      </c>
      <c r="G46" s="32" t="s">
        <v>1033</v>
      </c>
      <c r="H46" s="32" t="s">
        <v>1033</v>
      </c>
      <c r="I46" s="32" t="s">
        <v>1033</v>
      </c>
    </row>
    <row r="47" ht="14.25" customHeight="1">
      <c r="A47" s="14" t="s">
        <v>1078</v>
      </c>
      <c r="B47" s="33" t="s">
        <v>227</v>
      </c>
      <c r="C47" s="31" t="str">
        <f>IFERROR(__xludf.DUMMYFUNCTION("JOIN("","",FILTER(Disciplinas!A:A, regexmatch(Disciplinas!C:C, B47)))"),"GRAD.QO.01,GRAD.PAQO.01")</f>
        <v>GRAD.QO.01,GRAD.PAQO.01</v>
      </c>
      <c r="D47" s="32" t="s">
        <v>1033</v>
      </c>
      <c r="E47" s="32" t="s">
        <v>1033</v>
      </c>
      <c r="F47" s="32" t="s">
        <v>1033</v>
      </c>
      <c r="G47" s="32" t="s">
        <v>1033</v>
      </c>
      <c r="H47" s="32" t="s">
        <v>1033</v>
      </c>
      <c r="I47" s="32" t="s">
        <v>1033</v>
      </c>
    </row>
    <row r="48" ht="14.25" customHeight="1">
      <c r="A48" s="14" t="s">
        <v>1079</v>
      </c>
      <c r="B48" s="33" t="s">
        <v>230</v>
      </c>
      <c r="C48" s="31" t="str">
        <f>IFERROR(__xludf.DUMMYFUNCTION("JOIN("","",FILTER(Disciplinas!A:A, regexmatch(Disciplinas!C:C, B48)))"),"GRAD.AV.1,GRAD.BC.02,GRAD.BC.02,GRAD.BC.02,GRAD.AM.01")</f>
        <v>GRAD.AV.1,GRAD.BC.02,GRAD.BC.02,GRAD.BC.02,GRAD.AM.01</v>
      </c>
      <c r="D48" s="32" t="s">
        <v>1033</v>
      </c>
      <c r="E48" s="32" t="s">
        <v>1033</v>
      </c>
      <c r="F48" s="32" t="s">
        <v>1033</v>
      </c>
      <c r="G48" s="32" t="s">
        <v>1033</v>
      </c>
      <c r="H48" s="32" t="s">
        <v>1033</v>
      </c>
      <c r="I48" s="32" t="s">
        <v>1033</v>
      </c>
    </row>
    <row r="49" ht="14.25" customHeight="1">
      <c r="A49" s="14" t="s">
        <v>1080</v>
      </c>
      <c r="B49" s="33" t="s">
        <v>234</v>
      </c>
      <c r="C49" s="31" t="str">
        <f>IFERROR(__xludf.DUMMYFUNCTION("JOIN("","",FILTER(Disciplinas!A:A, regexmatch(Disciplinas!C:C, B49)))"),"GRAD.EE.01")</f>
        <v>GRAD.EE.01</v>
      </c>
      <c r="D49" s="32" t="s">
        <v>1033</v>
      </c>
      <c r="E49" s="32" t="s">
        <v>1033</v>
      </c>
      <c r="F49" s="32" t="s">
        <v>1033</v>
      </c>
      <c r="G49" s="32" t="s">
        <v>1033</v>
      </c>
      <c r="H49" s="32" t="s">
        <v>1033</v>
      </c>
      <c r="I49" s="32" t="s">
        <v>1033</v>
      </c>
    </row>
    <row r="50" ht="14.25" customHeight="1">
      <c r="A50" s="14" t="s">
        <v>1081</v>
      </c>
      <c r="B50" s="33" t="s">
        <v>237</v>
      </c>
      <c r="C50" s="31" t="str">
        <f>IFERROR(__xludf.DUMMYFUNCTION("JOIN("","",FILTER(Disciplinas!A:A, regexmatch(Disciplinas!C:C, B50)))"),"GRAD.EG.05,GRAD.MC.02,GRAD.RC.03")</f>
        <v>GRAD.EG.05,GRAD.MC.02,GRAD.RC.03</v>
      </c>
      <c r="D50" s="32" t="s">
        <v>1033</v>
      </c>
      <c r="E50" s="32" t="s">
        <v>1033</v>
      </c>
      <c r="F50" s="32" t="s">
        <v>1033</v>
      </c>
      <c r="G50" s="32" t="s">
        <v>1033</v>
      </c>
      <c r="H50" s="32" t="s">
        <v>1033</v>
      </c>
      <c r="I50" s="32" t="s">
        <v>1033</v>
      </c>
    </row>
    <row r="51" ht="14.25" customHeight="1">
      <c r="A51" s="14" t="s">
        <v>1082</v>
      </c>
      <c r="B51" s="33" t="s">
        <v>240</v>
      </c>
      <c r="C51" s="31" t="str">
        <f>IFERROR(__xludf.DUMMYFUNCTION("JOIN("","",FILTER(Disciplinas!A:A, regexmatch(Disciplinas!C:C, B51)))"),"GRAD.FS.01,GRAD.CLS.01,GRAD.MCSA.01,GRAD.MCSA.03")</f>
        <v>GRAD.FS.01,GRAD.CLS.01,GRAD.MCSA.01,GRAD.MCSA.03</v>
      </c>
      <c r="D51" s="32" t="s">
        <v>1033</v>
      </c>
      <c r="E51" s="32" t="s">
        <v>1033</v>
      </c>
      <c r="F51" s="32" t="s">
        <v>1033</v>
      </c>
      <c r="G51" s="32" t="s">
        <v>1033</v>
      </c>
      <c r="H51" s="32" t="s">
        <v>1033</v>
      </c>
      <c r="I51" s="32" t="s">
        <v>1033</v>
      </c>
    </row>
    <row r="52" ht="14.25" customHeight="1">
      <c r="A52" s="14" t="s">
        <v>1083</v>
      </c>
      <c r="B52" s="33" t="s">
        <v>249</v>
      </c>
      <c r="C52" s="31" t="str">
        <f>IFERROR(__xludf.DUMMYFUNCTION("JOIN("","",FILTER(Disciplinas!A:A, regexmatch(Disciplinas!C:C, B52)))"),"GRAD.BB.01,GRAD.BIOQ.03,GRAD.ICB.01,GRAD.BIOQ.02,GRAD.ENQ.BIOQ.28,RV.QUI724")</f>
        <v>GRAD.BB.01,GRAD.BIOQ.03,GRAD.ICB.01,GRAD.BIOQ.02,GRAD.ENQ.BIOQ.28,RV.QUI724</v>
      </c>
      <c r="D52" s="32" t="s">
        <v>1033</v>
      </c>
      <c r="E52" s="32" t="s">
        <v>1033</v>
      </c>
      <c r="F52" s="32" t="s">
        <v>1033</v>
      </c>
      <c r="G52" s="32" t="s">
        <v>1033</v>
      </c>
      <c r="H52" s="32" t="s">
        <v>1033</v>
      </c>
      <c r="I52" s="32" t="s">
        <v>1033</v>
      </c>
    </row>
    <row r="53" ht="14.25" customHeight="1">
      <c r="A53" s="14" t="s">
        <v>1084</v>
      </c>
      <c r="B53" s="33" t="s">
        <v>255</v>
      </c>
      <c r="C53" s="31" t="str">
        <f>IFERROR(__xludf.DUMMYFUNCTION("JOIN("","",FILTER(Disciplinas!A:A, regexmatch(Disciplinas!C:C, B53)))"),"GRAD.EA.31")</f>
        <v>GRAD.EA.31</v>
      </c>
      <c r="D53" s="32" t="s">
        <v>1033</v>
      </c>
      <c r="E53" s="32" t="s">
        <v>1033</v>
      </c>
      <c r="F53" s="32" t="s">
        <v>1033</v>
      </c>
      <c r="G53" s="32" t="s">
        <v>1033</v>
      </c>
      <c r="H53" s="32" t="s">
        <v>1033</v>
      </c>
      <c r="I53" s="32" t="s">
        <v>1033</v>
      </c>
    </row>
    <row r="54" ht="14.25" customHeight="1">
      <c r="A54" s="14" t="s">
        <v>1085</v>
      </c>
      <c r="B54" s="33" t="s">
        <v>260</v>
      </c>
      <c r="C54" s="31" t="str">
        <f>IFERROR(__xludf.DUMMYFUNCTION("JOIN("","",FILTER(Disciplinas!A:A, regexmatch(Disciplinas!C:C, B54)))"),"GRAD.MMA.01,RV.ENG213,GRAD.MAA.01")</f>
        <v>GRAD.MMA.01,RV.ENG213,GRAD.MAA.01</v>
      </c>
      <c r="D54" s="32" t="s">
        <v>1033</v>
      </c>
      <c r="E54" s="32" t="s">
        <v>1033</v>
      </c>
      <c r="F54" s="32" t="s">
        <v>1033</v>
      </c>
      <c r="G54" s="32" t="s">
        <v>1033</v>
      </c>
      <c r="H54" s="32" t="s">
        <v>1033</v>
      </c>
      <c r="I54" s="32" t="s">
        <v>1033</v>
      </c>
    </row>
    <row r="55" ht="14.25" customHeight="1">
      <c r="A55" s="14" t="s">
        <v>1086</v>
      </c>
      <c r="B55" s="33" t="s">
        <v>270</v>
      </c>
      <c r="C55" s="31" t="str">
        <f>IFERROR(__xludf.DUMMYFUNCTION("JOIN("","",FILTER(Disciplinas!A:A, regexmatch(Disciplinas!C:C, B55)))"),"GRAD.FV.01,CTBIOTRV.18")</f>
        <v>GRAD.FV.01,CTBIOTRV.18</v>
      </c>
      <c r="D55" s="32" t="s">
        <v>1033</v>
      </c>
      <c r="E55" s="32" t="s">
        <v>1033</v>
      </c>
      <c r="F55" s="32" t="s">
        <v>1033</v>
      </c>
      <c r="G55" s="32" t="s">
        <v>1033</v>
      </c>
      <c r="H55" s="32" t="s">
        <v>1033</v>
      </c>
      <c r="I55" s="32" t="s">
        <v>1033</v>
      </c>
    </row>
    <row r="56" ht="14.25" customHeight="1">
      <c r="A56" s="14" t="s">
        <v>1087</v>
      </c>
      <c r="B56" s="33" t="s">
        <v>273</v>
      </c>
      <c r="C56" s="31" t="str">
        <f>IFERROR(__xludf.DUMMYFUNCTION("JOIN("","",FILTER(Disciplinas!A:A, regexmatch(Disciplinas!C:C, B56)))"),"GRAD.G.01,GRAD.PA.01,RV.GAM236")</f>
        <v>GRAD.G.01,GRAD.PA.01,RV.GAM236</v>
      </c>
      <c r="D56" s="32" t="s">
        <v>1033</v>
      </c>
      <c r="E56" s="32" t="s">
        <v>1033</v>
      </c>
      <c r="F56" s="32" t="s">
        <v>1033</v>
      </c>
      <c r="G56" s="32" t="s">
        <v>1033</v>
      </c>
      <c r="H56" s="32" t="s">
        <v>1033</v>
      </c>
      <c r="I56" s="32" t="s">
        <v>1033</v>
      </c>
    </row>
    <row r="57" ht="14.25" customHeight="1">
      <c r="A57" s="14" t="s">
        <v>1088</v>
      </c>
      <c r="B57" s="33" t="s">
        <v>276</v>
      </c>
      <c r="C57" s="31" t="str">
        <f>IFERROR(__xludf.DUMMYFUNCTION("JOIN("","",FILTER(Disciplinas!A:A, regexmatch(Disciplinas!C:C, B57)))"),"GRAD.G.02,GRAD.GENéT.02,GRAD.G.42")</f>
        <v>GRAD.G.02,GRAD.GENéT.02,GRAD.G.42</v>
      </c>
      <c r="D57" s="32" t="s">
        <v>1033</v>
      </c>
      <c r="E57" s="32" t="s">
        <v>1033</v>
      </c>
      <c r="F57" s="32" t="s">
        <v>1033</v>
      </c>
      <c r="G57" s="32" t="s">
        <v>1033</v>
      </c>
      <c r="H57" s="32" t="s">
        <v>1033</v>
      </c>
      <c r="I57" s="32" t="s">
        <v>1033</v>
      </c>
    </row>
    <row r="58" ht="14.25" customHeight="1">
      <c r="A58" s="14" t="s">
        <v>1089</v>
      </c>
      <c r="B58" s="33" t="s">
        <v>280</v>
      </c>
      <c r="C58" s="31" t="str">
        <f>IFERROR(__xludf.DUMMYFUNCTION("JOIN("","",FILTER(Disciplinas!A:A, regexmatch(Disciplinas!C:C, B58)))"),"GRAD.ZG.02")</f>
        <v>GRAD.ZG.02</v>
      </c>
      <c r="D58" s="32" t="s">
        <v>1033</v>
      </c>
      <c r="E58" s="32" t="s">
        <v>1033</v>
      </c>
      <c r="F58" s="32" t="s">
        <v>1033</v>
      </c>
      <c r="G58" s="32" t="s">
        <v>1033</v>
      </c>
      <c r="H58" s="32" t="s">
        <v>1033</v>
      </c>
      <c r="I58" s="32" t="s">
        <v>1033</v>
      </c>
    </row>
    <row r="59" ht="14.25" customHeight="1">
      <c r="A59" s="14" t="s">
        <v>1090</v>
      </c>
      <c r="B59" s="33" t="s">
        <v>286</v>
      </c>
      <c r="C59" s="31" t="str">
        <f>IFERROR(__xludf.DUMMYFUNCTION("JOIN("","",FILTER(Disciplinas!A:A, regexmatch(Disciplinas!C:C, B59)))"),"GRAD.CMCAST.01,RV.AGR238,GRAD.MC.02")</f>
        <v>GRAD.CMCAST.01,RV.AGR238,GRAD.MC.02</v>
      </c>
      <c r="D59" s="32" t="s">
        <v>1033</v>
      </c>
      <c r="E59" s="32" t="s">
        <v>1033</v>
      </c>
      <c r="F59" s="32" t="s">
        <v>1033</v>
      </c>
      <c r="G59" s="32" t="s">
        <v>1033</v>
      </c>
      <c r="H59" s="32" t="s">
        <v>1033</v>
      </c>
      <c r="I59" s="32" t="s">
        <v>1033</v>
      </c>
    </row>
    <row r="60" ht="14.25" customHeight="1">
      <c r="A60" s="14" t="s">
        <v>1091</v>
      </c>
      <c r="B60" s="33" t="s">
        <v>289</v>
      </c>
      <c r="C60" s="31" t="str">
        <f>IFERROR(__xludf.DUMMYFUNCTION("JOIN("","",FILTER(Disciplinas!A:A, regexmatch(Disciplinas!C:C, B60)))"),"GRAD.FP.01,GRAD.FORRAGICULT.01")</f>
        <v>GRAD.FP.01,GRAD.FORRAGICULT.01</v>
      </c>
      <c r="D60" s="32" t="s">
        <v>1033</v>
      </c>
      <c r="E60" s="32" t="s">
        <v>1033</v>
      </c>
      <c r="F60" s="32" t="s">
        <v>1033</v>
      </c>
      <c r="G60" s="32" t="s">
        <v>1033</v>
      </c>
      <c r="H60" s="32" t="s">
        <v>1033</v>
      </c>
      <c r="I60" s="32" t="s">
        <v>1033</v>
      </c>
    </row>
    <row r="61" ht="14.25" customHeight="1">
      <c r="A61" s="14" t="s">
        <v>1092</v>
      </c>
      <c r="B61" s="33" t="s">
        <v>294</v>
      </c>
      <c r="C61" s="31" t="str">
        <f>IFERROR(__xludf.DUMMYFUNCTION("JOIN("","",FILTER(Disciplinas!A:A, regexmatch(Disciplinas!C:C, B61)))"),"GRAD.PTS.01")</f>
        <v>GRAD.PTS.01</v>
      </c>
      <c r="D61" s="32" t="s">
        <v>1033</v>
      </c>
      <c r="E61" s="32" t="s">
        <v>1033</v>
      </c>
      <c r="F61" s="32" t="s">
        <v>1033</v>
      </c>
      <c r="G61" s="32" t="s">
        <v>1033</v>
      </c>
      <c r="H61" s="32" t="s">
        <v>1033</v>
      </c>
      <c r="I61" s="32" t="s">
        <v>1033</v>
      </c>
    </row>
    <row r="62" ht="14.25" customHeight="1">
      <c r="A62" s="14" t="s">
        <v>1093</v>
      </c>
      <c r="B62" s="33" t="s">
        <v>297</v>
      </c>
      <c r="C62" s="31" t="str">
        <f>IFERROR(__xludf.DUMMYFUNCTION("JOIN("","",FILTER(Disciplinas!A:A, regexmatch(Disciplinas!C:C, B62)))"),"GRAD.S.01,GRAD.EIA.01")</f>
        <v>GRAD.S.01,GRAD.EIA.01</v>
      </c>
      <c r="D62" s="32" t="s">
        <v>1033</v>
      </c>
      <c r="E62" s="32" t="s">
        <v>1033</v>
      </c>
      <c r="F62" s="32" t="s">
        <v>1033</v>
      </c>
      <c r="G62" s="32" t="s">
        <v>1033</v>
      </c>
      <c r="H62" s="32" t="s">
        <v>1033</v>
      </c>
      <c r="I62" s="32" t="s">
        <v>1033</v>
      </c>
    </row>
    <row r="63" ht="14.25" customHeight="1">
      <c r="A63" s="14" t="s">
        <v>1094</v>
      </c>
      <c r="B63" s="33" t="s">
        <v>309</v>
      </c>
      <c r="C63" s="31" t="str">
        <f>IFERROR(__xludf.DUMMYFUNCTION("JOIN("","",FILTER(Disciplinas!A:A, regexmatch(Disciplinas!C:C, B63)))"),"GRAD.FMPC.01,CTBIOTRV.18")</f>
        <v>GRAD.FMPC.01,CTBIOTRV.18</v>
      </c>
      <c r="D63" s="32" t="s">
        <v>1033</v>
      </c>
      <c r="E63" s="32" t="s">
        <v>1033</v>
      </c>
      <c r="F63" s="32" t="s">
        <v>1033</v>
      </c>
      <c r="G63" s="32" t="s">
        <v>1033</v>
      </c>
      <c r="H63" s="32" t="s">
        <v>1033</v>
      </c>
      <c r="I63" s="32" t="s">
        <v>1033</v>
      </c>
    </row>
    <row r="64" ht="14.25" customHeight="1">
      <c r="A64" s="14" t="s">
        <v>1095</v>
      </c>
      <c r="B64" s="33" t="s">
        <v>312</v>
      </c>
      <c r="C64" s="31" t="str">
        <f>IFERROR(__xludf.DUMMYFUNCTION("JOIN("","",FILTER(Disciplinas!A:A, regexmatch(Disciplinas!C:C, B64)))"),"GRAD.PPR.01,CTBIOTRV.20")</f>
        <v>GRAD.PPR.01,CTBIOTRV.20</v>
      </c>
      <c r="D64" s="32" t="s">
        <v>1033</v>
      </c>
      <c r="E64" s="32" t="s">
        <v>1033</v>
      </c>
      <c r="F64" s="32" t="s">
        <v>1033</v>
      </c>
      <c r="G64" s="32" t="s">
        <v>1033</v>
      </c>
      <c r="H64" s="32" t="s">
        <v>1033</v>
      </c>
      <c r="I64" s="32" t="s">
        <v>1033</v>
      </c>
    </row>
    <row r="65" ht="14.25" customHeight="1">
      <c r="A65" s="14" t="s">
        <v>1096</v>
      </c>
      <c r="B65" s="33" t="s">
        <v>315</v>
      </c>
      <c r="C65" s="31" t="str">
        <f>IFERROR(__xludf.DUMMYFUNCTION("JOIN("","",FILTER(Disciplinas!A:A, regexmatch(Disciplinas!C:C, B65)))"),"GRAD.SAG.01")</f>
        <v>GRAD.SAG.01</v>
      </c>
      <c r="D65" s="32" t="s">
        <v>1033</v>
      </c>
      <c r="E65" s="32" t="s">
        <v>1033</v>
      </c>
      <c r="F65" s="32" t="s">
        <v>1033</v>
      </c>
      <c r="G65" s="32" t="s">
        <v>1033</v>
      </c>
      <c r="H65" s="32" t="s">
        <v>1033</v>
      </c>
      <c r="I65" s="32" t="s">
        <v>1033</v>
      </c>
    </row>
    <row r="66" ht="14.25" customHeight="1">
      <c r="A66" s="14" t="s">
        <v>1097</v>
      </c>
      <c r="B66" s="33" t="s">
        <v>320</v>
      </c>
      <c r="C66" s="31" t="str">
        <f>IFERROR(__xludf.DUMMYFUNCTION("JOIN("","",FILTER(Disciplinas!A:A, regexmatch(Disciplinas!C:C, B66)))"),"RV.BIO256,GRAD.EMBRIOL.01,GRAD.EMBRIOL.01,GRAD.EVOLUç.01")</f>
        <v>RV.BIO256,GRAD.EMBRIOL.01,GRAD.EMBRIOL.01,GRAD.EVOLUç.01</v>
      </c>
      <c r="D66" s="32" t="s">
        <v>1033</v>
      </c>
      <c r="E66" s="32" t="s">
        <v>1033</v>
      </c>
      <c r="F66" s="32" t="s">
        <v>1033</v>
      </c>
      <c r="G66" s="32" t="s">
        <v>1033</v>
      </c>
      <c r="H66" s="32" t="s">
        <v>1033</v>
      </c>
      <c r="I66" s="32" t="s">
        <v>1033</v>
      </c>
    </row>
    <row r="67" ht="14.25" customHeight="1">
      <c r="A67" s="14" t="s">
        <v>1098</v>
      </c>
      <c r="B67" s="33" t="s">
        <v>332</v>
      </c>
      <c r="C67" s="31" t="str">
        <f>IFERROR(__xludf.DUMMYFUNCTION("JOIN("","",FILTER(Disciplinas!A:A, regexmatch(Disciplinas!C:C, B67)))"),"RV.ZOO230,GRAD.HPA.01")</f>
        <v>RV.ZOO230,GRAD.HPA.01</v>
      </c>
      <c r="D67" s="32" t="s">
        <v>1033</v>
      </c>
      <c r="E67" s="32" t="s">
        <v>1033</v>
      </c>
      <c r="F67" s="32" t="s">
        <v>1033</v>
      </c>
      <c r="G67" s="32" t="s">
        <v>1033</v>
      </c>
      <c r="H67" s="32" t="s">
        <v>1033</v>
      </c>
      <c r="I67" s="32" t="s">
        <v>1033</v>
      </c>
    </row>
    <row r="68" ht="14.25" customHeight="1">
      <c r="A68" s="14" t="s">
        <v>1099</v>
      </c>
      <c r="B68" s="33" t="s">
        <v>341</v>
      </c>
      <c r="C68" s="31" t="str">
        <f>IFERROR(__xludf.DUMMYFUNCTION("JOIN("","",FILTER(Disciplinas!A:A, regexmatch(Disciplinas!C:C, B68)))"),"RV.EXA722,RV.MAP001,RV.EXA722,GRAD.FC.02")</f>
        <v>RV.EXA722,RV.MAP001,RV.EXA722,GRAD.FC.02</v>
      </c>
      <c r="D68" s="32" t="s">
        <v>1033</v>
      </c>
      <c r="E68" s="32" t="s">
        <v>1033</v>
      </c>
      <c r="F68" s="32" t="s">
        <v>1033</v>
      </c>
      <c r="G68" s="32" t="s">
        <v>1033</v>
      </c>
      <c r="H68" s="32" t="s">
        <v>1033</v>
      </c>
      <c r="I68" s="32" t="s">
        <v>1033</v>
      </c>
    </row>
    <row r="69" ht="14.25" customHeight="1">
      <c r="A69" s="14" t="s">
        <v>1100</v>
      </c>
      <c r="B69" s="33" t="s">
        <v>347</v>
      </c>
      <c r="C69" s="31" t="str">
        <f>IFERROR(__xludf.DUMMYFUNCTION("JOIN("","",FILTER(Disciplinas!A:A, regexmatch(Disciplinas!C:C, B69)))"),"RV.TAL06,RV.TAL08,RV.TAL81,RV.TAL85,GRAD.CGQ.01")</f>
        <v>RV.TAL06,RV.TAL08,RV.TAL81,RV.TAL85,GRAD.CGQ.01</v>
      </c>
      <c r="D69" s="32" t="s">
        <v>1033</v>
      </c>
      <c r="E69" s="32" t="s">
        <v>1033</v>
      </c>
      <c r="F69" s="32" t="s">
        <v>1033</v>
      </c>
      <c r="G69" s="32" t="s">
        <v>1033</v>
      </c>
      <c r="H69" s="32" t="s">
        <v>1033</v>
      </c>
      <c r="I69" s="32" t="s">
        <v>1033</v>
      </c>
    </row>
    <row r="70" ht="14.25" customHeight="1">
      <c r="A70" s="14" t="s">
        <v>1101</v>
      </c>
      <c r="B70" s="33" t="s">
        <v>350</v>
      </c>
      <c r="C70" s="31" t="str">
        <f>IFERROR(__xludf.DUMMYFUNCTION("JOIN("","",FILTER(Disciplinas!A:A, regexmatch(Disciplinas!C:C, B70)))"),"RV.TAL07,RV.TAL02,GRAD.AA.02")</f>
        <v>RV.TAL07,RV.TAL02,GRAD.AA.02</v>
      </c>
      <c r="D70" s="32" t="s">
        <v>1033</v>
      </c>
      <c r="E70" s="32" t="s">
        <v>1033</v>
      </c>
      <c r="F70" s="32" t="s">
        <v>1033</v>
      </c>
      <c r="G70" s="32" t="s">
        <v>1033</v>
      </c>
      <c r="H70" s="32" t="s">
        <v>1033</v>
      </c>
      <c r="I70" s="32" t="s">
        <v>1033</v>
      </c>
    </row>
    <row r="71" ht="14.25" customHeight="1">
      <c r="A71" s="14" t="s">
        <v>1102</v>
      </c>
      <c r="B71" s="33" t="s">
        <v>359</v>
      </c>
      <c r="C71" s="31" t="str">
        <f>IFERROR(__xludf.DUMMYFUNCTION("JOIN("","",FILTER(Disciplinas!A:A, regexmatch(Disciplinas!C:C, B71)))"),"RV.TAL02")</f>
        <v>RV.TAL02</v>
      </c>
      <c r="D71" s="32" t="s">
        <v>1033</v>
      </c>
      <c r="E71" s="32" t="s">
        <v>1033</v>
      </c>
      <c r="F71" s="32" t="s">
        <v>1033</v>
      </c>
      <c r="G71" s="32" t="s">
        <v>1033</v>
      </c>
      <c r="H71" s="32" t="s">
        <v>1033</v>
      </c>
      <c r="I71" s="32" t="s">
        <v>1033</v>
      </c>
    </row>
    <row r="72" ht="14.25" customHeight="1">
      <c r="A72" s="14" t="s">
        <v>1103</v>
      </c>
      <c r="B72" s="33" t="s">
        <v>363</v>
      </c>
      <c r="C72" s="31" t="str">
        <f>IFERROR(__xludf.DUMMYFUNCTION("JOIN("","",FILTER(Disciplinas!A:A, regexmatch(Disciplinas!C:C, B72)))"),"RV.TAL03,GRAD.NB.01,GRAD.TCPD.01,GRAD.DNP.01")</f>
        <v>RV.TAL03,GRAD.NB.01,GRAD.TCPD.01,GRAD.DNP.01</v>
      </c>
      <c r="D72" s="32" t="s">
        <v>1033</v>
      </c>
      <c r="E72" s="32" t="s">
        <v>1033</v>
      </c>
      <c r="F72" s="32" t="s">
        <v>1033</v>
      </c>
      <c r="G72" s="32" t="s">
        <v>1033</v>
      </c>
      <c r="H72" s="32" t="s">
        <v>1033</v>
      </c>
      <c r="I72" s="32" t="s">
        <v>1033</v>
      </c>
    </row>
    <row r="73" ht="14.25" customHeight="1">
      <c r="A73" s="14" t="s">
        <v>1104</v>
      </c>
      <c r="B73" s="33" t="s">
        <v>366</v>
      </c>
      <c r="C73" s="31" t="str">
        <f>IFERROR(__xludf.DUMMYFUNCTION("JOIN("","",FILTER(Disciplinas!A:A, regexmatch(Disciplinas!C:C, B73)))"),"RV.TAL727,GRAD.OU.01,GRAD.PI.01")</f>
        <v>RV.TAL727,GRAD.OU.01,GRAD.PI.01</v>
      </c>
      <c r="D73" s="32" t="s">
        <v>1033</v>
      </c>
      <c r="E73" s="32" t="s">
        <v>1033</v>
      </c>
      <c r="F73" s="32" t="s">
        <v>1033</v>
      </c>
      <c r="G73" s="32" t="s">
        <v>1033</v>
      </c>
      <c r="H73" s="32" t="s">
        <v>1033</v>
      </c>
      <c r="I73" s="32" t="s">
        <v>1033</v>
      </c>
    </row>
    <row r="74" ht="14.25" customHeight="1">
      <c r="A74" s="14" t="s">
        <v>1105</v>
      </c>
      <c r="B74" s="33" t="s">
        <v>371</v>
      </c>
      <c r="C74" s="31" t="str">
        <f>IFERROR(__xludf.DUMMYFUNCTION("JOIN("","",FILTER(Disciplinas!A:A, regexmatch(Disciplinas!C:C, B74)))"),"RV.TAL87,GRAD.TCAD.01,GRAD.AEA.01,CTBIOTRV.5")</f>
        <v>RV.TAL87,GRAD.TCAD.01,GRAD.AEA.01,CTBIOTRV.5</v>
      </c>
      <c r="D74" s="32" t="s">
        <v>1033</v>
      </c>
      <c r="E74" s="32" t="s">
        <v>1033</v>
      </c>
      <c r="F74" s="32" t="s">
        <v>1033</v>
      </c>
      <c r="G74" s="32" t="s">
        <v>1033</v>
      </c>
      <c r="H74" s="32" t="s">
        <v>1033</v>
      </c>
      <c r="I74" s="32" t="s">
        <v>1033</v>
      </c>
    </row>
    <row r="75" ht="14.25" customHeight="1">
      <c r="A75" s="14" t="s">
        <v>1106</v>
      </c>
      <c r="B75" s="33" t="s">
        <v>373</v>
      </c>
      <c r="C75" s="31" t="str">
        <f>IFERROR(__xludf.DUMMYFUNCTION("JOIN("","",FILTER(Disciplinas!A:A, regexmatch(Disciplinas!C:C, B75)))"),"GRAD.BC.02,GRAD.BC.02,GRAD.AV.01,GRAD.BC.02")</f>
        <v>GRAD.BC.02,GRAD.BC.02,GRAD.AV.01,GRAD.BC.02</v>
      </c>
      <c r="D75" s="32" t="s">
        <v>1033</v>
      </c>
      <c r="E75" s="32" t="s">
        <v>1033</v>
      </c>
      <c r="F75" s="32" t="s">
        <v>1033</v>
      </c>
      <c r="G75" s="32" t="s">
        <v>1033</v>
      </c>
      <c r="H75" s="32" t="s">
        <v>1033</v>
      </c>
      <c r="I75" s="32" t="s">
        <v>1033</v>
      </c>
    </row>
    <row r="76" ht="14.25" customHeight="1">
      <c r="A76" s="14" t="s">
        <v>1107</v>
      </c>
      <c r="B76" s="33" t="s">
        <v>377</v>
      </c>
      <c r="C76" s="31" t="str">
        <f>IFERROR(__xludf.DUMMYFUNCTION("JOIN("","",FILTER(Disciplinas!A:A, regexmatch(Disciplinas!C:C, B76)))"),"RV.TAL02,GRAD.IEA.01,GRAD.MA.03")</f>
        <v>RV.TAL02,GRAD.IEA.01,GRAD.MA.03</v>
      </c>
      <c r="D76" s="32" t="s">
        <v>1033</v>
      </c>
      <c r="E76" s="32" t="s">
        <v>1033</v>
      </c>
      <c r="F76" s="32" t="s">
        <v>1033</v>
      </c>
      <c r="G76" s="32" t="s">
        <v>1033</v>
      </c>
      <c r="H76" s="32" t="s">
        <v>1033</v>
      </c>
      <c r="I76" s="32" t="s">
        <v>1033</v>
      </c>
    </row>
    <row r="77" ht="14.25" customHeight="1">
      <c r="A77" s="14" t="s">
        <v>1108</v>
      </c>
      <c r="B77" s="33" t="s">
        <v>385</v>
      </c>
      <c r="C77" s="31" t="str">
        <f>IFERROR(__xludf.DUMMYFUNCTION("JOIN("","",FILTER(Disciplinas!A:A, regexmatch(Disciplinas!C:C, B77)))"),"GRAD.EE.02,RV.ZOO219,GRAD.AQUICULT.01")</f>
        <v>GRAD.EE.02,RV.ZOO219,GRAD.AQUICULT.01</v>
      </c>
      <c r="D77" s="32" t="s">
        <v>1033</v>
      </c>
      <c r="E77" s="32" t="s">
        <v>1033</v>
      </c>
      <c r="F77" s="32" t="s">
        <v>1033</v>
      </c>
      <c r="G77" s="32" t="s">
        <v>1033</v>
      </c>
      <c r="H77" s="32" t="s">
        <v>1033</v>
      </c>
      <c r="I77" s="32" t="s">
        <v>1033</v>
      </c>
    </row>
    <row r="78" ht="14.25" customHeight="1">
      <c r="A78" s="14" t="s">
        <v>1109</v>
      </c>
      <c r="B78" s="33" t="s">
        <v>390</v>
      </c>
      <c r="C78" s="31" t="str">
        <f>IFERROR(__xludf.DUMMYFUNCTION("JOIN("","",FILTER(Disciplinas!A:A, regexmatch(Disciplinas!C:C, B78)))"),"GRAD.FQ.01,GRAD.ENQ.FQ-II.31,GRAD.FQ-III.01")</f>
        <v>GRAD.FQ.01,GRAD.ENQ.FQ-II.31,GRAD.FQ-III.01</v>
      </c>
      <c r="D78" s="32" t="s">
        <v>1033</v>
      </c>
      <c r="E78" s="32" t="s">
        <v>1033</v>
      </c>
      <c r="F78" s="32" t="s">
        <v>1033</v>
      </c>
      <c r="G78" s="32" t="s">
        <v>1033</v>
      </c>
      <c r="H78" s="32" t="s">
        <v>1033</v>
      </c>
      <c r="I78" s="32" t="s">
        <v>1033</v>
      </c>
    </row>
    <row r="79" ht="14.25" customHeight="1">
      <c r="A79" s="14" t="s">
        <v>1110</v>
      </c>
      <c r="B79" s="33" t="s">
        <v>393</v>
      </c>
      <c r="C79" s="31" t="str">
        <f>IFERROR(__xludf.DUMMYFUNCTION("JOIN("","",FILTER(Disciplinas!A:A, regexmatch(Disciplinas!C:C, B79)))"),"GRAD.IOE.01,GRAD.ENQ.IEQ.07,GRAD.ENQ.IOE.18,CTSTRARV.41")</f>
        <v>GRAD.IOE.01,GRAD.ENQ.IEQ.07,GRAD.ENQ.IOE.18,CTSTRARV.41</v>
      </c>
      <c r="D79" s="32" t="s">
        <v>1033</v>
      </c>
      <c r="E79" s="32" t="s">
        <v>1033</v>
      </c>
      <c r="F79" s="32" t="s">
        <v>1033</v>
      </c>
      <c r="G79" s="32" t="s">
        <v>1033</v>
      </c>
      <c r="H79" s="32" t="s">
        <v>1033</v>
      </c>
      <c r="I79" s="32" t="s">
        <v>1033</v>
      </c>
    </row>
    <row r="80" ht="14.25" customHeight="1">
      <c r="A80" s="14" t="s">
        <v>1111</v>
      </c>
      <c r="B80" s="33" t="s">
        <v>396</v>
      </c>
      <c r="C80" s="31" t="str">
        <f>IFERROR(__xludf.DUMMYFUNCTION("JOIN("","",FILTER(Disciplinas!A:A, regexmatch(Disciplinas!C:C, B80)))"),"GRAD.SEDO.02,GRAD.SED.01,GRAD.CDI.03,GRAD.CN.01")</f>
        <v>GRAD.SEDO.02,GRAD.SED.01,GRAD.CDI.03,GRAD.CN.01</v>
      </c>
      <c r="D80" s="32" t="s">
        <v>1033</v>
      </c>
      <c r="E80" s="32" t="s">
        <v>1033</v>
      </c>
      <c r="F80" s="32" t="s">
        <v>1033</v>
      </c>
      <c r="G80" s="32" t="s">
        <v>1033</v>
      </c>
      <c r="H80" s="32" t="s">
        <v>1033</v>
      </c>
      <c r="I80" s="32" t="s">
        <v>1033</v>
      </c>
    </row>
    <row r="81" ht="14.25" customHeight="1">
      <c r="A81" s="14" t="s">
        <v>1112</v>
      </c>
      <c r="B81" s="33" t="s">
        <v>402</v>
      </c>
      <c r="C81" s="31" t="str">
        <f>IFERROR(__xludf.DUMMYFUNCTION("JOIN("","",FILTER(Disciplinas!A:A, regexmatch(Disciplinas!C:C, B81)))"),"GRAD.FT.02,GRAD.RIA.01,GRAD.ENQ.FT-II.30")</f>
        <v>GRAD.FT.02,GRAD.RIA.01,GRAD.ENQ.FT-II.30</v>
      </c>
      <c r="D81" s="32" t="s">
        <v>1033</v>
      </c>
      <c r="E81" s="32" t="s">
        <v>1033</v>
      </c>
      <c r="F81" s="32" t="s">
        <v>1033</v>
      </c>
      <c r="G81" s="32" t="s">
        <v>1033</v>
      </c>
      <c r="H81" s="32" t="s">
        <v>1033</v>
      </c>
      <c r="I81" s="32" t="s">
        <v>1033</v>
      </c>
    </row>
    <row r="82" ht="14.25" customHeight="1">
      <c r="A82" s="14" t="s">
        <v>1113</v>
      </c>
      <c r="B82" s="33" t="s">
        <v>407</v>
      </c>
      <c r="C82" s="31" t="str">
        <f>IFERROR(__xludf.DUMMYFUNCTION("JOIN("","",FILTER(Disciplinas!A:A, regexmatch(Disciplinas!C:C, B82)))"),"GRAD.MS.01,GRAD.TERMODINAM.01,GRAD.ENQ.TERM-I.29")</f>
        <v>GRAD.MS.01,GRAD.TERMODINAM.01,GRAD.ENQ.TERM-I.29</v>
      </c>
      <c r="D82" s="32" t="s">
        <v>1033</v>
      </c>
      <c r="E82" s="32" t="s">
        <v>1033</v>
      </c>
      <c r="F82" s="32" t="s">
        <v>1033</v>
      </c>
      <c r="G82" s="32" t="s">
        <v>1033</v>
      </c>
      <c r="H82" s="32" t="s">
        <v>1033</v>
      </c>
      <c r="I82" s="32" t="s">
        <v>1033</v>
      </c>
    </row>
    <row r="83" ht="14.25" customHeight="1">
      <c r="A83" s="14" t="s">
        <v>1114</v>
      </c>
      <c r="B83" s="33" t="s">
        <v>427</v>
      </c>
      <c r="C83" s="31" t="str">
        <f>IFERROR(__xludf.DUMMYFUNCTION("JOIN("","",FILTER(Disciplinas!A:A, regexmatch(Disciplinas!C:C, B83)))"),"GRAD.EP.01,GRAD.TOGS.01")</f>
        <v>GRAD.EP.01,GRAD.TOGS.01</v>
      </c>
      <c r="D83" s="32" t="s">
        <v>1033</v>
      </c>
      <c r="E83" s="32" t="s">
        <v>1033</v>
      </c>
      <c r="F83" s="32" t="s">
        <v>1033</v>
      </c>
      <c r="G83" s="32" t="s">
        <v>1033</v>
      </c>
      <c r="H83" s="32" t="s">
        <v>1033</v>
      </c>
      <c r="I83" s="32" t="s">
        <v>1033</v>
      </c>
    </row>
    <row r="84" ht="14.25" customHeight="1">
      <c r="A84" s="14" t="s">
        <v>1115</v>
      </c>
      <c r="B84" s="33" t="s">
        <v>434</v>
      </c>
      <c r="C84" s="31" t="str">
        <f>IFERROR(__xludf.DUMMYFUNCTION("JOIN("","",FILTER(Disciplinas!A:A, regexmatch(Disciplinas!C:C, B84)))"),"GRAD.TRI.01,GRAD.LA.02,GRAD.TAR-I.01,GRAD.TCAA.01,GRAD.POLAGU.01,GRAD.PSA.01")</f>
        <v>GRAD.TRI.01,GRAD.LA.02,GRAD.TAR-I.01,GRAD.TCAA.01,GRAD.POLAGU.01,GRAD.PSA.01</v>
      </c>
      <c r="D84" s="32" t="s">
        <v>1033</v>
      </c>
      <c r="E84" s="32" t="s">
        <v>1033</v>
      </c>
      <c r="F84" s="32" t="s">
        <v>1033</v>
      </c>
      <c r="G84" s="32" t="s">
        <v>1033</v>
      </c>
      <c r="H84" s="32" t="s">
        <v>1033</v>
      </c>
      <c r="I84" s="32" t="s">
        <v>1033</v>
      </c>
    </row>
    <row r="85" ht="14.25" customHeight="1">
      <c r="A85" s="14" t="s">
        <v>1116</v>
      </c>
      <c r="B85" s="33" t="s">
        <v>436</v>
      </c>
      <c r="C85" s="31" t="str">
        <f>IFERROR(__xludf.DUMMYFUNCTION("JOIN("","",FILTER(Disciplinas!A:A, regexmatch(Disciplinas!C:C, B85)))"),"GRAD.QO.02,GRAD.ENQ.QO-I.14,GRAD.QOE.01,GRAD.QO-II.01")</f>
        <v>GRAD.QO.02,GRAD.ENQ.QO-I.14,GRAD.QOE.01,GRAD.QO-II.01</v>
      </c>
      <c r="D85" s="32" t="s">
        <v>1033</v>
      </c>
      <c r="E85" s="32" t="s">
        <v>1033</v>
      </c>
      <c r="F85" s="32" t="s">
        <v>1033</v>
      </c>
      <c r="G85" s="32" t="s">
        <v>1033</v>
      </c>
      <c r="H85" s="32" t="s">
        <v>1033</v>
      </c>
      <c r="I85" s="32" t="s">
        <v>1033</v>
      </c>
    </row>
    <row r="86" ht="14.25" customHeight="1">
      <c r="A86" s="14" t="s">
        <v>1117</v>
      </c>
      <c r="B86" s="33" t="s">
        <v>441</v>
      </c>
      <c r="C86" s="31" t="str">
        <f>IFERROR(__xludf.DUMMYFUNCTION("JOIN("","",FILTER(Disciplinas!A:A, regexmatch(Disciplinas!C:C, B86)))"),"GRAD.FC.02,GRAD.FC.02,GRAD.GAAL.01,GRAD.ENQ.GAAL.06,CTSTRARV.50")</f>
        <v>GRAD.FC.02,GRAD.FC.02,GRAD.GAAL.01,GRAD.ENQ.GAAL.06,CTSTRARV.50</v>
      </c>
      <c r="D86" s="32" t="s">
        <v>1033</v>
      </c>
      <c r="E86" s="32" t="s">
        <v>1033</v>
      </c>
      <c r="F86" s="32" t="s">
        <v>1033</v>
      </c>
      <c r="G86" s="32" t="s">
        <v>1033</v>
      </c>
      <c r="H86" s="32" t="s">
        <v>1033</v>
      </c>
      <c r="I86" s="32" t="s">
        <v>1033</v>
      </c>
    </row>
    <row r="87" ht="14.25" customHeight="1">
      <c r="A87" s="14" t="s">
        <v>1118</v>
      </c>
      <c r="B87" s="33" t="s">
        <v>444</v>
      </c>
      <c r="C87" s="31" t="str">
        <f>IFERROR(__xludf.DUMMYFUNCTION("JOIN("","",FILTER(Disciplinas!A:A, regexmatch(Disciplinas!C:C, B87)))"),"GRAD.FF.02,GRAD.FF.01,GRAD.FE.01,GRAD.FíSICA I.01,GRAD.ENQ.FE.05,GRAD.ENQ.FIS-I.04")</f>
        <v>GRAD.FF.02,GRAD.FF.01,GRAD.FE.01,GRAD.FíSICA I.01,GRAD.ENQ.FE.05,GRAD.ENQ.FIS-I.04</v>
      </c>
      <c r="D87" s="32" t="s">
        <v>1033</v>
      </c>
      <c r="E87" s="32" t="s">
        <v>1033</v>
      </c>
      <c r="F87" s="32" t="s">
        <v>1033</v>
      </c>
      <c r="G87" s="32" t="s">
        <v>1033</v>
      </c>
      <c r="H87" s="32" t="s">
        <v>1033</v>
      </c>
      <c r="I87" s="32" t="s">
        <v>1033</v>
      </c>
    </row>
    <row r="88" ht="14.25" customHeight="1">
      <c r="A88" s="14" t="s">
        <v>1119</v>
      </c>
      <c r="B88" s="33" t="s">
        <v>447</v>
      </c>
      <c r="C88" s="31" t="str">
        <f>IFERROR(__xludf.DUMMYFUNCTION("JOIN("","",FILTER(Disciplinas!A:A, regexmatch(Disciplinas!C:C, B88)))"),"GRAD.FFE.01,GRAD.PE-II.01,GRAD.FFE.01")</f>
        <v>GRAD.FFE.01,GRAD.PE-II.01,GRAD.FFE.01</v>
      </c>
      <c r="D88" s="32" t="s">
        <v>1033</v>
      </c>
      <c r="E88" s="32" t="s">
        <v>1033</v>
      </c>
      <c r="F88" s="32" t="s">
        <v>1033</v>
      </c>
      <c r="G88" s="32" t="s">
        <v>1033</v>
      </c>
      <c r="H88" s="32" t="s">
        <v>1033</v>
      </c>
      <c r="I88" s="32" t="s">
        <v>1033</v>
      </c>
    </row>
    <row r="89" ht="14.25" customHeight="1">
      <c r="A89" s="14" t="s">
        <v>1120</v>
      </c>
      <c r="B89" s="33" t="s">
        <v>448</v>
      </c>
      <c r="C89" s="31" t="str">
        <f>IFERROR(__xludf.DUMMYFUNCTION("JOIN("","",FILTER(Disciplinas!A:A, regexmatch(Disciplinas!C:C, B89)))"),"GRAD.MC.02,RV.IMP001,GRAD.MC.02")</f>
        <v>GRAD.MC.02,RV.IMP001,GRAD.MC.02</v>
      </c>
      <c r="D89" s="32" t="s">
        <v>1033</v>
      </c>
      <c r="E89" s="32" t="s">
        <v>1033</v>
      </c>
      <c r="F89" s="32" t="s">
        <v>1033</v>
      </c>
      <c r="G89" s="32" t="s">
        <v>1033</v>
      </c>
      <c r="H89" s="32" t="s">
        <v>1033</v>
      </c>
      <c r="I89" s="32" t="s">
        <v>1033</v>
      </c>
    </row>
    <row r="90" ht="14.25" customHeight="1">
      <c r="A90" s="14" t="s">
        <v>1121</v>
      </c>
      <c r="B90" s="33" t="s">
        <v>449</v>
      </c>
      <c r="C90" s="31" t="str">
        <f>IFERROR(__xludf.DUMMYFUNCTION("JOIN("","",FILTER(Disciplinas!A:A, regexmatch(Disciplinas!C:C, B90)))"),"GRAD.QGA.01,GRAD.QGA.01")</f>
        <v>GRAD.QGA.01,GRAD.QGA.01</v>
      </c>
      <c r="D90" s="32" t="s">
        <v>1033</v>
      </c>
      <c r="E90" s="32" t="s">
        <v>1033</v>
      </c>
      <c r="F90" s="32" t="s">
        <v>1033</v>
      </c>
      <c r="G90" s="32" t="s">
        <v>1033</v>
      </c>
      <c r="H90" s="32" t="s">
        <v>1033</v>
      </c>
      <c r="I90" s="32" t="s">
        <v>1033</v>
      </c>
    </row>
    <row r="91" ht="14.25" customHeight="1">
      <c r="A91" s="14" t="s">
        <v>1122</v>
      </c>
      <c r="B91" s="33" t="s">
        <v>452</v>
      </c>
      <c r="C91" s="31" t="str">
        <f>IFERROR(__xludf.DUMMYFUNCTION("JOIN("","",FILTER(Disciplinas!A:A, regexmatch(Disciplinas!C:C, B91)))"),"GRAD.ZG.02,GRAD.BIOESTAT.01,GRAD.PARASITOLOG.01,GRAD.MGA.01")</f>
        <v>GRAD.ZG.02,GRAD.BIOESTAT.01,GRAD.PARASITOLOG.01,GRAD.MGA.01</v>
      </c>
      <c r="D91" s="32" t="s">
        <v>1033</v>
      </c>
      <c r="E91" s="32" t="s">
        <v>1033</v>
      </c>
      <c r="F91" s="32" t="s">
        <v>1033</v>
      </c>
      <c r="G91" s="32" t="s">
        <v>1033</v>
      </c>
      <c r="H91" s="32" t="s">
        <v>1033</v>
      </c>
      <c r="I91" s="32" t="s">
        <v>1033</v>
      </c>
    </row>
    <row r="92" ht="14.25" customHeight="1">
      <c r="A92" s="14" t="s">
        <v>1123</v>
      </c>
      <c r="B92" s="33" t="s">
        <v>460</v>
      </c>
      <c r="C92" s="31" t="str">
        <f>IFERROR(__xludf.DUMMYFUNCTION("JOIN("","",FILTER(Disciplinas!A:A, regexmatch(Disciplinas!C:C, B92)))"),"GRAD.PE-I.02,CTSTRARV.40")</f>
        <v>GRAD.PE-I.02,CTSTRARV.40</v>
      </c>
      <c r="D92" s="32" t="s">
        <v>1033</v>
      </c>
      <c r="E92" s="32" t="s">
        <v>1033</v>
      </c>
      <c r="F92" s="32" t="s">
        <v>1033</v>
      </c>
      <c r="G92" s="32" t="s">
        <v>1033</v>
      </c>
      <c r="H92" s="32" t="s">
        <v>1033</v>
      </c>
      <c r="I92" s="32" t="s">
        <v>1033</v>
      </c>
    </row>
    <row r="93" ht="14.25" customHeight="1">
      <c r="A93" s="14" t="s">
        <v>1124</v>
      </c>
      <c r="B93" s="33" t="s">
        <v>463</v>
      </c>
      <c r="C93" s="31" t="str">
        <f>IFERROR(__xludf.DUMMYFUNCTION("JOIN("","",FILTER(Disciplinas!A:A, regexmatch(Disciplinas!C:C, B93)))"),"GRAD.ZI-II.01,GRAD.ZI.02")</f>
        <v>GRAD.ZI-II.01,GRAD.ZI.02</v>
      </c>
      <c r="D93" s="32" t="s">
        <v>1033</v>
      </c>
      <c r="E93" s="32" t="s">
        <v>1033</v>
      </c>
      <c r="F93" s="32" t="s">
        <v>1033</v>
      </c>
      <c r="G93" s="32" t="s">
        <v>1033</v>
      </c>
      <c r="H93" s="32" t="s">
        <v>1033</v>
      </c>
      <c r="I93" s="32" t="s">
        <v>1033</v>
      </c>
    </row>
    <row r="94" ht="14.25" customHeight="1">
      <c r="A94" s="14" t="s">
        <v>1125</v>
      </c>
      <c r="B94" s="33" t="s">
        <v>466</v>
      </c>
      <c r="C94" s="31" t="str">
        <f>IFERROR(__xludf.DUMMYFUNCTION("JOIN("","",FILTER(Disciplinas!A:A, regexmatch(Disciplinas!C:C, B94)))"),"GRAD.EPC.01,GRAD.CA.02,GRAD.FCV.01")</f>
        <v>GRAD.EPC.01,GRAD.CA.02,GRAD.FCV.01</v>
      </c>
      <c r="D94" s="32" t="s">
        <v>1033</v>
      </c>
      <c r="E94" s="32" t="s">
        <v>1033</v>
      </c>
      <c r="F94" s="32" t="s">
        <v>1033</v>
      </c>
      <c r="G94" s="32" t="s">
        <v>1033</v>
      </c>
      <c r="H94" s="32" t="s">
        <v>1033</v>
      </c>
      <c r="I94" s="32" t="s">
        <v>1033</v>
      </c>
    </row>
    <row r="95" ht="14.25" customHeight="1">
      <c r="A95" s="14" t="s">
        <v>1126</v>
      </c>
      <c r="B95" s="33" t="s">
        <v>469</v>
      </c>
      <c r="C95" s="31" t="str">
        <f>IFERROR(__xludf.DUMMYFUNCTION("JOIN("","",FILTER(Disciplinas!A:A, regexmatch(Disciplinas!C:C, B95)))"),"GRAD.GENéT.02")</f>
        <v>GRAD.GENéT.02</v>
      </c>
      <c r="D95" s="32" t="s">
        <v>1033</v>
      </c>
      <c r="E95" s="32" t="s">
        <v>1033</v>
      </c>
      <c r="F95" s="32" t="s">
        <v>1033</v>
      </c>
      <c r="G95" s="32" t="s">
        <v>1033</v>
      </c>
      <c r="H95" s="32" t="s">
        <v>1033</v>
      </c>
      <c r="I95" s="32" t="s">
        <v>1033</v>
      </c>
    </row>
    <row r="96" ht="14.25" customHeight="1">
      <c r="A96" s="14" t="s">
        <v>1127</v>
      </c>
      <c r="B96" s="33" t="s">
        <v>476</v>
      </c>
      <c r="C96" s="31" t="str">
        <f>IFERROR(__xludf.DUMMYFUNCTION("JOIN("","",FILTER(Disciplinas!A:A, regexmatch(Disciplinas!C:C, B96)))"),"GRAD.PPIE-I.01,GRAD.PPIE-II.01")</f>
        <v>GRAD.PPIE-I.01,GRAD.PPIE-II.01</v>
      </c>
      <c r="D96" s="32" t="s">
        <v>1033</v>
      </c>
      <c r="E96" s="32" t="s">
        <v>1033</v>
      </c>
      <c r="F96" s="32" t="s">
        <v>1033</v>
      </c>
      <c r="G96" s="32" t="s">
        <v>1033</v>
      </c>
      <c r="H96" s="32" t="s">
        <v>1033</v>
      </c>
      <c r="I96" s="32" t="s">
        <v>1033</v>
      </c>
    </row>
    <row r="97" ht="14.25" customHeight="1">
      <c r="A97" s="14" t="s">
        <v>1128</v>
      </c>
      <c r="B97" s="33" t="s">
        <v>481</v>
      </c>
      <c r="C97" s="31" t="str">
        <f>IFERROR(__xludf.DUMMYFUNCTION("JOIN("","",FILTER(Disciplinas!A:A, regexmatch(Disciplinas!C:C, B97)))"),"GRAD.EA.03")</f>
        <v>GRAD.EA.03</v>
      </c>
      <c r="D97" s="32" t="s">
        <v>1033</v>
      </c>
      <c r="E97" s="32" t="s">
        <v>1033</v>
      </c>
      <c r="F97" s="32" t="s">
        <v>1033</v>
      </c>
      <c r="G97" s="32" t="s">
        <v>1033</v>
      </c>
      <c r="H97" s="32" t="s">
        <v>1033</v>
      </c>
      <c r="I97" s="32" t="s">
        <v>1033</v>
      </c>
    </row>
    <row r="98" ht="14.25" customHeight="1">
      <c r="A98" s="14" t="s">
        <v>1129</v>
      </c>
      <c r="B98" s="33" t="s">
        <v>487</v>
      </c>
      <c r="C98" s="31" t="str">
        <f>IFERROR(__xludf.DUMMYFUNCTION("JOIN("","",FILTER(Disciplinas!A:A, regexmatch(Disciplinas!C:C, B98)))"),"GRAD.EVOLUç.02,GRAD.ZV.02,GRAD.GP.01,GRAD.ILFFC.01")</f>
        <v>GRAD.EVOLUç.02,GRAD.ZV.02,GRAD.GP.01,GRAD.ILFFC.01</v>
      </c>
      <c r="D98" s="32" t="s">
        <v>1033</v>
      </c>
      <c r="E98" s="32" t="s">
        <v>1033</v>
      </c>
      <c r="F98" s="32" t="s">
        <v>1033</v>
      </c>
      <c r="G98" s="32" t="s">
        <v>1033</v>
      </c>
      <c r="H98" s="32" t="s">
        <v>1033</v>
      </c>
      <c r="I98" s="32" t="s">
        <v>1033</v>
      </c>
    </row>
    <row r="99" ht="14.25" customHeight="1">
      <c r="A99" s="14" t="s">
        <v>1130</v>
      </c>
      <c r="B99" s="33" t="s">
        <v>490</v>
      </c>
      <c r="C99" s="31" t="str">
        <f>IFERROR(__xludf.DUMMYFUNCTION("JOIN("","",FILTER(Disciplinas!A:A, regexmatch(Disciplinas!C:C, B99)))"),"GRAD.GENéT.02,GRAD.IMUNOL.02,CTBIOTRV.1")</f>
        <v>GRAD.GENéT.02,GRAD.IMUNOL.02,CTBIOTRV.1</v>
      </c>
      <c r="D99" s="32" t="s">
        <v>1033</v>
      </c>
      <c r="E99" s="32" t="s">
        <v>1033</v>
      </c>
      <c r="F99" s="32" t="s">
        <v>1033</v>
      </c>
      <c r="G99" s="32" t="s">
        <v>1033</v>
      </c>
      <c r="H99" s="32" t="s">
        <v>1033</v>
      </c>
      <c r="I99" s="32" t="s">
        <v>1033</v>
      </c>
    </row>
    <row r="100" ht="14.25" customHeight="1">
      <c r="A100" s="14" t="s">
        <v>1131</v>
      </c>
      <c r="B100" s="33" t="s">
        <v>493</v>
      </c>
      <c r="C100" s="31" t="str">
        <f>IFERROR(__xludf.DUMMYFUNCTION("JOIN("","",FILTER(Disciplinas!A:A, regexmatch(Disciplinas!C:C, B100)))"),"GRAD.LIBRAS.02,GRAD.LIBRAS.02,GRAD.LIBRAS.04,GRAD.LIBRAS.04")</f>
        <v>GRAD.LIBRAS.02,GRAD.LIBRAS.02,GRAD.LIBRAS.04,GRAD.LIBRAS.04</v>
      </c>
      <c r="D100" s="32" t="s">
        <v>1033</v>
      </c>
      <c r="E100" s="32" t="s">
        <v>1033</v>
      </c>
      <c r="F100" s="32" t="s">
        <v>1033</v>
      </c>
      <c r="G100" s="32" t="s">
        <v>1033</v>
      </c>
      <c r="H100" s="32" t="s">
        <v>1033</v>
      </c>
      <c r="I100" s="32" t="s">
        <v>1033</v>
      </c>
    </row>
    <row r="101" ht="14.25" customHeight="1">
      <c r="A101" s="14" t="s">
        <v>1132</v>
      </c>
      <c r="B101" s="33" t="s">
        <v>496</v>
      </c>
      <c r="C101" s="31" t="str">
        <f>IFERROR(__xludf.DUMMYFUNCTION("JOIN("","",FILTER(Disciplinas!A:A, regexmatch(Disciplinas!C:C, B101)))"),"GRAD.BC.02")</f>
        <v>GRAD.BC.02</v>
      </c>
      <c r="D101" s="32" t="s">
        <v>1033</v>
      </c>
      <c r="E101" s="32" t="s">
        <v>1033</v>
      </c>
      <c r="F101" s="32" t="s">
        <v>1033</v>
      </c>
      <c r="G101" s="32" t="s">
        <v>1033</v>
      </c>
      <c r="H101" s="32" t="s">
        <v>1033</v>
      </c>
      <c r="I101" s="32" t="s">
        <v>1033</v>
      </c>
    </row>
    <row r="102" ht="14.25" customHeight="1">
      <c r="A102" s="14" t="s">
        <v>1133</v>
      </c>
      <c r="B102" s="33" t="s">
        <v>510</v>
      </c>
      <c r="C102" s="31" t="str">
        <f>IFERROR(__xludf.DUMMYFUNCTION("JOIN("","",FILTER(Disciplinas!A:A, regexmatch(Disciplinas!C:C, B102)))"),"GRAD.BM.02,GRAD.PARASITOL.01,CTBIOTRV.13,GRAD.SP.02,GRAD.ENQ.BIOQ.28")</f>
        <v>GRAD.BM.02,GRAD.PARASITOL.01,CTBIOTRV.13,GRAD.SP.02,GRAD.ENQ.BIOQ.28</v>
      </c>
      <c r="D102" s="32" t="s">
        <v>1033</v>
      </c>
      <c r="E102" s="32" t="s">
        <v>1033</v>
      </c>
      <c r="F102" s="32" t="s">
        <v>1033</v>
      </c>
      <c r="G102" s="32" t="s">
        <v>1033</v>
      </c>
      <c r="H102" s="32" t="s">
        <v>1033</v>
      </c>
      <c r="I102" s="32" t="s">
        <v>1033</v>
      </c>
    </row>
    <row r="103" ht="14.25" customHeight="1">
      <c r="A103" s="14" t="s">
        <v>1134</v>
      </c>
      <c r="B103" s="33" t="s">
        <v>522</v>
      </c>
      <c r="C103" s="31" t="str">
        <f>IFERROR(__xludf.DUMMYFUNCTION("JOIN("","",FILTER(Disciplinas!A:A, regexmatch(Disciplinas!C:C, B103)))"),"GRAD.MG.01,CTBIOTRV.10,RV.QUI724")</f>
        <v>GRAD.MG.01,CTBIOTRV.10,RV.QUI724</v>
      </c>
      <c r="D103" s="32" t="s">
        <v>1033</v>
      </c>
      <c r="E103" s="32" t="s">
        <v>1033</v>
      </c>
      <c r="F103" s="32" t="s">
        <v>1033</v>
      </c>
      <c r="G103" s="32" t="s">
        <v>1033</v>
      </c>
      <c r="H103" s="32" t="s">
        <v>1033</v>
      </c>
      <c r="I103" s="32" t="s">
        <v>1033</v>
      </c>
    </row>
    <row r="104" ht="14.25" customHeight="1">
      <c r="A104" s="14" t="s">
        <v>1135</v>
      </c>
      <c r="B104" s="33" t="s">
        <v>531</v>
      </c>
      <c r="C104" s="31" t="str">
        <f>IFERROR(__xludf.DUMMYFUNCTION("JOIN("","",FILTER(Disciplinas!A:A, regexmatch(Disciplinas!C:C, B104)))"),"GRAD.APA.01,CTSTRARV.39")</f>
        <v>GRAD.APA.01,CTSTRARV.39</v>
      </c>
      <c r="D104" s="32" t="s">
        <v>1033</v>
      </c>
      <c r="E104" s="32" t="s">
        <v>1033</v>
      </c>
      <c r="F104" s="32" t="s">
        <v>1033</v>
      </c>
      <c r="G104" s="32" t="s">
        <v>1033</v>
      </c>
      <c r="H104" s="32" t="s">
        <v>1033</v>
      </c>
      <c r="I104" s="32" t="s">
        <v>1033</v>
      </c>
    </row>
    <row r="105" ht="14.25" customHeight="1">
      <c r="A105" s="14" t="s">
        <v>1136</v>
      </c>
      <c r="B105" s="33" t="s">
        <v>537</v>
      </c>
      <c r="C105" s="31" t="str">
        <f>IFERROR(__xludf.DUMMYFUNCTION("JOIN("","",FILTER(Disciplinas!A:A, regexmatch(Disciplinas!C:C, B105)))"),"GRAD.GP.01")</f>
        <v>GRAD.GP.01</v>
      </c>
      <c r="D105" s="32" t="s">
        <v>1033</v>
      </c>
      <c r="E105" s="32" t="s">
        <v>1033</v>
      </c>
      <c r="F105" s="32" t="s">
        <v>1033</v>
      </c>
      <c r="G105" s="32" t="s">
        <v>1033</v>
      </c>
      <c r="H105" s="32" t="s">
        <v>1033</v>
      </c>
      <c r="I105" s="32" t="s">
        <v>1033</v>
      </c>
    </row>
    <row r="106" ht="14.25" customHeight="1">
      <c r="A106" s="14" t="s">
        <v>1137</v>
      </c>
      <c r="B106" s="33" t="s">
        <v>540</v>
      </c>
      <c r="C106" s="31" t="str">
        <f>IFERROR(__xludf.DUMMYFUNCTION("JOIN("","",FILTER(Disciplinas!A:A, regexmatch(Disciplinas!C:C, B106)))"),"GRAD.ILFFC.01")</f>
        <v>GRAD.ILFFC.01</v>
      </c>
      <c r="D106" s="32" t="s">
        <v>1033</v>
      </c>
      <c r="E106" s="32" t="s">
        <v>1033</v>
      </c>
      <c r="F106" s="32" t="s">
        <v>1033</v>
      </c>
      <c r="G106" s="32" t="s">
        <v>1033</v>
      </c>
      <c r="H106" s="32" t="s">
        <v>1033</v>
      </c>
      <c r="I106" s="32" t="s">
        <v>1033</v>
      </c>
    </row>
    <row r="107" ht="14.25" customHeight="1">
      <c r="A107" s="14" t="s">
        <v>1138</v>
      </c>
      <c r="B107" s="33" t="s">
        <v>546</v>
      </c>
      <c r="C107" s="31" t="str">
        <f>IFERROR(__xludf.DUMMYFUNCTION("JOIN("","",FILTER(Disciplinas!A:A, regexmatch(Disciplinas!C:C, B107)))"),"GRAD.BIOINFORMáT.01,GRAD.BIOQ.02")</f>
        <v>GRAD.BIOINFORMáT.01,GRAD.BIOQ.02</v>
      </c>
      <c r="D107" s="32" t="s">
        <v>1033</v>
      </c>
      <c r="E107" s="32" t="s">
        <v>1033</v>
      </c>
      <c r="F107" s="32" t="s">
        <v>1033</v>
      </c>
      <c r="G107" s="32" t="s">
        <v>1033</v>
      </c>
      <c r="H107" s="32" t="s">
        <v>1033</v>
      </c>
      <c r="I107" s="32" t="s">
        <v>1033</v>
      </c>
    </row>
    <row r="108" ht="14.25" customHeight="1">
      <c r="A108" s="14" t="s">
        <v>1139</v>
      </c>
      <c r="B108" s="33" t="s">
        <v>549</v>
      </c>
      <c r="C108" s="31" t="str">
        <f>IFERROR(__xludf.DUMMYFUNCTION("JOIN("","",FILTER(Disciplinas!A:A, regexmatch(Disciplinas!C:C, B108)))"),"GRAD.ZI-II.01,GRAD.ZI.02,GRAD.TEE.01")</f>
        <v>GRAD.ZI-II.01,GRAD.ZI.02,GRAD.TEE.01</v>
      </c>
      <c r="D108" s="32" t="s">
        <v>1033</v>
      </c>
      <c r="E108" s="32" t="s">
        <v>1033</v>
      </c>
      <c r="F108" s="32" t="s">
        <v>1033</v>
      </c>
      <c r="G108" s="32" t="s">
        <v>1033</v>
      </c>
      <c r="H108" s="32" t="s">
        <v>1033</v>
      </c>
      <c r="I108" s="32" t="s">
        <v>1033</v>
      </c>
    </row>
    <row r="109" ht="14.25" customHeight="1">
      <c r="A109" s="14" t="s">
        <v>1140</v>
      </c>
      <c r="B109" s="33" t="s">
        <v>567</v>
      </c>
      <c r="C109" s="31" t="str">
        <f>IFERROR(__xludf.DUMMYFUNCTION("JOIN("","",FILTER(Disciplinas!A:A, regexmatch(Disciplinas!C:C, B109)))"),"CTBIOTRV.18")</f>
        <v>CTBIOTRV.18</v>
      </c>
      <c r="D109" s="32" t="s">
        <v>1033</v>
      </c>
      <c r="E109" s="32" t="s">
        <v>1033</v>
      </c>
      <c r="F109" s="32" t="s">
        <v>1033</v>
      </c>
      <c r="G109" s="32" t="s">
        <v>1033</v>
      </c>
      <c r="H109" s="32" t="s">
        <v>1033</v>
      </c>
      <c r="I109" s="32" t="s">
        <v>1033</v>
      </c>
    </row>
    <row r="110" ht="14.25" customHeight="1">
      <c r="A110" s="14" t="s">
        <v>1141</v>
      </c>
      <c r="B110" s="33" t="s">
        <v>570</v>
      </c>
      <c r="C110" s="31" t="str">
        <f>IFERROR(__xludf.DUMMYFUNCTION("JOIN("","",FILTER(Disciplinas!A:A, regexmatch(Disciplinas!C:C, B110)))"),"CTBIOTRV.24,CTBIOTRV.25,CTSTRARV.3,GRAD.HEA.01")</f>
        <v>CTBIOTRV.24,CTBIOTRV.25,CTSTRARV.3,GRAD.HEA.01</v>
      </c>
      <c r="D110" s="32" t="s">
        <v>1033</v>
      </c>
      <c r="E110" s="32" t="s">
        <v>1033</v>
      </c>
      <c r="F110" s="32" t="s">
        <v>1033</v>
      </c>
      <c r="G110" s="32" t="s">
        <v>1033</v>
      </c>
      <c r="H110" s="32" t="s">
        <v>1033</v>
      </c>
      <c r="I110" s="32" t="s">
        <v>1033</v>
      </c>
    </row>
    <row r="111" ht="14.25" customHeight="1">
      <c r="A111" s="14" t="s">
        <v>1142</v>
      </c>
      <c r="B111" s="33" t="s">
        <v>575</v>
      </c>
      <c r="C111" s="31" t="str">
        <f>IFERROR(__xludf.DUMMYFUNCTION("JOIN("","",FILTER(Disciplinas!A:A, regexmatch(Disciplinas!C:C, B111)))"),"GRAD.AC.01,GRAD.LM.01,GRAD.GAA.01")</f>
        <v>GRAD.AC.01,GRAD.LM.01,GRAD.GAA.01</v>
      </c>
      <c r="D111" s="32" t="s">
        <v>1033</v>
      </c>
      <c r="E111" s="32" t="s">
        <v>1033</v>
      </c>
      <c r="F111" s="32" t="s">
        <v>1033</v>
      </c>
      <c r="G111" s="32" t="s">
        <v>1033</v>
      </c>
      <c r="H111" s="32" t="s">
        <v>1033</v>
      </c>
      <c r="I111" s="32" t="s">
        <v>1033</v>
      </c>
    </row>
    <row r="112" ht="14.25" customHeight="1">
      <c r="A112" s="14" t="s">
        <v>1143</v>
      </c>
      <c r="B112" s="33" t="s">
        <v>579</v>
      </c>
      <c r="C112" s="31" t="str">
        <f>IFERROR(__xludf.DUMMYFUNCTION("JOIN("","",FILTER(Disciplinas!A:A, regexmatch(Disciplinas!C:C, B112)))"),"GRAD.APC.01,GRAD.TG.01,GRAD.PLP.05")</f>
        <v>GRAD.APC.01,GRAD.TG.01,GRAD.PLP.05</v>
      </c>
      <c r="D112" s="32" t="s">
        <v>1033</v>
      </c>
      <c r="E112" s="32" t="s">
        <v>1033</v>
      </c>
      <c r="F112" s="32" t="s">
        <v>1033</v>
      </c>
      <c r="G112" s="32" t="s">
        <v>1033</v>
      </c>
      <c r="H112" s="32" t="s">
        <v>1033</v>
      </c>
      <c r="I112" s="32" t="s">
        <v>1033</v>
      </c>
    </row>
    <row r="113" ht="14.25" customHeight="1">
      <c r="A113" s="14" t="s">
        <v>1144</v>
      </c>
      <c r="B113" s="33" t="s">
        <v>582</v>
      </c>
      <c r="C113" s="31" t="str">
        <f>IFERROR(__xludf.DUMMYFUNCTION("JOIN("","",FILTER(Disciplinas!A:A, regexmatch(Disciplinas!C:C, B113)))"),"GRAD.FC.01")</f>
        <v>GRAD.FC.01</v>
      </c>
      <c r="D113" s="32" t="s">
        <v>1033</v>
      </c>
      <c r="E113" s="32" t="s">
        <v>1033</v>
      </c>
      <c r="F113" s="32" t="s">
        <v>1033</v>
      </c>
      <c r="G113" s="32" t="s">
        <v>1033</v>
      </c>
      <c r="H113" s="32" t="s">
        <v>1033</v>
      </c>
      <c r="I113" s="32" t="s">
        <v>1033</v>
      </c>
    </row>
    <row r="114" ht="14.25" customHeight="1">
      <c r="A114" s="14" t="s">
        <v>1145</v>
      </c>
      <c r="B114" s="33" t="s">
        <v>585</v>
      </c>
      <c r="C114" s="31" t="str">
        <f>IFERROR(__xludf.DUMMYFUNCTION("JOIN("","",FILTER(Disciplinas!A:A, regexmatch(Disciplinas!C:C, B114)))"),"GRAD.FUNDSIST.01,GRAD.ES.01,GRAD.PS.01")</f>
        <v>GRAD.FUNDSIST.01,GRAD.ES.01,GRAD.PS.01</v>
      </c>
      <c r="D114" s="32" t="s">
        <v>1033</v>
      </c>
      <c r="E114" s="32" t="s">
        <v>1033</v>
      </c>
      <c r="F114" s="32" t="s">
        <v>1033</v>
      </c>
      <c r="G114" s="32" t="s">
        <v>1033</v>
      </c>
      <c r="H114" s="32" t="s">
        <v>1033</v>
      </c>
      <c r="I114" s="32" t="s">
        <v>1033</v>
      </c>
    </row>
    <row r="115" ht="14.25" customHeight="1">
      <c r="A115" s="14" t="s">
        <v>1146</v>
      </c>
      <c r="B115" s="33" t="s">
        <v>590</v>
      </c>
      <c r="C115" s="31" t="str">
        <f>IFERROR(__xludf.DUMMYFUNCTION("JOIN("","",FILTER(Disciplinas!A:A, regexmatch(Disciplinas!C:C, B115)))"),"GRAD.AC.02,GRAD.RC.02,RV.INF91")</f>
        <v>GRAD.AC.02,GRAD.RC.02,RV.INF91</v>
      </c>
      <c r="D115" s="32" t="s">
        <v>1033</v>
      </c>
      <c r="E115" s="32" t="s">
        <v>1033</v>
      </c>
      <c r="F115" s="32" t="s">
        <v>1033</v>
      </c>
      <c r="G115" s="32" t="s">
        <v>1033</v>
      </c>
      <c r="H115" s="32" t="s">
        <v>1033</v>
      </c>
      <c r="I115" s="32" t="s">
        <v>1033</v>
      </c>
    </row>
    <row r="116" ht="14.25" customHeight="1">
      <c r="A116" s="14" t="s">
        <v>1147</v>
      </c>
      <c r="B116" s="33" t="s">
        <v>595</v>
      </c>
      <c r="C116" s="31" t="str">
        <f>IFERROR(__xludf.DUMMYFUNCTION("JOIN("","",FILTER(Disciplinas!A:A, regexmatch(Disciplinas!C:C, B116)))"),"GRAD.ED.01,GRAD.LFA.01,RV.INF94")</f>
        <v>GRAD.ED.01,GRAD.LFA.01,RV.INF94</v>
      </c>
      <c r="D116" s="32" t="s">
        <v>1033</v>
      </c>
      <c r="E116" s="32" t="s">
        <v>1033</v>
      </c>
      <c r="F116" s="32" t="s">
        <v>1033</v>
      </c>
      <c r="G116" s="32" t="s">
        <v>1033</v>
      </c>
      <c r="H116" s="32" t="s">
        <v>1033</v>
      </c>
      <c r="I116" s="32" t="s">
        <v>1033</v>
      </c>
    </row>
    <row r="117" ht="14.25" customHeight="1">
      <c r="A117" s="14" t="s">
        <v>1148</v>
      </c>
      <c r="B117" s="33" t="s">
        <v>598</v>
      </c>
      <c r="C117" s="31" t="str">
        <f>IFERROR(__xludf.DUMMYFUNCTION("JOIN("","",FILTER(Disciplinas!A:A, regexmatch(Disciplinas!C:C, B117)))"),"GRAD.LEC.01,GRAD.MC.03,RV.INF60")</f>
        <v>GRAD.LEC.01,GRAD.MC.03,RV.INF60</v>
      </c>
      <c r="D117" s="32" t="s">
        <v>1033</v>
      </c>
      <c r="E117" s="32" t="s">
        <v>1033</v>
      </c>
      <c r="F117" s="32" t="s">
        <v>1033</v>
      </c>
      <c r="G117" s="32" t="s">
        <v>1033</v>
      </c>
      <c r="H117" s="32" t="s">
        <v>1033</v>
      </c>
      <c r="I117" s="32" t="s">
        <v>1033</v>
      </c>
    </row>
    <row r="118" ht="14.25" customHeight="1">
      <c r="A118" s="14" t="s">
        <v>1149</v>
      </c>
      <c r="B118" s="33" t="s">
        <v>601</v>
      </c>
      <c r="C118" s="31" t="str">
        <f>IFERROR(__xludf.DUMMYFUNCTION("JOIN("","",FILTER(Disciplinas!A:A, regexmatch(Disciplinas!C:C, B118)))"),"GRAD.PLP.01,GRAD.IA.01,GRAD.ENQ.MC.33")</f>
        <v>GRAD.PLP.01,GRAD.IA.01,GRAD.ENQ.MC.33</v>
      </c>
      <c r="D118" s="32" t="s">
        <v>1033</v>
      </c>
      <c r="E118" s="32" t="s">
        <v>1033</v>
      </c>
      <c r="F118" s="32" t="s">
        <v>1033</v>
      </c>
      <c r="G118" s="32" t="s">
        <v>1033</v>
      </c>
      <c r="H118" s="32" t="s">
        <v>1033</v>
      </c>
      <c r="I118" s="32" t="s">
        <v>1033</v>
      </c>
    </row>
    <row r="119" ht="14.25" customHeight="1">
      <c r="A119" s="14" t="s">
        <v>1150</v>
      </c>
      <c r="B119" s="33" t="s">
        <v>604</v>
      </c>
      <c r="C119" s="31" t="str">
        <f>IFERROR(__xludf.DUMMYFUNCTION("JOIN("","",FILTER(Disciplinas!A:A, regexmatch(Disciplinas!C:C, B119)))"),"GRAD.POO.01,GRAD.EW.01,RV.INF88")</f>
        <v>GRAD.POO.01,GRAD.EW.01,RV.INF88</v>
      </c>
      <c r="D119" s="32" t="s">
        <v>1033</v>
      </c>
      <c r="E119" s="32" t="s">
        <v>1033</v>
      </c>
      <c r="F119" s="32" t="s">
        <v>1033</v>
      </c>
      <c r="G119" s="32" t="s">
        <v>1033</v>
      </c>
      <c r="H119" s="32" t="s">
        <v>1033</v>
      </c>
      <c r="I119" s="32" t="s">
        <v>1033</v>
      </c>
    </row>
    <row r="120" ht="14.25" customHeight="1">
      <c r="A120" s="14" t="s">
        <v>1151</v>
      </c>
      <c r="B120" s="33" t="s">
        <v>614</v>
      </c>
      <c r="C120" s="31" t="str">
        <f>IFERROR(__xludf.DUMMYFUNCTION("JOIN("","",FILTER(Disciplinas!A:A, regexmatch(Disciplinas!C:C, B120)))"),"GRAD.PLP.03,GRAD.SD.02,RV.INF63")</f>
        <v>GRAD.PLP.03,GRAD.SD.02,RV.INF63</v>
      </c>
      <c r="D120" s="32" t="s">
        <v>1033</v>
      </c>
      <c r="E120" s="32" t="s">
        <v>1033</v>
      </c>
      <c r="F120" s="32" t="s">
        <v>1033</v>
      </c>
      <c r="G120" s="32" t="s">
        <v>1033</v>
      </c>
      <c r="H120" s="32" t="s">
        <v>1033</v>
      </c>
      <c r="I120" s="32" t="s">
        <v>1033</v>
      </c>
    </row>
    <row r="121" ht="14.25" customHeight="1">
      <c r="A121" s="14" t="s">
        <v>1152</v>
      </c>
      <c r="B121" s="33" t="s">
        <v>624</v>
      </c>
      <c r="C121" s="31" t="str">
        <f>IFERROR(__xludf.DUMMYFUNCTION("JOIN("","",FILTER(Disciplinas!A:A, regexmatch(Disciplinas!C:C, B121)))"),"GRAD.IH.01")</f>
        <v>GRAD.IH.01</v>
      </c>
      <c r="D121" s="32" t="s">
        <v>1033</v>
      </c>
      <c r="E121" s="32" t="s">
        <v>1033</v>
      </c>
      <c r="F121" s="32" t="s">
        <v>1033</v>
      </c>
      <c r="G121" s="32" t="s">
        <v>1033</v>
      </c>
      <c r="H121" s="32" t="s">
        <v>1033</v>
      </c>
      <c r="I121" s="32" t="s">
        <v>1033</v>
      </c>
    </row>
    <row r="122" ht="14.25" customHeight="1">
      <c r="A122" s="14" t="s">
        <v>1153</v>
      </c>
      <c r="B122" s="33" t="s">
        <v>634</v>
      </c>
      <c r="C122" s="31" t="str">
        <f>IFERROR(__xludf.DUMMYFUNCTION("JOIN("","",FILTER(Disciplinas!A:A, regexmatch(Disciplinas!C:C, B122)))"),"GRAD.DT.02,GRAD.DT.02,GRAD.AU.01")</f>
        <v>GRAD.DT.02,GRAD.DT.02,GRAD.AU.01</v>
      </c>
      <c r="D122" s="32" t="s">
        <v>1033</v>
      </c>
      <c r="E122" s="32" t="s">
        <v>1033</v>
      </c>
      <c r="F122" s="32" t="s">
        <v>1033</v>
      </c>
      <c r="G122" s="32" t="s">
        <v>1033</v>
      </c>
      <c r="H122" s="32" t="s">
        <v>1033</v>
      </c>
      <c r="I122" s="32" t="s">
        <v>1033</v>
      </c>
    </row>
    <row r="123" ht="14.25" customHeight="1">
      <c r="A123" s="14" t="s">
        <v>1154</v>
      </c>
      <c r="B123" s="33" t="s">
        <v>641</v>
      </c>
      <c r="C123" s="31" t="str">
        <f>IFERROR(__xludf.DUMMYFUNCTION("JOIN("","",FILTER(Disciplinas!A:A, regexmatch(Disciplinas!C:C, B123)))"),"GRAD.IEC.01,GRAD.PT.01")</f>
        <v>GRAD.IEC.01,GRAD.PT.01</v>
      </c>
      <c r="D123" s="32" t="s">
        <v>1033</v>
      </c>
      <c r="E123" s="32" t="s">
        <v>1033</v>
      </c>
      <c r="F123" s="32" t="s">
        <v>1033</v>
      </c>
      <c r="G123" s="32" t="s">
        <v>1033</v>
      </c>
      <c r="H123" s="32" t="s">
        <v>1033</v>
      </c>
      <c r="I123" s="32" t="s">
        <v>1033</v>
      </c>
    </row>
    <row r="124" ht="14.25" customHeight="1">
      <c r="A124" s="14" t="s">
        <v>1155</v>
      </c>
      <c r="B124" s="33" t="s">
        <v>646</v>
      </c>
      <c r="C124" s="31" t="str">
        <f>IFERROR(__xludf.DUMMYFUNCTION("JOIN("","",FILTER(Disciplinas!A:A, regexmatch(Disciplinas!C:C, B124)))"),"GRAD.QG.03,GRAD.QG.03,GRAD.ENQ.QAI.32,GRAD.QI-I.01")</f>
        <v>GRAD.QG.03,GRAD.QG.03,GRAD.ENQ.QAI.32,GRAD.QI-I.01</v>
      </c>
      <c r="D124" s="32" t="s">
        <v>1033</v>
      </c>
      <c r="E124" s="32" t="s">
        <v>1033</v>
      </c>
      <c r="F124" s="32" t="s">
        <v>1033</v>
      </c>
      <c r="G124" s="32" t="s">
        <v>1033</v>
      </c>
      <c r="H124" s="32" t="s">
        <v>1033</v>
      </c>
      <c r="I124" s="32" t="s">
        <v>1033</v>
      </c>
    </row>
    <row r="125" ht="14.25" customHeight="1">
      <c r="A125" s="14" t="s">
        <v>1156</v>
      </c>
      <c r="B125" s="33" t="s">
        <v>652</v>
      </c>
      <c r="C125" s="31" t="str">
        <f>IFERROR(__xludf.DUMMYFUNCTION("JOIN("","",FILTER(Disciplinas!A:A, regexmatch(Disciplinas!C:C, B125)))"),"GRAD.FE-III.01,GRAD.FíSICA III.01,GRAD.ENQ.FE-III.17,GRAD.ENQ.FIS-III.27,GRAD.FGE-I.01")</f>
        <v>GRAD.FE-III.01,GRAD.FíSICA III.01,GRAD.ENQ.FE-III.17,GRAD.ENQ.FIS-III.27,GRAD.FGE-I.01</v>
      </c>
      <c r="D125" s="32" t="s">
        <v>1033</v>
      </c>
      <c r="E125" s="32" t="s">
        <v>1033</v>
      </c>
      <c r="F125" s="32" t="s">
        <v>1033</v>
      </c>
      <c r="G125" s="32" t="s">
        <v>1033</v>
      </c>
      <c r="H125" s="32" t="s">
        <v>1033</v>
      </c>
      <c r="I125" s="32" t="s">
        <v>1033</v>
      </c>
    </row>
    <row r="126" ht="14.25" customHeight="1">
      <c r="A126" s="14" t="s">
        <v>1157</v>
      </c>
      <c r="B126" s="33" t="s">
        <v>657</v>
      </c>
      <c r="C126" s="31" t="str">
        <f>IFERROR(__xludf.DUMMYFUNCTION("JOIN("","",FILTER(Disciplinas!A:A, regexmatch(Disciplinas!C:C, B126)))"),"GRAD.FT.05,GRAD.HIDRáUL.I.01,GRAD.FT.01")</f>
        <v>GRAD.FT.05,GRAD.HIDRáUL.I.01,GRAD.FT.01</v>
      </c>
      <c r="D126" s="32" t="s">
        <v>1033</v>
      </c>
      <c r="E126" s="32" t="s">
        <v>1033</v>
      </c>
      <c r="F126" s="32" t="s">
        <v>1033</v>
      </c>
      <c r="G126" s="32" t="s">
        <v>1033</v>
      </c>
      <c r="H126" s="32" t="s">
        <v>1033</v>
      </c>
      <c r="I126" s="32" t="s">
        <v>1033</v>
      </c>
    </row>
    <row r="127" ht="14.25" customHeight="1">
      <c r="A127" s="14" t="s">
        <v>1158</v>
      </c>
      <c r="B127" s="33" t="s">
        <v>662</v>
      </c>
      <c r="C127" s="31" t="str">
        <f>IFERROR(__xludf.DUMMYFUNCTION("JOIN("","",FILTER(Disciplinas!A:A, regexmatch(Disciplinas!C:C, B127)))"),"GRAD.TOPOG.02,GRAD.T.02,GRAD.SIG.01,RV.T-PL001,GRAD.SIG.01")</f>
        <v>GRAD.TOPOG.02,GRAD.T.02,GRAD.SIG.01,RV.T-PL001,GRAD.SIG.01</v>
      </c>
      <c r="D127" s="32" t="s">
        <v>1033</v>
      </c>
      <c r="E127" s="32" t="s">
        <v>1033</v>
      </c>
      <c r="F127" s="32" t="s">
        <v>1033</v>
      </c>
      <c r="G127" s="32" t="s">
        <v>1033</v>
      </c>
      <c r="H127" s="32" t="s">
        <v>1033</v>
      </c>
      <c r="I127" s="32" t="s">
        <v>1033</v>
      </c>
    </row>
    <row r="128" ht="14.25" customHeight="1">
      <c r="A128" s="14" t="s">
        <v>1159</v>
      </c>
      <c r="B128" s="33" t="s">
        <v>668</v>
      </c>
      <c r="C128" s="31" t="str">
        <f>IFERROR(__xludf.DUMMYFUNCTION("JOIN("","",FILTER(Disciplinas!A:A, regexmatch(Disciplinas!C:C, B128)))"),"GRAD.HIDROLOG.02,GRAD.SES.01,GRAD.GRH.01")</f>
        <v>GRAD.HIDROLOG.02,GRAD.SES.01,GRAD.GRH.01</v>
      </c>
      <c r="D128" s="32" t="s">
        <v>1033</v>
      </c>
      <c r="E128" s="32" t="s">
        <v>1033</v>
      </c>
      <c r="F128" s="32" t="s">
        <v>1033</v>
      </c>
      <c r="G128" s="32" t="s">
        <v>1033</v>
      </c>
      <c r="H128" s="32" t="s">
        <v>1033</v>
      </c>
      <c r="I128" s="32" t="s">
        <v>1033</v>
      </c>
    </row>
    <row r="129" ht="14.25" customHeight="1">
      <c r="A129" s="14" t="s">
        <v>1160</v>
      </c>
      <c r="B129" s="33" t="s">
        <v>671</v>
      </c>
      <c r="C129" s="31" t="str">
        <f>IFERROR(__xludf.DUMMYFUNCTION("JOIN("","",FILTER(Disciplinas!A:A, regexmatch(Disciplinas!C:C, B129)))"),"GRAD.MCC-II.01,RV.TCC209")</f>
        <v>GRAD.MCC-II.01,RV.TCC209</v>
      </c>
      <c r="D129" s="32" t="s">
        <v>1033</v>
      </c>
      <c r="E129" s="32" t="s">
        <v>1033</v>
      </c>
      <c r="F129" s="32" t="s">
        <v>1033</v>
      </c>
      <c r="G129" s="32" t="s">
        <v>1033</v>
      </c>
      <c r="H129" s="32" t="s">
        <v>1033</v>
      </c>
      <c r="I129" s="32" t="s">
        <v>1033</v>
      </c>
    </row>
    <row r="130" ht="14.25" customHeight="1">
      <c r="A130" s="14" t="s">
        <v>1161</v>
      </c>
      <c r="B130" s="33" t="s">
        <v>674</v>
      </c>
      <c r="C130" s="31" t="str">
        <f>IFERROR(__xludf.DUMMYFUNCTION("JOIN("","",FILTER(Disciplinas!A:A, regexmatch(Disciplinas!C:C, B130)))"),"GRAD.MS-I.01,GRAD.PC.01,GRAD.TC-I.01")</f>
        <v>GRAD.MS-I.01,GRAD.PC.01,GRAD.TC-I.01</v>
      </c>
      <c r="D130" s="32" t="s">
        <v>1033</v>
      </c>
      <c r="E130" s="32" t="s">
        <v>1033</v>
      </c>
      <c r="F130" s="32" t="s">
        <v>1033</v>
      </c>
      <c r="G130" s="32" t="s">
        <v>1033</v>
      </c>
      <c r="H130" s="32" t="s">
        <v>1033</v>
      </c>
      <c r="I130" s="32" t="s">
        <v>1033</v>
      </c>
    </row>
    <row r="131" ht="14.25" customHeight="1">
      <c r="A131" s="14" t="s">
        <v>1162</v>
      </c>
      <c r="B131" s="33" t="s">
        <v>677</v>
      </c>
      <c r="C131" s="31" t="str">
        <f>IFERROR(__xludf.DUMMYFUNCTION("JOIN("","",FILTER(Disciplinas!A:A, regexmatch(Disciplinas!C:C, B131)))"),"GRAD.RM-I.01,GRAD.ECA-I.01")</f>
        <v>GRAD.RM-I.01,GRAD.ECA-I.01</v>
      </c>
      <c r="D131" s="32" t="s">
        <v>1033</v>
      </c>
      <c r="E131" s="32" t="s">
        <v>1033</v>
      </c>
      <c r="F131" s="32" t="s">
        <v>1033</v>
      </c>
      <c r="G131" s="32" t="s">
        <v>1033</v>
      </c>
      <c r="H131" s="32" t="s">
        <v>1033</v>
      </c>
      <c r="I131" s="32" t="s">
        <v>1033</v>
      </c>
    </row>
    <row r="132" ht="14.25" customHeight="1">
      <c r="A132" s="14" t="s">
        <v>1163</v>
      </c>
      <c r="B132" s="33" t="s">
        <v>680</v>
      </c>
      <c r="C132" s="31" t="str">
        <f>IFERROR(__xludf.DUMMYFUNCTION("JOIN("","",FILTER(Disciplinas!A:A, regexmatch(Disciplinas!C:C, B132)))"),"GRAD.TE-I.01,GRAD.ESTMET.01")</f>
        <v>GRAD.TE-I.01,GRAD.ESTMET.01</v>
      </c>
      <c r="D132" s="32" t="s">
        <v>1033</v>
      </c>
      <c r="E132" s="32" t="s">
        <v>1033</v>
      </c>
      <c r="F132" s="32" t="s">
        <v>1033</v>
      </c>
      <c r="G132" s="32" t="s">
        <v>1033</v>
      </c>
      <c r="H132" s="32" t="s">
        <v>1033</v>
      </c>
      <c r="I132" s="32" t="s">
        <v>1033</v>
      </c>
    </row>
    <row r="133" ht="14.25" customHeight="1">
      <c r="A133" s="14" t="s">
        <v>1164</v>
      </c>
      <c r="B133" s="33" t="s">
        <v>683</v>
      </c>
      <c r="C133" s="31" t="str">
        <f>IFERROR(__xludf.DUMMYFUNCTION("JOIN("","",FILTER(Disciplinas!A:A, regexmatch(Disciplinas!C:C, B133)))"),"GRAD.CC-II.01,RV.MCI001,RV.TC-I001")</f>
        <v>GRAD.CC-II.01,RV.MCI001,RV.TC-I001</v>
      </c>
      <c r="D133" s="32" t="s">
        <v>1033</v>
      </c>
      <c r="E133" s="32" t="s">
        <v>1033</v>
      </c>
      <c r="F133" s="32" t="s">
        <v>1033</v>
      </c>
      <c r="G133" s="32" t="s">
        <v>1033</v>
      </c>
      <c r="H133" s="32" t="s">
        <v>1033</v>
      </c>
      <c r="I133" s="32" t="s">
        <v>1033</v>
      </c>
    </row>
    <row r="134" ht="14.25" customHeight="1">
      <c r="A134" s="14" t="s">
        <v>1165</v>
      </c>
      <c r="B134" s="33" t="s">
        <v>691</v>
      </c>
      <c r="C134" s="31" t="str">
        <f>IFERROR(__xludf.DUMMYFUNCTION("JOIN("","",FILTER(Disciplinas!A:A, regexmatch(Disciplinas!C:C, B134)))"),"GRAD.PROJEST.01,GRAD.EP.01,RV.FDC001,RV.PA-II001,RV.PHD001")</f>
        <v>GRAD.PROJEST.01,GRAD.EP.01,RV.FDC001,RV.PA-II001,RV.PHD001</v>
      </c>
      <c r="D134" s="32" t="s">
        <v>1033</v>
      </c>
      <c r="E134" s="32" t="s">
        <v>1033</v>
      </c>
      <c r="F134" s="32" t="s">
        <v>1033</v>
      </c>
      <c r="G134" s="32" t="s">
        <v>1033</v>
      </c>
      <c r="H134" s="32" t="s">
        <v>1033</v>
      </c>
      <c r="I134" s="32" t="s">
        <v>1033</v>
      </c>
    </row>
    <row r="135" ht="14.25" customHeight="1">
      <c r="A135" s="14" t="s">
        <v>1166</v>
      </c>
      <c r="B135" s="33" t="s">
        <v>696</v>
      </c>
      <c r="C135" s="31" t="str">
        <f>IFERROR(__xludf.DUMMYFUNCTION("JOIN("","",FILTER(Disciplinas!A:A, regexmatch(Disciplinas!C:C, B135)))"),"GRAD.SAAE.01,GRAD.GRS.01,GRAD.SAA.01,GRAD.SAAES.01")</f>
        <v>GRAD.SAAE.01,GRAD.GRS.01,GRAD.SAA.01,GRAD.SAAES.01</v>
      </c>
      <c r="D135" s="32" t="s">
        <v>1033</v>
      </c>
      <c r="E135" s="32" t="s">
        <v>1033</v>
      </c>
      <c r="F135" s="32" t="s">
        <v>1033</v>
      </c>
      <c r="G135" s="32" t="s">
        <v>1033</v>
      </c>
      <c r="H135" s="32" t="s">
        <v>1033</v>
      </c>
      <c r="I135" s="32" t="s">
        <v>1033</v>
      </c>
    </row>
    <row r="136" ht="14.25" customHeight="1">
      <c r="A136" s="14" t="s">
        <v>1167</v>
      </c>
      <c r="B136" s="33" t="s">
        <v>704</v>
      </c>
      <c r="C136" s="31" t="str">
        <f>IFERROR(__xludf.DUMMYFUNCTION("JOIN("","",FILTER(Disciplinas!A:A, regexmatch(Disciplinas!C:C, B136)))"),"GRAD.HST.01,CTSTRARV.1,CTSTRARV.19,CTSTRARV.38,CTSTRARV.42,CTSTRARV.43")</f>
        <v>GRAD.HST.01,CTSTRARV.1,CTSTRARV.19,CTSTRARV.38,CTSTRARV.42,CTSTRARV.43</v>
      </c>
      <c r="D136" s="32" t="s">
        <v>1033</v>
      </c>
      <c r="E136" s="32" t="s">
        <v>1033</v>
      </c>
      <c r="F136" s="32" t="s">
        <v>1033</v>
      </c>
      <c r="G136" s="32" t="s">
        <v>1033</v>
      </c>
      <c r="H136" s="32" t="s">
        <v>1033</v>
      </c>
      <c r="I136" s="32" t="s">
        <v>1033</v>
      </c>
    </row>
    <row r="137" ht="14.25" customHeight="1">
      <c r="A137" s="14" t="s">
        <v>1168</v>
      </c>
      <c r="B137" s="33" t="s">
        <v>710</v>
      </c>
      <c r="C137" s="31" t="str">
        <f>IFERROR(__xludf.DUMMYFUNCTION("JOIN("","",FILTER(Disciplinas!A:A, regexmatch(Disciplinas!C:C, B137)))"),"GRAD.EA.03,GRAD.MASU.02,GRAD.GUCE.02,RV.QUI733,GRAD.EIA.01")</f>
        <v>GRAD.EA.03,GRAD.MASU.02,GRAD.GUCE.02,RV.QUI733,GRAD.EIA.01</v>
      </c>
      <c r="D137" s="32" t="s">
        <v>1033</v>
      </c>
      <c r="E137" s="32" t="s">
        <v>1033</v>
      </c>
      <c r="F137" s="32" t="s">
        <v>1033</v>
      </c>
      <c r="G137" s="32" t="s">
        <v>1033</v>
      </c>
      <c r="H137" s="32" t="s">
        <v>1033</v>
      </c>
      <c r="I137" s="32" t="s">
        <v>1033</v>
      </c>
    </row>
    <row r="138" ht="14.25" customHeight="1">
      <c r="A138" s="14" t="s">
        <v>1169</v>
      </c>
      <c r="B138" s="33" t="s">
        <v>718</v>
      </c>
      <c r="C138" s="31" t="str">
        <f>IFERROR(__xludf.DUMMYFUNCTION("JOIN("","",FILTER(Disciplinas!A:A, regexmatch(Disciplinas!C:C, B138)))"),"RV.CON001,RV.CON006")</f>
        <v>RV.CON001,RV.CON006</v>
      </c>
      <c r="D138" s="32" t="s">
        <v>1033</v>
      </c>
      <c r="E138" s="32" t="s">
        <v>1033</v>
      </c>
      <c r="F138" s="32" t="s">
        <v>1033</v>
      </c>
      <c r="G138" s="32" t="s">
        <v>1033</v>
      </c>
      <c r="H138" s="32" t="s">
        <v>1033</v>
      </c>
      <c r="I138" s="32" t="s">
        <v>1033</v>
      </c>
    </row>
    <row r="139" ht="14.25" customHeight="1">
      <c r="A139" s="14" t="s">
        <v>1170</v>
      </c>
      <c r="B139" s="33" t="s">
        <v>722</v>
      </c>
      <c r="C139" s="31" t="str">
        <f>IFERROR(__xludf.DUMMYFUNCTION("JOIN("","",FILTER(Disciplinas!A:A, regexmatch(Disciplinas!C:C, B139)))"),"RV.CON003,RV.HUM824,RV.CON007")</f>
        <v>RV.CON003,RV.HUM824,RV.CON007</v>
      </c>
      <c r="D139" s="32" t="s">
        <v>1033</v>
      </c>
      <c r="E139" s="32" t="s">
        <v>1033</v>
      </c>
      <c r="F139" s="32" t="s">
        <v>1033</v>
      </c>
      <c r="G139" s="32" t="s">
        <v>1033</v>
      </c>
      <c r="H139" s="32" t="s">
        <v>1033</v>
      </c>
      <c r="I139" s="32" t="s">
        <v>1033</v>
      </c>
    </row>
    <row r="140" ht="14.25" customHeight="1">
      <c r="A140" s="14" t="s">
        <v>1171</v>
      </c>
      <c r="B140" s="33" t="s">
        <v>740</v>
      </c>
      <c r="C140" s="31" t="str">
        <f>IFERROR(__xludf.DUMMYFUNCTION("JOIN("","",FILTER(Disciplinas!A:A, regexmatch(Disciplinas!C:C, B140)))"),"GRAD.IEA.02,GRAD.GA.01,GRAD.HA.01,RV.GAM236")</f>
        <v>GRAD.IEA.02,GRAD.GA.01,GRAD.HA.01,RV.GAM236</v>
      </c>
      <c r="D140" s="32" t="s">
        <v>1033</v>
      </c>
      <c r="E140" s="32" t="s">
        <v>1033</v>
      </c>
      <c r="F140" s="32" t="s">
        <v>1033</v>
      </c>
      <c r="G140" s="32" t="s">
        <v>1033</v>
      </c>
      <c r="H140" s="32" t="s">
        <v>1033</v>
      </c>
      <c r="I140" s="32" t="s">
        <v>1033</v>
      </c>
    </row>
    <row r="141" ht="14.25" customHeight="1">
      <c r="A141" s="14" t="s">
        <v>1172</v>
      </c>
      <c r="B141" s="33" t="s">
        <v>743</v>
      </c>
      <c r="C141" s="31" t="str">
        <f>IFERROR(__xludf.DUMMYFUNCTION("JOIN("","",FILTER(Disciplinas!A:A, regexmatch(Disciplinas!C:C, B141)))"),"GRAD.BIOQ.02")</f>
        <v>GRAD.BIOQ.02</v>
      </c>
      <c r="D141" s="32" t="s">
        <v>1033</v>
      </c>
      <c r="E141" s="32" t="s">
        <v>1033</v>
      </c>
      <c r="F141" s="32" t="s">
        <v>1033</v>
      </c>
      <c r="G141" s="32" t="s">
        <v>1033</v>
      </c>
      <c r="H141" s="32" t="s">
        <v>1033</v>
      </c>
      <c r="I141" s="32" t="s">
        <v>1033</v>
      </c>
    </row>
    <row r="142" ht="14.25" customHeight="1">
      <c r="A142" s="14" t="s">
        <v>1173</v>
      </c>
      <c r="B142" s="33" t="s">
        <v>747</v>
      </c>
      <c r="C142" s="31" t="str">
        <f>IFERROR(__xludf.DUMMYFUNCTION("JOIN("","",FILTER(Disciplinas!A:A, regexmatch(Disciplinas!C:C, B142)))"),"GRAD.CLIMATOL.01")</f>
        <v>GRAD.CLIMATOL.01</v>
      </c>
      <c r="D142" s="32" t="s">
        <v>1033</v>
      </c>
      <c r="E142" s="32" t="s">
        <v>1033</v>
      </c>
      <c r="F142" s="32" t="s">
        <v>1033</v>
      </c>
      <c r="G142" s="32" t="s">
        <v>1033</v>
      </c>
      <c r="H142" s="32" t="s">
        <v>1033</v>
      </c>
      <c r="I142" s="32" t="s">
        <v>1033</v>
      </c>
    </row>
    <row r="143" ht="14.25" customHeight="1">
      <c r="A143" s="14" t="s">
        <v>1174</v>
      </c>
      <c r="B143" s="33" t="s">
        <v>820</v>
      </c>
      <c r="C143" s="31" t="str">
        <f>IFERROR(__xludf.DUMMYFUNCTION("JOIN("","",FILTER(Disciplinas!A:A, regexmatch(Disciplinas!C:C, B143)))"),"RV.PRO50,GRAD.BIOQ.02")</f>
        <v>RV.PRO50,GRAD.BIOQ.02</v>
      </c>
      <c r="D143" s="32" t="s">
        <v>1033</v>
      </c>
      <c r="E143" s="32" t="s">
        <v>1033</v>
      </c>
      <c r="F143" s="32" t="s">
        <v>1033</v>
      </c>
      <c r="G143" s="32" t="s">
        <v>1033</v>
      </c>
      <c r="H143" s="32" t="s">
        <v>1033</v>
      </c>
      <c r="I143" s="32" t="s">
        <v>1033</v>
      </c>
    </row>
    <row r="144" ht="14.25" customHeight="1">
      <c r="A144" s="14" t="s">
        <v>1175</v>
      </c>
      <c r="B144" s="33" t="s">
        <v>836</v>
      </c>
      <c r="C144" s="31" t="str">
        <f>IFERROR(__xludf.DUMMYFUNCTION("JOIN("","",FILTER(Disciplinas!A:A, regexmatch(Disciplinas!C:C, B144)))"),"GRAD.ENQ.QG.02,GRAD.ENQ.QAI.32,RV.QUI124,RV.QUI730,GRAD.PAFQ.01")</f>
        <v>GRAD.ENQ.QG.02,GRAD.ENQ.QAI.32,RV.QUI124,RV.QUI730,GRAD.PAFQ.01</v>
      </c>
      <c r="D144" s="32" t="s">
        <v>1033</v>
      </c>
      <c r="E144" s="32" t="s">
        <v>1033</v>
      </c>
      <c r="F144" s="32" t="s">
        <v>1033</v>
      </c>
      <c r="G144" s="32" t="s">
        <v>1033</v>
      </c>
      <c r="H144" s="32" t="s">
        <v>1033</v>
      </c>
      <c r="I144" s="32" t="s">
        <v>1033</v>
      </c>
    </row>
    <row r="145" ht="14.25" customHeight="1">
      <c r="A145" s="14" t="s">
        <v>1176</v>
      </c>
      <c r="B145" s="33" t="s">
        <v>843</v>
      </c>
      <c r="C145" s="31" t="str">
        <f>IFERROR(__xludf.DUMMYFUNCTION("JOIN("","",FILTER(Disciplinas!A:A, regexmatch(Disciplinas!C:C, B145)))"),"GRAD.ENQ.QAQ.19,GRAD.QAQ.02,GRAD.PAQAQ.02")</f>
        <v>GRAD.ENQ.QAQ.19,GRAD.QAQ.02,GRAD.PAQAQ.02</v>
      </c>
      <c r="D145" s="32" t="s">
        <v>1033</v>
      </c>
      <c r="E145" s="32" t="s">
        <v>1033</v>
      </c>
      <c r="F145" s="32" t="s">
        <v>1033</v>
      </c>
      <c r="G145" s="32" t="s">
        <v>1033</v>
      </c>
      <c r="H145" s="32" t="s">
        <v>1033</v>
      </c>
      <c r="I145" s="32" t="s">
        <v>1033</v>
      </c>
    </row>
    <row r="146" ht="14.25" customHeight="1">
      <c r="A146" s="14" t="s">
        <v>1177</v>
      </c>
      <c r="B146" s="33" t="s">
        <v>845</v>
      </c>
      <c r="C146" s="31" t="str">
        <f>IFERROR(__xludf.DUMMYFUNCTION("JOIN("","",FILTER(Disciplinas!A:A, regexmatch(Disciplinas!C:C, B146)))"),"GRAD.ENQ.BIOQ.28")</f>
        <v>GRAD.ENQ.BIOQ.28</v>
      </c>
      <c r="D146" s="32" t="s">
        <v>1033</v>
      </c>
      <c r="E146" s="32" t="s">
        <v>1033</v>
      </c>
      <c r="F146" s="32" t="s">
        <v>1033</v>
      </c>
      <c r="G146" s="32" t="s">
        <v>1033</v>
      </c>
      <c r="H146" s="32" t="s">
        <v>1033</v>
      </c>
      <c r="I146" s="32" t="s">
        <v>1033</v>
      </c>
    </row>
    <row r="147" ht="14.25" customHeight="1">
      <c r="A147" s="14" t="s">
        <v>1178</v>
      </c>
      <c r="B147" s="33" t="s">
        <v>854</v>
      </c>
      <c r="C147" s="31" t="str">
        <f>IFERROR(__xludf.DUMMYFUNCTION("JOIN("","",FILTER(Disciplinas!A:A, regexmatch(Disciplinas!C:C, B147)))"),"GRAD.ENQ.QAI.32")</f>
        <v>GRAD.ENQ.QAI.32</v>
      </c>
      <c r="D147" s="32" t="s">
        <v>1033</v>
      </c>
      <c r="E147" s="32" t="s">
        <v>1033</v>
      </c>
      <c r="F147" s="32" t="s">
        <v>1033</v>
      </c>
      <c r="G147" s="32" t="s">
        <v>1033</v>
      </c>
      <c r="H147" s="32" t="s">
        <v>1033</v>
      </c>
      <c r="I147" s="32" t="s">
        <v>1033</v>
      </c>
    </row>
    <row r="148" ht="14.25" customHeight="1">
      <c r="A148" s="14" t="s">
        <v>1179</v>
      </c>
      <c r="B148" s="33" t="s">
        <v>880</v>
      </c>
      <c r="C148" s="31" t="str">
        <f>IFERROR(__xludf.DUMMYFUNCTION("JOIN("","",FILTER(Disciplinas!A:A, regexmatch(Disciplinas!C:C, B148)))"),"RV.QUI724")</f>
        <v>RV.QUI724</v>
      </c>
      <c r="D148" s="32" t="s">
        <v>1033</v>
      </c>
      <c r="E148" s="32" t="s">
        <v>1033</v>
      </c>
      <c r="F148" s="32" t="s">
        <v>1033</v>
      </c>
      <c r="G148" s="32" t="s">
        <v>1033</v>
      </c>
      <c r="H148" s="32" t="s">
        <v>1033</v>
      </c>
      <c r="I148" s="32" t="s">
        <v>1033</v>
      </c>
    </row>
    <row r="149" ht="15.75" customHeight="1">
      <c r="A149" s="14" t="s">
        <v>1180</v>
      </c>
      <c r="B149" s="34" t="s">
        <v>883</v>
      </c>
      <c r="C149" s="31" t="str">
        <f>IFERROR(__xludf.DUMMYFUNCTION("JOIN("","",FILTER(Disciplinas!A:A, regexmatch(Disciplinas!C:C, B149)))"),"RV.QUI735,GRAD.HQ.01,GRAD.QG-I.01")</f>
        <v>RV.QUI735,GRAD.HQ.01,GRAD.QG-I.01</v>
      </c>
      <c r="D149" s="32" t="s">
        <v>1033</v>
      </c>
      <c r="E149" s="32" t="s">
        <v>1033</v>
      </c>
      <c r="F149" s="32" t="s">
        <v>1033</v>
      </c>
      <c r="G149" s="32" t="s">
        <v>1033</v>
      </c>
      <c r="H149" s="32" t="s">
        <v>1033</v>
      </c>
      <c r="I149" s="32" t="s">
        <v>1033</v>
      </c>
    </row>
    <row r="150" ht="15.75" customHeight="1">
      <c r="A150" s="14" t="s">
        <v>1181</v>
      </c>
      <c r="B150" s="34" t="s">
        <v>893</v>
      </c>
      <c r="C150" s="31" t="str">
        <f>IFERROR(__xludf.DUMMYFUNCTION("JOIN("","",FILTER(Disciplinas!A:A, regexmatch(Disciplinas!C:C, B150)))"),"RV.QUI729,GRAD.FQ.02,GRAD.FQIIE.01")</f>
        <v>RV.QUI729,GRAD.FQ.02,GRAD.FQIIE.01</v>
      </c>
      <c r="D150" s="32" t="s">
        <v>1033</v>
      </c>
      <c r="E150" s="32" t="s">
        <v>1033</v>
      </c>
      <c r="F150" s="32" t="s">
        <v>1033</v>
      </c>
      <c r="G150" s="32" t="s">
        <v>1033</v>
      </c>
      <c r="H150" s="32" t="s">
        <v>1033</v>
      </c>
      <c r="I150" s="32" t="s">
        <v>1033</v>
      </c>
    </row>
    <row r="151" ht="15.75" customHeight="1">
      <c r="A151" s="14" t="s">
        <v>1182</v>
      </c>
      <c r="B151" s="34" t="s">
        <v>904</v>
      </c>
      <c r="C151" s="31" t="str">
        <f>IFERROR(__xludf.DUMMYFUNCTION("JOIN("","",FILTER(Disciplinas!A:A, regexmatch(Disciplinas!C:C, B151)))"),"GRAD.QGE.02")</f>
        <v>GRAD.QGE.02</v>
      </c>
      <c r="D151" s="32" t="s">
        <v>1033</v>
      </c>
      <c r="E151" s="32" t="s">
        <v>1033</v>
      </c>
      <c r="F151" s="32" t="s">
        <v>1033</v>
      </c>
      <c r="G151" s="32" t="s">
        <v>1033</v>
      </c>
      <c r="H151" s="32" t="s">
        <v>1033</v>
      </c>
      <c r="I151" s="32" t="s">
        <v>1033</v>
      </c>
    </row>
    <row r="152" ht="15.75" customHeight="1">
      <c r="A152" s="14" t="s">
        <v>1183</v>
      </c>
      <c r="B152" s="34" t="s">
        <v>939</v>
      </c>
      <c r="C152" s="31" t="str">
        <f>IFERROR(__xludf.DUMMYFUNCTION("JOIN("","",FILTER(Disciplinas!A:A, regexmatch(Disciplinas!C:C, B152)))"),"RV.GAM236")</f>
        <v>RV.GAM236</v>
      </c>
      <c r="D152" s="32" t="s">
        <v>1033</v>
      </c>
      <c r="E152" s="32" t="s">
        <v>1033</v>
      </c>
      <c r="F152" s="32" t="s">
        <v>1033</v>
      </c>
      <c r="G152" s="32" t="s">
        <v>1033</v>
      </c>
      <c r="H152" s="32" t="s">
        <v>1033</v>
      </c>
      <c r="I152" s="32" t="s">
        <v>1033</v>
      </c>
    </row>
    <row r="153" ht="15.75" customHeight="1">
      <c r="A153" s="14" t="s">
        <v>1184</v>
      </c>
      <c r="B153" s="34" t="s">
        <v>982</v>
      </c>
      <c r="C153" s="31" t="str">
        <f>IFERROR(__xludf.DUMMYFUNCTION("JOIN("","",FILTER(Disciplinas!A:A, regexmatch(Disciplinas!C:C, B153)))"),"GRAD.IZ.01,GRAD.EQUIDEOCULT.01,GRAD.EP.02")</f>
        <v>GRAD.IZ.01,GRAD.EQUIDEOCULT.01,GRAD.EP.02</v>
      </c>
      <c r="D153" s="32" t="s">
        <v>1033</v>
      </c>
      <c r="E153" s="32" t="s">
        <v>1033</v>
      </c>
      <c r="F153" s="32" t="s">
        <v>1033</v>
      </c>
      <c r="G153" s="32" t="s">
        <v>1033</v>
      </c>
      <c r="H153" s="32" t="s">
        <v>1033</v>
      </c>
      <c r="I153" s="32" t="s">
        <v>1033</v>
      </c>
    </row>
    <row r="154" ht="15.75" customHeight="1">
      <c r="A154" s="14" t="s">
        <v>1185</v>
      </c>
      <c r="B154" s="34" t="s">
        <v>984</v>
      </c>
      <c r="C154" s="31" t="str">
        <f>IFERROR(__xludf.DUMMYFUNCTION("JOIN("","",FILTER(Disciplinas!A:A, regexmatch(Disciplinas!C:C, B154)))"),"GRAD.BIOQ.02,GRAD.ALIMA.01")</f>
        <v>GRAD.BIOQ.02,GRAD.ALIMA.01</v>
      </c>
      <c r="D154" s="32" t="s">
        <v>1033</v>
      </c>
      <c r="E154" s="32" t="s">
        <v>1033</v>
      </c>
      <c r="F154" s="32" t="s">
        <v>1033</v>
      </c>
      <c r="G154" s="32" t="s">
        <v>1033</v>
      </c>
      <c r="H154" s="32" t="s">
        <v>1033</v>
      </c>
      <c r="I154" s="32" t="s">
        <v>1033</v>
      </c>
    </row>
    <row r="155" ht="15.75" customHeight="1">
      <c r="A155" s="14" t="s">
        <v>1186</v>
      </c>
      <c r="B155" s="34" t="s">
        <v>998</v>
      </c>
      <c r="C155" s="31" t="str">
        <f>IFERROR(__xludf.DUMMYFUNCTION("JOIN("","",FILTER(Disciplinas!A:A, regexmatch(Disciplinas!C:C, B155)))"),"GRAD.BIOCLIMAT.01")</f>
        <v>GRAD.BIOCLIMAT.01</v>
      </c>
      <c r="D155" s="32" t="s">
        <v>1033</v>
      </c>
      <c r="E155" s="32" t="s">
        <v>1033</v>
      </c>
      <c r="F155" s="32" t="s">
        <v>1033</v>
      </c>
      <c r="G155" s="32" t="s">
        <v>1033</v>
      </c>
      <c r="H155" s="32" t="s">
        <v>1033</v>
      </c>
      <c r="I155" s="32" t="s">
        <v>1033</v>
      </c>
    </row>
    <row r="156" ht="15.75" customHeight="1">
      <c r="A156" s="14" t="s">
        <v>1187</v>
      </c>
      <c r="B156" s="34" t="s">
        <v>1001</v>
      </c>
      <c r="C156" s="31" t="str">
        <f>IFERROR(__xludf.DUMMYFUNCTION("JOIN("","",FILTER(Disciplinas!A:A, regexmatch(Disciplinas!C:C, B156)))"),"GRAD.BROMATOL.01,GRAD.FRPR.01")</f>
        <v>GRAD.BROMATOL.01,GRAD.FRPR.01</v>
      </c>
      <c r="D156" s="32" t="s">
        <v>1033</v>
      </c>
      <c r="E156" s="32" t="s">
        <v>1033</v>
      </c>
      <c r="F156" s="32" t="s">
        <v>1033</v>
      </c>
      <c r="G156" s="32" t="s">
        <v>1033</v>
      </c>
      <c r="H156" s="32" t="s">
        <v>1033</v>
      </c>
      <c r="I156" s="32" t="s">
        <v>1033</v>
      </c>
    </row>
    <row r="157" ht="15.75" customHeight="1">
      <c r="A157" s="14" t="s">
        <v>1188</v>
      </c>
      <c r="B157" s="34" t="s">
        <v>1009</v>
      </c>
      <c r="C157" s="31" t="str">
        <f>IFERROR(__xludf.DUMMYFUNCTION("JOIN("","",FILTER(Disciplinas!A:A, regexmatch(Disciplinas!C:C, B157)))"),"GRAD.ANIMCOMP.01,GRAD.FRPNR.01,GRAD.AVICULT.01")</f>
        <v>GRAD.ANIMCOMP.01,GRAD.FRPNR.01,GRAD.AVICULT.01</v>
      </c>
      <c r="D157" s="32" t="s">
        <v>1033</v>
      </c>
      <c r="E157" s="32" t="s">
        <v>1033</v>
      </c>
      <c r="F157" s="32" t="s">
        <v>1033</v>
      </c>
      <c r="G157" s="32" t="s">
        <v>1033</v>
      </c>
      <c r="H157" s="32" t="s">
        <v>1033</v>
      </c>
      <c r="I157" s="32" t="s">
        <v>1033</v>
      </c>
    </row>
    <row r="158" ht="15.75" customHeight="1">
      <c r="A158" s="14" t="s">
        <v>1189</v>
      </c>
      <c r="B158" s="34" t="s">
        <v>1023</v>
      </c>
      <c r="C158" s="31" t="str">
        <f>IFERROR(__xludf.DUMMYFUNCTION("JOIN("","",FILTER(Disciplinas!A:A, regexmatch(Disciplinas!C:C, B158)))"),"GRAD.TPOA.01")</f>
        <v>GRAD.TPOA.01</v>
      </c>
      <c r="D158" s="32" t="s">
        <v>1033</v>
      </c>
      <c r="E158" s="32" t="s">
        <v>1033</v>
      </c>
      <c r="F158" s="32" t="s">
        <v>1033</v>
      </c>
      <c r="G158" s="32" t="s">
        <v>1033</v>
      </c>
      <c r="H158" s="32" t="s">
        <v>1033</v>
      </c>
      <c r="I158" s="32" t="s">
        <v>1033</v>
      </c>
    </row>
    <row r="159" ht="15.75" customHeight="1">
      <c r="A159" s="14" t="s">
        <v>1190</v>
      </c>
      <c r="B159" s="34" t="s">
        <v>210</v>
      </c>
      <c r="C159" s="31" t="str">
        <f>IFERROR(__xludf.DUMMYFUNCTION("JOIN("","",FILTER(Disciplinas!A:A, regexmatch(Disciplinas!C:C, B159)))"),"GRAD.QG.01")</f>
        <v>GRAD.QG.01</v>
      </c>
      <c r="D159" s="32" t="s">
        <v>1033</v>
      </c>
      <c r="E159" s="32" t="s">
        <v>1033</v>
      </c>
      <c r="F159" s="32" t="s">
        <v>1033</v>
      </c>
      <c r="G159" s="32" t="s">
        <v>1033</v>
      </c>
      <c r="H159" s="32" t="s">
        <v>1033</v>
      </c>
      <c r="I159" s="32" t="s">
        <v>1033</v>
      </c>
    </row>
    <row r="160" ht="15.75" customHeight="1">
      <c r="A160" s="14" t="s">
        <v>1191</v>
      </c>
      <c r="B160" s="34" t="s">
        <v>557</v>
      </c>
      <c r="C160" s="31" t="str">
        <f>IFERROR(__xludf.DUMMYFUNCTION("JOIN("","",FILTER(Disciplinas!A:A, regexmatch(Disciplinas!C:C, B160)))"),"CTBIOTRV.3")</f>
        <v>CTBIOTRV.3</v>
      </c>
      <c r="D160" s="32" t="s">
        <v>1033</v>
      </c>
      <c r="E160" s="32" t="s">
        <v>1033</v>
      </c>
      <c r="F160" s="32" t="s">
        <v>1033</v>
      </c>
      <c r="G160" s="32" t="s">
        <v>1033</v>
      </c>
      <c r="H160" s="32" t="s">
        <v>1033</v>
      </c>
      <c r="I160" s="32" t="s">
        <v>1033</v>
      </c>
    </row>
    <row r="161" ht="15.75" customHeight="1">
      <c r="A161" s="14" t="s">
        <v>1192</v>
      </c>
      <c r="B161" s="34" t="s">
        <v>644</v>
      </c>
      <c r="C161" s="31" t="str">
        <f>IFERROR(__xludf.DUMMYFUNCTION("JOIN("","",FILTER(Disciplinas!A:A, regexmatch(Disciplinas!C:C, B161)))"),"GRAD.QE.01")</f>
        <v>GRAD.QE.01</v>
      </c>
      <c r="D161" s="32" t="s">
        <v>1033</v>
      </c>
      <c r="E161" s="32" t="s">
        <v>1033</v>
      </c>
      <c r="F161" s="32" t="s">
        <v>1033</v>
      </c>
      <c r="G161" s="32" t="s">
        <v>1033</v>
      </c>
      <c r="H161" s="32" t="s">
        <v>1033</v>
      </c>
      <c r="I161" s="32" t="s">
        <v>1033</v>
      </c>
    </row>
    <row r="162" ht="15.75" customHeight="1">
      <c r="A162" s="14" t="s">
        <v>1193</v>
      </c>
      <c r="B162" s="34" t="s">
        <v>834</v>
      </c>
      <c r="C162" s="31" t="str">
        <f>IFERROR(__xludf.DUMMYFUNCTION("JOIN("","",FILTER(Disciplinas!A:A, regexmatch(Disciplinas!C:C, B162)))"),"GRAD.ENQ.QE.03")</f>
        <v>GRAD.ENQ.QE.03</v>
      </c>
      <c r="D162" s="32" t="s">
        <v>1033</v>
      </c>
      <c r="E162" s="32" t="s">
        <v>1033</v>
      </c>
      <c r="F162" s="32" t="s">
        <v>1033</v>
      </c>
      <c r="G162" s="32" t="s">
        <v>1033</v>
      </c>
      <c r="H162" s="32" t="s">
        <v>1033</v>
      </c>
      <c r="I162" s="32" t="s">
        <v>1033</v>
      </c>
    </row>
    <row r="163" ht="15.75" customHeight="1">
      <c r="A163" s="14" t="s">
        <v>1194</v>
      </c>
      <c r="B163" s="34" t="s">
        <v>983</v>
      </c>
      <c r="C163" s="31" t="str">
        <f>IFERROR(__xludf.DUMMYFUNCTION("JOIN("","",FILTER(Disciplinas!A:A, regexmatch(Disciplinas!C:C, B163)))"),"GRAD.QGA.01")</f>
        <v>GRAD.QGA.01</v>
      </c>
      <c r="D163" s="32" t="s">
        <v>1033</v>
      </c>
      <c r="E163" s="32" t="s">
        <v>1033</v>
      </c>
      <c r="F163" s="32" t="s">
        <v>1033</v>
      </c>
      <c r="G163" s="32" t="s">
        <v>1033</v>
      </c>
      <c r="H163" s="32" t="s">
        <v>1033</v>
      </c>
      <c r="I163" s="32" t="s">
        <v>1033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7" t="s">
        <v>0</v>
      </c>
      <c r="B1" s="28" t="s">
        <v>1195</v>
      </c>
      <c r="C1" s="28" t="s">
        <v>1196</v>
      </c>
      <c r="D1" s="29" t="s">
        <v>1197</v>
      </c>
      <c r="E1" s="30" t="s">
        <v>8</v>
      </c>
      <c r="F1" s="30" t="s">
        <v>9</v>
      </c>
      <c r="G1" s="30" t="s">
        <v>10</v>
      </c>
      <c r="H1" s="30" t="s">
        <v>11</v>
      </c>
      <c r="I1" s="30" t="s">
        <v>12</v>
      </c>
      <c r="J1" s="30" t="s">
        <v>13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6" t="s">
        <v>1198</v>
      </c>
      <c r="B2" s="37" t="s">
        <v>1199</v>
      </c>
      <c r="C2" s="37" t="s">
        <v>1200</v>
      </c>
      <c r="D2" s="31" t="str">
        <f>IFERROR(__xludf.DUMMYFUNCTION("JOIN("","",FILTER(Turmas!A:A,Turmas!B:B=B2))"),"20221.02ADM20N.1N,20221.02ADM20N.3N,20221.02ADM20N.5N,20221.02ADM20N.7N")</f>
        <v>20221.02ADM20N.1N,20221.02ADM20N.3N,20221.02ADM20N.5N,20221.02ADM20N.7N</v>
      </c>
      <c r="E2" s="32" t="s">
        <v>1201</v>
      </c>
      <c r="F2" s="32" t="s">
        <v>1201</v>
      </c>
      <c r="G2" s="32" t="s">
        <v>1201</v>
      </c>
      <c r="H2" s="32" t="s">
        <v>1201</v>
      </c>
      <c r="I2" s="32" t="s">
        <v>1201</v>
      </c>
      <c r="J2" s="32" t="s">
        <v>1202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38" t="s">
        <v>1203</v>
      </c>
      <c r="B3" s="37" t="s">
        <v>1204</v>
      </c>
      <c r="C3" s="39" t="s">
        <v>1205</v>
      </c>
      <c r="D3" s="31" t="str">
        <f>IFERROR(__xludf.DUMMYFUNCTION("JOIN("","",FILTER(Turmas!A:A,Turmas!B:B=B3))"),"20221.02AGN21N.6N")</f>
        <v>20221.02AGN21N.6N</v>
      </c>
      <c r="E3" s="32" t="s">
        <v>1206</v>
      </c>
      <c r="F3" s="32" t="s">
        <v>1206</v>
      </c>
      <c r="G3" s="32" t="s">
        <v>1206</v>
      </c>
      <c r="H3" s="32" t="s">
        <v>1206</v>
      </c>
      <c r="I3" s="32" t="s">
        <v>1206</v>
      </c>
      <c r="J3" s="32" t="s">
        <v>1033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36" t="s">
        <v>1207</v>
      </c>
      <c r="B4" s="37" t="s">
        <v>1208</v>
      </c>
      <c r="C4" s="37" t="s">
        <v>1200</v>
      </c>
      <c r="D4" s="31" t="str">
        <f>IFERROR(__xludf.DUMMYFUNCTION("JOIN("","",FILTER(Turmas!A:A,Turmas!B:B=B4))"),"20221.02AGR20I.10MV,20221.02AGR20I.1MV,20221.02AGR20I.2MV,20221.02AGR20I.3MV,20221.02AGR20I.4MV,20221.02AGR20I.5MV,20221.02AGR20I.7MV,20221.02AGR20I.9MV,20221.02AGR20I.TE.2MV,20221.02AGR20I.TE.7MV,20221.02AGR20I.TE-2010.MV,20221.02AGR20I.TE-2018.MV")</f>
        <v>20221.02AGR20I.10MV,20221.02AGR20I.1MV,20221.02AGR20I.2MV,20221.02AGR20I.3MV,20221.02AGR20I.4MV,20221.02AGR20I.5MV,20221.02AGR20I.7MV,20221.02AGR20I.9MV,20221.02AGR20I.TE.2MV,20221.02AGR20I.TE.7MV,20221.02AGR20I.TE-2010.MV,20221.02AGR20I.TE-2018.MV</v>
      </c>
      <c r="E4" s="32" t="s">
        <v>1201</v>
      </c>
      <c r="F4" s="32" t="s">
        <v>1201</v>
      </c>
      <c r="G4" s="32" t="s">
        <v>1201</v>
      </c>
      <c r="H4" s="32" t="s">
        <v>1201</v>
      </c>
      <c r="I4" s="32" t="s">
        <v>1201</v>
      </c>
      <c r="J4" s="32" t="s">
        <v>1202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36" t="s">
        <v>1209</v>
      </c>
      <c r="B5" s="37" t="s">
        <v>1210</v>
      </c>
      <c r="C5" s="39" t="s">
        <v>1200</v>
      </c>
      <c r="D5" s="31" t="str">
        <f>IFERROR(__xludf.DUMMYFUNCTION("JOIN("","",FILTER(Turmas!A:A,Turmas!B:B=B5))"),"20221.02CDC20I.1MV,20221.02CDC20I.3MV,20221.02CDC20I.5MV,20221.02CDC20I.7MV")</f>
        <v>20221.02CDC20I.1MV,20221.02CDC20I.3MV,20221.02CDC20I.5MV,20221.02CDC20I.7MV</v>
      </c>
      <c r="E5" s="32" t="s">
        <v>1201</v>
      </c>
      <c r="F5" s="32" t="s">
        <v>1201</v>
      </c>
      <c r="G5" s="32" t="s">
        <v>1201</v>
      </c>
      <c r="H5" s="32" t="s">
        <v>1201</v>
      </c>
      <c r="I5" s="32" t="s">
        <v>1201</v>
      </c>
      <c r="J5" s="32" t="s">
        <v>1202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36" t="s">
        <v>1211</v>
      </c>
      <c r="B6" s="37" t="s">
        <v>1212</v>
      </c>
      <c r="C6" s="37" t="s">
        <v>1200</v>
      </c>
      <c r="D6" s="31" t="str">
        <f>IFERROR(__xludf.DUMMYFUNCTION("JOIN("","",FILTER(Turmas!A:A,Turmas!B:B=B6))"),"20221.02BIO23I.1MV,20221.02BIO23I.3MV,20221.02BIO23I.5MV,20221.02BIO23I.7MV,20221.02BIO23I.8MV")</f>
        <v>20221.02BIO23I.1MV,20221.02BIO23I.3MV,20221.02BIO23I.5MV,20221.02BIO23I.7MV,20221.02BIO23I.8MV</v>
      </c>
      <c r="E6" s="32" t="s">
        <v>1201</v>
      </c>
      <c r="F6" s="32" t="s">
        <v>1201</v>
      </c>
      <c r="G6" s="32" t="s">
        <v>1201</v>
      </c>
      <c r="H6" s="32" t="s">
        <v>1201</v>
      </c>
      <c r="I6" s="32" t="s">
        <v>1201</v>
      </c>
      <c r="J6" s="32" t="s">
        <v>1202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38" t="s">
        <v>1213</v>
      </c>
      <c r="B7" s="37" t="s">
        <v>1214</v>
      </c>
      <c r="C7" s="39" t="s">
        <v>1215</v>
      </c>
      <c r="D7" s="31" t="str">
        <f>IFERROR(__xludf.DUMMYFUNCTION("JOIN("","",FILTER(Turmas!A:A,Turmas!B:B=B7))"),"20221.02BIO22N.1N,20221.02BIO22N.3N,20221.02BIO22N.5N,20221.02BIO22N.7N")</f>
        <v>20221.02BIO22N.1N,20221.02BIO22N.3N,20221.02BIO22N.5N,20221.02BIO22N.7N</v>
      </c>
      <c r="E7" s="32" t="s">
        <v>1206</v>
      </c>
      <c r="F7" s="32" t="s">
        <v>1206</v>
      </c>
      <c r="G7" s="32" t="s">
        <v>1206</v>
      </c>
      <c r="H7" s="32" t="s">
        <v>1206</v>
      </c>
      <c r="I7" s="32" t="s">
        <v>1206</v>
      </c>
      <c r="J7" s="32" t="s">
        <v>1033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36" t="s">
        <v>1216</v>
      </c>
      <c r="B8" s="37" t="s">
        <v>1217</v>
      </c>
      <c r="C8" s="37" t="s">
        <v>1200</v>
      </c>
      <c r="D8" s="31" t="str">
        <f>IFERROR(__xludf.DUMMYFUNCTION("JOIN("","",FILTER(Turmas!A:A,Turmas!B:B=B8))"),"20221.02EAM20I.1MV,20221.02EAM20I.3MV,20221.02EAM20I.5MV,20221.02EAM20I.7MV,20221.02EAM20I.9MV,20221.02EAM20I.TE.MV")</f>
        <v>20221.02EAM20I.1MV,20221.02EAM20I.3MV,20221.02EAM20I.5MV,20221.02EAM20I.7MV,20221.02EAM20I.9MV,20221.02EAM20I.TE.MV</v>
      </c>
      <c r="E8" s="32" t="s">
        <v>1201</v>
      </c>
      <c r="F8" s="32" t="s">
        <v>1201</v>
      </c>
      <c r="G8" s="32" t="s">
        <v>1201</v>
      </c>
      <c r="H8" s="32" t="s">
        <v>1201</v>
      </c>
      <c r="I8" s="32" t="s">
        <v>1201</v>
      </c>
      <c r="J8" s="32" t="s">
        <v>1202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36" t="s">
        <v>1218</v>
      </c>
      <c r="B9" s="37" t="s">
        <v>1219</v>
      </c>
      <c r="C9" s="39" t="s">
        <v>1200</v>
      </c>
      <c r="D9" s="31" t="str">
        <f>IFERROR(__xludf.DUMMYFUNCTION("JOIN("","",FILTER(Turmas!A:A,Turmas!B:B=B9))"),"20221.02ALI20I.1MV,20221.02ALI20I.3MV,20221.02ALI20I.5MV,20221.02ALI20I.7MV,20221.02ALI20I.9MV,20221.02ALI20I.TE.2MV")</f>
        <v>20221.02ALI20I.1MV,20221.02ALI20I.3MV,20221.02ALI20I.5MV,20221.02ALI20I.7MV,20221.02ALI20I.9MV,20221.02ALI20I.TE.2MV</v>
      </c>
      <c r="E9" s="32" t="s">
        <v>1201</v>
      </c>
      <c r="F9" s="32" t="s">
        <v>1201</v>
      </c>
      <c r="G9" s="32" t="s">
        <v>1201</v>
      </c>
      <c r="H9" s="32" t="s">
        <v>1201</v>
      </c>
      <c r="I9" s="32" t="s">
        <v>1201</v>
      </c>
      <c r="J9" s="32" t="s">
        <v>1202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36" t="s">
        <v>1220</v>
      </c>
      <c r="B10" s="37" t="s">
        <v>1221</v>
      </c>
      <c r="C10" s="37" t="s">
        <v>1200</v>
      </c>
      <c r="D10" s="31" t="str">
        <f>IFERROR(__xludf.DUMMYFUNCTION("JOIN("","",FILTER(Turmas!A:A,Turmas!B:B=B10))"),"20221.02CIV20I.1MV,20221.02CIV20I.3MV,20221.02CIV20I.5MV,20221.02CIV20I.7MV,20221.02CIV20I.9MV")</f>
        <v>20221.02CIV20I.1MV,20221.02CIV20I.3MV,20221.02CIV20I.5MV,20221.02CIV20I.7MV,20221.02CIV20I.9MV</v>
      </c>
      <c r="E10" s="32" t="s">
        <v>1201</v>
      </c>
      <c r="F10" s="32" t="s">
        <v>1201</v>
      </c>
      <c r="G10" s="32" t="s">
        <v>1201</v>
      </c>
      <c r="H10" s="32" t="s">
        <v>1201</v>
      </c>
      <c r="I10" s="32" t="s">
        <v>1201</v>
      </c>
      <c r="J10" s="32" t="s">
        <v>1202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36" t="s">
        <v>1222</v>
      </c>
      <c r="B11" s="37" t="s">
        <v>1223</v>
      </c>
      <c r="C11" s="39" t="s">
        <v>1200</v>
      </c>
      <c r="D11" s="31" t="str">
        <f>IFERROR(__xludf.DUMMYFUNCTION("JOIN("","",FILTER(Turmas!A:A,Turmas!B:B=B11))"),"20221.02ENQ20I.1MV,20221.02ENQ20I.3MV,20221.02ENQ20I.5MV,20221.02ENQ20I.TE.2MV")</f>
        <v>20221.02ENQ20I.1MV,20221.02ENQ20I.3MV,20221.02ENQ20I.5MV,20221.02ENQ20I.TE.2MV</v>
      </c>
      <c r="E11" s="32" t="s">
        <v>1201</v>
      </c>
      <c r="F11" s="32" t="s">
        <v>1201</v>
      </c>
      <c r="G11" s="32" t="s">
        <v>1201</v>
      </c>
      <c r="H11" s="32" t="s">
        <v>1201</v>
      </c>
      <c r="I11" s="32" t="s">
        <v>1201</v>
      </c>
      <c r="J11" s="32" t="s">
        <v>1202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40" t="s">
        <v>1224</v>
      </c>
      <c r="B12" s="37" t="s">
        <v>1225</v>
      </c>
      <c r="C12" s="41" t="s">
        <v>1215</v>
      </c>
      <c r="D12" s="31" t="str">
        <f>IFERROR(__xludf.DUMMYFUNCTION("JOIN("","",FILTER(Turmas!A:A,Turmas!B:B=B12))"),"20221.02QUI22N.1N,20221.02QUI22N.3N,20221.02QUI22N.5N,20221.02QUI22N.7N")</f>
        <v>20221.02QUI22N.1N,20221.02QUI22N.3N,20221.02QUI22N.5N,20221.02QUI22N.7N</v>
      </c>
      <c r="E12" s="32" t="s">
        <v>1206</v>
      </c>
      <c r="F12" s="32" t="s">
        <v>1206</v>
      </c>
      <c r="G12" s="32" t="s">
        <v>1206</v>
      </c>
      <c r="H12" s="32" t="s">
        <v>1206</v>
      </c>
      <c r="I12" s="32" t="s">
        <v>1206</v>
      </c>
      <c r="J12" s="32" t="s">
        <v>1033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38" t="s">
        <v>1226</v>
      </c>
      <c r="B13" s="37" t="s">
        <v>1227</v>
      </c>
      <c r="C13" s="39" t="s">
        <v>1205</v>
      </c>
      <c r="D13" s="31" t="str">
        <f>IFERROR(__xludf.DUMMYFUNCTION("JOIN("","",FILTER(Turmas!A:A,Turmas!B:B=B13))"),"20221.02SAM21N.5N,20221.02SAM21N.TE-2016.3N,20221.02SAM21N.TE-2018.3N")</f>
        <v>20221.02SAM21N.5N,20221.02SAM21N.TE-2016.3N,20221.02SAM21N.TE-2018.3N</v>
      </c>
      <c r="E13" s="32" t="s">
        <v>1206</v>
      </c>
      <c r="F13" s="32" t="s">
        <v>1206</v>
      </c>
      <c r="G13" s="32" t="s">
        <v>1206</v>
      </c>
      <c r="H13" s="32" t="s">
        <v>1206</v>
      </c>
      <c r="I13" s="32" t="s">
        <v>1206</v>
      </c>
      <c r="J13" s="32" t="s">
        <v>1033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38" t="s">
        <v>1228</v>
      </c>
      <c r="B14" s="37" t="s">
        <v>1229</v>
      </c>
      <c r="C14" s="42" t="s">
        <v>1200</v>
      </c>
      <c r="D14" s="31" t="str">
        <f>IFERROR(__xludf.DUMMYFUNCTION("JOIN("","",FILTER(Turmas!A:A,Turmas!B:B=B14))"),"20221.02ZOO20I.10MV,20221.02ZOO20I.1MV,20221.02ZOO20I.3MV,20221.02ZOO20I.5MV,20221.02ZOO20I.7MV,20221.02ZOO20I.9MV")</f>
        <v>20221.02ZOO20I.10MV,20221.02ZOO20I.1MV,20221.02ZOO20I.3MV,20221.02ZOO20I.5MV,20221.02ZOO20I.7MV,20221.02ZOO20I.9MV</v>
      </c>
      <c r="E14" s="32" t="s">
        <v>1201</v>
      </c>
      <c r="F14" s="32" t="s">
        <v>1201</v>
      </c>
      <c r="G14" s="32" t="s">
        <v>1201</v>
      </c>
      <c r="H14" s="32" t="s">
        <v>1201</v>
      </c>
      <c r="I14" s="32" t="s">
        <v>1201</v>
      </c>
      <c r="J14" s="32" t="s">
        <v>1202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36" t="s">
        <v>1230</v>
      </c>
      <c r="B15" s="37" t="s">
        <v>1231</v>
      </c>
      <c r="C15" s="37" t="s">
        <v>1232</v>
      </c>
      <c r="D15" s="31" t="str">
        <f>IFERROR(__xludf.DUMMYFUNCTION("JOIN("","",FILTER(Turmas!A:A,Turmas!B:B=B15))"),"20221.02ADM12N.1N,20221.02ADM12N.4N,20221.02ADM12N.5N,20221.02ADM12N.6N,20221.02ADM12N.7N")</f>
        <v>20221.02ADM12N.1N,20221.02ADM12N.4N,20221.02ADM12N.5N,20221.02ADM12N.6N,20221.02ADM12N.7N</v>
      </c>
      <c r="E15" s="32" t="s">
        <v>1033</v>
      </c>
      <c r="F15" s="32" t="s">
        <v>1033</v>
      </c>
      <c r="G15" s="32" t="s">
        <v>1033</v>
      </c>
      <c r="H15" s="32" t="s">
        <v>1033</v>
      </c>
      <c r="I15" s="32" t="s">
        <v>1033</v>
      </c>
      <c r="J15" s="32" t="s">
        <v>1033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36" t="s">
        <v>1233</v>
      </c>
      <c r="B16" s="43" t="s">
        <v>1234</v>
      </c>
      <c r="C16" s="37" t="s">
        <v>1232</v>
      </c>
      <c r="D16" s="31" t="str">
        <f>IFERROR(__xludf.DUMMYFUNCTION("JOIN("","",FILTER(Turmas!A:A,Turmas!B:B=B16))"),"20221.02AGP11M.1M,20221.02AGP11M.3M,20221.02AGP11V.1V,20221.02AGP11V.3V")</f>
        <v>20221.02AGP11M.1M,20221.02AGP11M.3M,20221.02AGP11V.1V,20221.02AGP11V.3V</v>
      </c>
      <c r="E16" s="32" t="s">
        <v>1201</v>
      </c>
      <c r="F16" s="32" t="s">
        <v>1201</v>
      </c>
      <c r="G16" s="32" t="s">
        <v>1201</v>
      </c>
      <c r="H16" s="32" t="s">
        <v>1201</v>
      </c>
      <c r="I16" s="32" t="s">
        <v>1201</v>
      </c>
      <c r="J16" s="32" t="s">
        <v>1202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36" t="s">
        <v>1235</v>
      </c>
      <c r="B17" s="43" t="s">
        <v>1236</v>
      </c>
      <c r="C17" s="37" t="s">
        <v>1232</v>
      </c>
      <c r="D17" s="31" t="str">
        <f>IFERROR(__xludf.DUMMYFUNCTION("JOIN("","",FILTER(Turmas!A:A,Turmas!B:B=B17))"),"20221.02ALI11N.1N,20221.02ALI11N.3N")</f>
        <v>20221.02ALI11N.1N,20221.02ALI11N.3N</v>
      </c>
      <c r="E17" s="32" t="s">
        <v>1206</v>
      </c>
      <c r="F17" s="32" t="s">
        <v>1206</v>
      </c>
      <c r="G17" s="32" t="s">
        <v>1206</v>
      </c>
      <c r="H17" s="32" t="s">
        <v>1206</v>
      </c>
      <c r="I17" s="32" t="s">
        <v>1206</v>
      </c>
      <c r="J17" s="32" t="s">
        <v>1033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36" t="s">
        <v>1237</v>
      </c>
      <c r="B18" s="43" t="s">
        <v>1238</v>
      </c>
      <c r="C18" s="37" t="s">
        <v>1232</v>
      </c>
      <c r="D18" s="31" t="str">
        <f>IFERROR(__xludf.DUMMYFUNCTION("JOIN("","",FILTER(Turmas!A:A,Turmas!B:B=B18))"),"20221.02BTC11N.1N,20221.02BTC11N.3N")</f>
        <v>20221.02BTC11N.1N,20221.02BTC11N.3N</v>
      </c>
      <c r="E18" s="32" t="s">
        <v>1206</v>
      </c>
      <c r="F18" s="32" t="s">
        <v>1206</v>
      </c>
      <c r="G18" s="32" t="s">
        <v>1206</v>
      </c>
      <c r="H18" s="32" t="s">
        <v>1206</v>
      </c>
      <c r="I18" s="32" t="s">
        <v>1206</v>
      </c>
      <c r="J18" s="32" t="s">
        <v>1033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36" t="s">
        <v>1239</v>
      </c>
      <c r="B19" s="43" t="s">
        <v>1240</v>
      </c>
      <c r="C19" s="37" t="s">
        <v>1232</v>
      </c>
      <c r="D19" s="31" t="str">
        <f>IFERROR(__xludf.DUMMYFUNCTION("JOIN("","",FILTER(Turmas!A:A,Turmas!B:B=B19))"),"20221.02COT11N.1N,20221.02COT11N.3N")</f>
        <v>20221.02COT11N.1N,20221.02COT11N.3N</v>
      </c>
      <c r="E19" s="32" t="s">
        <v>1206</v>
      </c>
      <c r="F19" s="32" t="s">
        <v>1206</v>
      </c>
      <c r="G19" s="32" t="s">
        <v>1206</v>
      </c>
      <c r="H19" s="32" t="s">
        <v>1206</v>
      </c>
      <c r="I19" s="32" t="s">
        <v>1206</v>
      </c>
      <c r="J19" s="32" t="s">
        <v>1033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36" t="s">
        <v>1241</v>
      </c>
      <c r="B20" s="43" t="s">
        <v>1242</v>
      </c>
      <c r="C20" s="37" t="s">
        <v>1232</v>
      </c>
      <c r="D20" s="31" t="str">
        <f>IFERROR(__xludf.DUMMYFUNCTION("JOIN("","",FILTER(Turmas!A:A,Turmas!B:B=B20))"),"20221.02EDI11N.1N,20221.02EDI11N.3N")</f>
        <v>20221.02EDI11N.1N,20221.02EDI11N.3N</v>
      </c>
      <c r="E20" s="32" t="s">
        <v>1206</v>
      </c>
      <c r="F20" s="32" t="s">
        <v>1206</v>
      </c>
      <c r="G20" s="32" t="s">
        <v>1206</v>
      </c>
      <c r="H20" s="32" t="s">
        <v>1206</v>
      </c>
      <c r="I20" s="32" t="s">
        <v>1206</v>
      </c>
      <c r="J20" s="32" t="s">
        <v>1033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36" t="s">
        <v>1243</v>
      </c>
      <c r="B21" s="43" t="s">
        <v>1244</v>
      </c>
      <c r="C21" s="37" t="s">
        <v>1232</v>
      </c>
      <c r="D21" s="31" t="str">
        <f>IFERROR(__xludf.DUMMYFUNCTION("JOIN("","",FILTER(Turmas!A:A,Turmas!B:B=B21))"),"20221.02INF11N.3N,20221.02INF11N.4N")</f>
        <v>20221.02INF11N.3N,20221.02INF11N.4N</v>
      </c>
      <c r="E21" s="32" t="s">
        <v>1206</v>
      </c>
      <c r="F21" s="32" t="s">
        <v>1206</v>
      </c>
      <c r="G21" s="32" t="s">
        <v>1206</v>
      </c>
      <c r="H21" s="32" t="s">
        <v>1206</v>
      </c>
      <c r="I21" s="32" t="s">
        <v>1206</v>
      </c>
      <c r="J21" s="32" t="s">
        <v>1033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36" t="s">
        <v>1245</v>
      </c>
      <c r="B22" s="43" t="s">
        <v>1246</v>
      </c>
      <c r="C22" s="37" t="s">
        <v>1232</v>
      </c>
      <c r="D22" s="31" t="str">
        <f>IFERROR(__xludf.DUMMYFUNCTION("JOIN("","",FILTER(Turmas!A:A,Turmas!B:B=B22))"),"20221.02QUI10N.1N,20221.02QUI10N.3N")</f>
        <v>20221.02QUI10N.1N,20221.02QUI10N.3N</v>
      </c>
      <c r="E22" s="32" t="s">
        <v>1206</v>
      </c>
      <c r="F22" s="32" t="s">
        <v>1206</v>
      </c>
      <c r="G22" s="32" t="s">
        <v>1206</v>
      </c>
      <c r="H22" s="32" t="s">
        <v>1206</v>
      </c>
      <c r="I22" s="32" t="s">
        <v>1206</v>
      </c>
      <c r="J22" s="32" t="s">
        <v>1033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36" t="s">
        <v>1247</v>
      </c>
      <c r="B23" s="43" t="s">
        <v>1248</v>
      </c>
      <c r="C23" s="37" t="s">
        <v>1232</v>
      </c>
      <c r="D23" s="31" t="str">
        <f>IFERROR(__xludf.DUMMYFUNCTION("JOIN("","",FILTER(Turmas!A:A,Turmas!B:B=B23))"),"20221.02SGT11N.1N,20221.02SGT11N.3N")</f>
        <v>20221.02SGT11N.1N,20221.02SGT11N.3N</v>
      </c>
      <c r="E23" s="32" t="s">
        <v>1206</v>
      </c>
      <c r="F23" s="32" t="s">
        <v>1206</v>
      </c>
      <c r="G23" s="32" t="s">
        <v>1206</v>
      </c>
      <c r="H23" s="32" t="s">
        <v>1206</v>
      </c>
      <c r="I23" s="32" t="s">
        <v>1206</v>
      </c>
      <c r="J23" s="32" t="s">
        <v>1033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36" t="s">
        <v>1249</v>
      </c>
      <c r="B24" s="37" t="s">
        <v>1250</v>
      </c>
      <c r="C24" s="37" t="s">
        <v>1251</v>
      </c>
      <c r="D24" s="31" t="str">
        <f>IFERROR(__xludf.DUMMYFUNCTION("JOIN("","",FILTER(Turmas!A:A,Turmas!B:B=B24))"),"20221.02ADM11N.1N,20221.02ADM11N.3N")</f>
        <v>20221.02ADM11N.1N,20221.02ADM11N.3N</v>
      </c>
      <c r="E24" s="32" t="s">
        <v>1206</v>
      </c>
      <c r="F24" s="32" t="s">
        <v>1206</v>
      </c>
      <c r="G24" s="32" t="s">
        <v>1206</v>
      </c>
      <c r="H24" s="32" t="s">
        <v>1206</v>
      </c>
      <c r="I24" s="32" t="s">
        <v>1206</v>
      </c>
      <c r="J24" s="32" t="s">
        <v>1033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36" t="s">
        <v>1252</v>
      </c>
      <c r="B25" s="37" t="s">
        <v>1253</v>
      </c>
      <c r="C25" s="37" t="s">
        <v>1251</v>
      </c>
      <c r="D25" s="31" t="str">
        <f>IFERROR(__xludf.DUMMYFUNCTION("JOIN("","",FILTER(Turmas!A:A,Turmas!B:B=B25))"),"20221.02EDI12N.1N,20221.02EDI12N.4N,20221.02EDI12N.5N,20221.02EDI12N.6N")</f>
        <v>20221.02EDI12N.1N,20221.02EDI12N.4N,20221.02EDI12N.5N,20221.02EDI12N.6N</v>
      </c>
      <c r="E25" s="32" t="s">
        <v>1206</v>
      </c>
      <c r="F25" s="32" t="s">
        <v>1206</v>
      </c>
      <c r="G25" s="32" t="s">
        <v>1206</v>
      </c>
      <c r="H25" s="32" t="s">
        <v>1206</v>
      </c>
      <c r="I25" s="32" t="s">
        <v>1206</v>
      </c>
      <c r="J25" s="32" t="s">
        <v>1033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36" t="s">
        <v>1254</v>
      </c>
      <c r="B26" s="37" t="s">
        <v>1255</v>
      </c>
      <c r="C26" s="37" t="s">
        <v>1200</v>
      </c>
      <c r="D26" s="31" t="str">
        <f>IFERROR(__xludf.DUMMYFUNCTION("JOIN("","",FILTER(Turmas!A:A,Turmas!B:B=B26))"),"#N/A")</f>
        <v>#N/A</v>
      </c>
      <c r="E26" s="32" t="s">
        <v>1033</v>
      </c>
      <c r="F26" s="32" t="s">
        <v>1033</v>
      </c>
      <c r="G26" s="32" t="s">
        <v>1033</v>
      </c>
      <c r="H26" s="32" t="s">
        <v>1033</v>
      </c>
      <c r="I26" s="32" t="s">
        <v>1033</v>
      </c>
      <c r="J26" s="32" t="s">
        <v>1033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36"/>
      <c r="B27" s="37"/>
      <c r="C27" s="37"/>
      <c r="D27" s="44"/>
      <c r="E27" s="32"/>
      <c r="F27" s="32"/>
      <c r="G27" s="32"/>
      <c r="H27" s="32"/>
      <c r="I27" s="32"/>
      <c r="J27" s="32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36"/>
      <c r="B28" s="37"/>
      <c r="C28" s="37"/>
      <c r="D28" s="44"/>
      <c r="E28" s="32"/>
      <c r="F28" s="32"/>
      <c r="G28" s="32"/>
      <c r="H28" s="32"/>
      <c r="I28" s="32"/>
      <c r="J28" s="32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36"/>
      <c r="B29" s="37"/>
      <c r="C29" s="37"/>
      <c r="D29" s="44"/>
      <c r="E29" s="32"/>
      <c r="F29" s="32"/>
      <c r="G29" s="32"/>
      <c r="H29" s="32"/>
      <c r="I29" s="32"/>
      <c r="J29" s="32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36"/>
      <c r="B30" s="37"/>
      <c r="C30" s="37"/>
      <c r="D30" s="44"/>
      <c r="E30" s="32"/>
      <c r="F30" s="32"/>
      <c r="G30" s="32"/>
      <c r="H30" s="32"/>
      <c r="I30" s="32"/>
      <c r="J30" s="32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36"/>
      <c r="B31" s="37"/>
      <c r="C31" s="37"/>
      <c r="D31" s="44"/>
      <c r="E31" s="32"/>
      <c r="F31" s="32"/>
      <c r="G31" s="32"/>
      <c r="H31" s="32"/>
      <c r="I31" s="32"/>
      <c r="J31" s="32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36"/>
      <c r="B32" s="37"/>
      <c r="C32" s="37"/>
      <c r="D32" s="44"/>
      <c r="E32" s="32"/>
      <c r="F32" s="32"/>
      <c r="G32" s="32"/>
      <c r="H32" s="32"/>
      <c r="I32" s="32"/>
      <c r="J32" s="32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36"/>
      <c r="B33" s="37"/>
      <c r="C33" s="37"/>
      <c r="D33" s="44"/>
      <c r="E33" s="32"/>
      <c r="F33" s="32"/>
      <c r="G33" s="32"/>
      <c r="H33" s="32"/>
      <c r="I33" s="32"/>
      <c r="J33" s="32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36"/>
      <c r="B34" s="37"/>
      <c r="C34" s="37"/>
      <c r="D34" s="44"/>
      <c r="E34" s="32"/>
      <c r="F34" s="32"/>
      <c r="G34" s="32"/>
      <c r="H34" s="32"/>
      <c r="I34" s="32"/>
      <c r="J34" s="32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36"/>
      <c r="B35" s="37"/>
      <c r="C35" s="37"/>
      <c r="D35" s="44"/>
      <c r="E35" s="32"/>
      <c r="F35" s="32"/>
      <c r="G35" s="32"/>
      <c r="H35" s="32"/>
      <c r="I35" s="32"/>
      <c r="J35" s="32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36"/>
      <c r="B36" s="37"/>
      <c r="C36" s="37"/>
      <c r="D36" s="44"/>
      <c r="E36" s="32"/>
      <c r="F36" s="32"/>
      <c r="G36" s="32"/>
      <c r="H36" s="32"/>
      <c r="I36" s="32"/>
      <c r="J36" s="32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36"/>
      <c r="B37" s="37"/>
      <c r="C37" s="37"/>
      <c r="D37" s="44"/>
      <c r="E37" s="32"/>
      <c r="F37" s="32"/>
      <c r="G37" s="32"/>
      <c r="H37" s="32"/>
      <c r="I37" s="32"/>
      <c r="J37" s="32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36"/>
      <c r="B38" s="37"/>
      <c r="C38" s="37"/>
      <c r="D38" s="44"/>
      <c r="E38" s="32"/>
      <c r="F38" s="32"/>
      <c r="G38" s="32"/>
      <c r="H38" s="32"/>
      <c r="I38" s="32"/>
      <c r="J38" s="32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36"/>
      <c r="B39" s="37"/>
      <c r="C39" s="37"/>
      <c r="D39" s="44"/>
      <c r="E39" s="32"/>
      <c r="F39" s="32"/>
      <c r="G39" s="32"/>
      <c r="H39" s="32"/>
      <c r="I39" s="32"/>
      <c r="J39" s="32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36"/>
      <c r="B40" s="37"/>
      <c r="C40" s="37"/>
      <c r="D40" s="44"/>
      <c r="E40" s="32"/>
      <c r="F40" s="32"/>
      <c r="G40" s="32"/>
      <c r="H40" s="32"/>
      <c r="I40" s="32"/>
      <c r="J40" s="32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36"/>
      <c r="B41" s="37"/>
      <c r="C41" s="37"/>
      <c r="D41" s="44"/>
      <c r="E41" s="32"/>
      <c r="F41" s="32"/>
      <c r="G41" s="32"/>
      <c r="H41" s="32"/>
      <c r="I41" s="32"/>
      <c r="J41" s="32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36"/>
      <c r="B42" s="37"/>
      <c r="C42" s="37"/>
      <c r="D42" s="44"/>
      <c r="E42" s="32"/>
      <c r="F42" s="32"/>
      <c r="G42" s="32"/>
      <c r="H42" s="32"/>
      <c r="I42" s="32"/>
      <c r="J42" s="32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36"/>
      <c r="B43" s="37"/>
      <c r="C43" s="37"/>
      <c r="D43" s="44"/>
      <c r="E43" s="32"/>
      <c r="F43" s="32"/>
      <c r="G43" s="32"/>
      <c r="H43" s="32"/>
      <c r="I43" s="32"/>
      <c r="J43" s="32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36"/>
      <c r="B44" s="37"/>
      <c r="C44" s="37"/>
      <c r="D44" s="44"/>
      <c r="E44" s="32"/>
      <c r="F44" s="32"/>
      <c r="G44" s="32"/>
      <c r="H44" s="32"/>
      <c r="I44" s="32"/>
      <c r="J44" s="32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36"/>
      <c r="B45" s="37"/>
      <c r="C45" s="37"/>
      <c r="D45" s="44"/>
      <c r="E45" s="32"/>
      <c r="F45" s="32"/>
      <c r="G45" s="32"/>
      <c r="H45" s="32"/>
      <c r="I45" s="32"/>
      <c r="J45" s="32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36"/>
      <c r="B46" s="37"/>
      <c r="C46" s="37"/>
      <c r="D46" s="44"/>
      <c r="E46" s="32"/>
      <c r="F46" s="32"/>
      <c r="G46" s="32"/>
      <c r="H46" s="32"/>
      <c r="I46" s="32"/>
      <c r="J46" s="32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36"/>
      <c r="B47" s="37"/>
      <c r="C47" s="37"/>
      <c r="D47" s="44"/>
      <c r="E47" s="32"/>
      <c r="F47" s="32"/>
      <c r="G47" s="32"/>
      <c r="H47" s="32"/>
      <c r="I47" s="32"/>
      <c r="J47" s="32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36"/>
      <c r="B48" s="37"/>
      <c r="C48" s="37"/>
      <c r="D48" s="44"/>
      <c r="E48" s="32"/>
      <c r="F48" s="32"/>
      <c r="G48" s="32"/>
      <c r="H48" s="32"/>
      <c r="I48" s="32"/>
      <c r="J48" s="32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36"/>
      <c r="B49" s="37"/>
      <c r="C49" s="37"/>
      <c r="D49" s="44"/>
      <c r="E49" s="32"/>
      <c r="F49" s="32"/>
      <c r="G49" s="32"/>
      <c r="H49" s="32"/>
      <c r="I49" s="32"/>
      <c r="J49" s="32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36"/>
      <c r="B50" s="37"/>
      <c r="C50" s="37"/>
      <c r="D50" s="44"/>
      <c r="E50" s="32"/>
      <c r="F50" s="32"/>
      <c r="G50" s="32"/>
      <c r="H50" s="32"/>
      <c r="I50" s="32"/>
      <c r="J50" s="32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36"/>
      <c r="B51" s="37"/>
      <c r="C51" s="37"/>
      <c r="D51" s="44"/>
      <c r="E51" s="32"/>
      <c r="F51" s="32"/>
      <c r="G51" s="32"/>
      <c r="H51" s="32"/>
      <c r="I51" s="32"/>
      <c r="J51" s="32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36"/>
      <c r="B52" s="37"/>
      <c r="C52" s="37"/>
      <c r="D52" s="44"/>
      <c r="E52" s="32"/>
      <c r="F52" s="32"/>
      <c r="G52" s="32"/>
      <c r="H52" s="32"/>
      <c r="I52" s="32"/>
      <c r="J52" s="32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36"/>
      <c r="B53" s="37"/>
      <c r="C53" s="37"/>
      <c r="D53" s="44"/>
      <c r="E53" s="32"/>
      <c r="F53" s="32"/>
      <c r="G53" s="32"/>
      <c r="H53" s="32"/>
      <c r="I53" s="32"/>
      <c r="J53" s="32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36"/>
      <c r="B54" s="37"/>
      <c r="C54" s="37"/>
      <c r="D54" s="44"/>
      <c r="E54" s="32"/>
      <c r="F54" s="32"/>
      <c r="G54" s="32"/>
      <c r="H54" s="32"/>
      <c r="I54" s="32"/>
      <c r="J54" s="32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36"/>
      <c r="B55" s="37"/>
      <c r="C55" s="37"/>
      <c r="D55" s="44"/>
      <c r="E55" s="32"/>
      <c r="F55" s="32"/>
      <c r="G55" s="32"/>
      <c r="H55" s="32"/>
      <c r="I55" s="32"/>
      <c r="J55" s="32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36"/>
      <c r="B56" s="37"/>
      <c r="C56" s="37"/>
      <c r="D56" s="44"/>
      <c r="E56" s="32"/>
      <c r="F56" s="32"/>
      <c r="G56" s="32"/>
      <c r="H56" s="32"/>
      <c r="I56" s="32"/>
      <c r="J56" s="32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36"/>
      <c r="B57" s="37"/>
      <c r="C57" s="37"/>
      <c r="D57" s="44"/>
      <c r="E57" s="32"/>
      <c r="F57" s="32"/>
      <c r="G57" s="32"/>
      <c r="H57" s="32"/>
      <c r="I57" s="32"/>
      <c r="J57" s="32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36"/>
      <c r="B58" s="37"/>
      <c r="C58" s="37"/>
      <c r="D58" s="44"/>
      <c r="E58" s="32"/>
      <c r="F58" s="32"/>
      <c r="G58" s="32"/>
      <c r="H58" s="32"/>
      <c r="I58" s="32"/>
      <c r="J58" s="32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36"/>
      <c r="B59" s="37"/>
      <c r="C59" s="37"/>
      <c r="D59" s="44"/>
      <c r="E59" s="32"/>
      <c r="F59" s="32"/>
      <c r="G59" s="32"/>
      <c r="H59" s="32"/>
      <c r="I59" s="32"/>
      <c r="J59" s="32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36"/>
      <c r="B60" s="37"/>
      <c r="C60" s="37"/>
      <c r="D60" s="44"/>
      <c r="E60" s="32"/>
      <c r="F60" s="32"/>
      <c r="G60" s="32"/>
      <c r="H60" s="32"/>
      <c r="I60" s="32"/>
      <c r="J60" s="32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36"/>
      <c r="B61" s="37"/>
      <c r="C61" s="37"/>
      <c r="D61" s="44"/>
      <c r="E61" s="32"/>
      <c r="F61" s="32"/>
      <c r="G61" s="32"/>
      <c r="H61" s="32"/>
      <c r="I61" s="32"/>
      <c r="J61" s="32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36"/>
      <c r="B62" s="37"/>
      <c r="C62" s="37"/>
      <c r="D62" s="44"/>
      <c r="E62" s="32"/>
      <c r="F62" s="32"/>
      <c r="G62" s="32"/>
      <c r="H62" s="32"/>
      <c r="I62" s="32"/>
      <c r="J62" s="32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36"/>
      <c r="B63" s="37"/>
      <c r="C63" s="37"/>
      <c r="D63" s="44"/>
      <c r="E63" s="32"/>
      <c r="F63" s="32"/>
      <c r="G63" s="32"/>
      <c r="H63" s="32"/>
      <c r="I63" s="32"/>
      <c r="J63" s="32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36"/>
      <c r="B64" s="37"/>
      <c r="C64" s="37"/>
      <c r="D64" s="44"/>
      <c r="E64" s="32"/>
      <c r="F64" s="32"/>
      <c r="G64" s="32"/>
      <c r="H64" s="32"/>
      <c r="I64" s="32"/>
      <c r="J64" s="32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36"/>
      <c r="B65" s="37"/>
      <c r="C65" s="37"/>
      <c r="D65" s="44"/>
      <c r="E65" s="32"/>
      <c r="F65" s="32"/>
      <c r="G65" s="32"/>
      <c r="H65" s="32"/>
      <c r="I65" s="32"/>
      <c r="J65" s="32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36"/>
      <c r="B66" s="37"/>
      <c r="C66" s="37"/>
      <c r="D66" s="44"/>
      <c r="E66" s="32"/>
      <c r="F66" s="32"/>
      <c r="G66" s="32"/>
      <c r="H66" s="32"/>
      <c r="I66" s="32"/>
      <c r="J66" s="32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36"/>
      <c r="B67" s="37"/>
      <c r="C67" s="37"/>
      <c r="D67" s="44"/>
      <c r="E67" s="32"/>
      <c r="F67" s="32"/>
      <c r="G67" s="32"/>
      <c r="H67" s="32"/>
      <c r="I67" s="32"/>
      <c r="J67" s="32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36"/>
      <c r="B68" s="37"/>
      <c r="C68" s="37"/>
      <c r="D68" s="44"/>
      <c r="E68" s="32"/>
      <c r="F68" s="32"/>
      <c r="G68" s="32"/>
      <c r="H68" s="32"/>
      <c r="I68" s="32"/>
      <c r="J68" s="32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36"/>
      <c r="B69" s="37"/>
      <c r="C69" s="37"/>
      <c r="D69" s="44"/>
      <c r="E69" s="32"/>
      <c r="F69" s="32"/>
      <c r="G69" s="32"/>
      <c r="H69" s="32"/>
      <c r="I69" s="32"/>
      <c r="J69" s="32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36"/>
      <c r="B70" s="37"/>
      <c r="C70" s="37"/>
      <c r="D70" s="44"/>
      <c r="E70" s="32"/>
      <c r="F70" s="32"/>
      <c r="G70" s="32"/>
      <c r="H70" s="32"/>
      <c r="I70" s="32"/>
      <c r="J70" s="32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36"/>
      <c r="B71" s="37"/>
      <c r="C71" s="37"/>
      <c r="D71" s="44"/>
      <c r="E71" s="32"/>
      <c r="F71" s="32"/>
      <c r="G71" s="32"/>
      <c r="H71" s="32"/>
      <c r="I71" s="32"/>
      <c r="J71" s="32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36"/>
      <c r="B72" s="37"/>
      <c r="C72" s="37"/>
      <c r="D72" s="44"/>
      <c r="E72" s="32"/>
      <c r="F72" s="32"/>
      <c r="G72" s="32"/>
      <c r="H72" s="32"/>
      <c r="I72" s="32"/>
      <c r="J72" s="32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36"/>
      <c r="B73" s="37"/>
      <c r="C73" s="37"/>
      <c r="D73" s="44"/>
      <c r="E73" s="32"/>
      <c r="F73" s="32"/>
      <c r="G73" s="32"/>
      <c r="H73" s="32"/>
      <c r="I73" s="32"/>
      <c r="J73" s="32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36"/>
      <c r="B74" s="37"/>
      <c r="C74" s="37"/>
      <c r="D74" s="44"/>
      <c r="E74" s="32"/>
      <c r="F74" s="32"/>
      <c r="G74" s="32"/>
      <c r="H74" s="32"/>
      <c r="I74" s="32"/>
      <c r="J74" s="32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36"/>
      <c r="B75" s="37"/>
      <c r="C75" s="37"/>
      <c r="D75" s="44"/>
      <c r="E75" s="32"/>
      <c r="F75" s="32"/>
      <c r="G75" s="32"/>
      <c r="H75" s="32"/>
      <c r="I75" s="32"/>
      <c r="J75" s="32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36"/>
      <c r="B76" s="37"/>
      <c r="C76" s="37"/>
      <c r="D76" s="44"/>
      <c r="E76" s="32"/>
      <c r="F76" s="32"/>
      <c r="G76" s="32"/>
      <c r="H76" s="32"/>
      <c r="I76" s="32"/>
      <c r="J76" s="32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36"/>
      <c r="B77" s="37"/>
      <c r="C77" s="37"/>
      <c r="D77" s="44"/>
      <c r="E77" s="32"/>
      <c r="F77" s="32"/>
      <c r="G77" s="32"/>
      <c r="H77" s="32"/>
      <c r="I77" s="32"/>
      <c r="J77" s="32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36"/>
      <c r="B78" s="37"/>
      <c r="C78" s="37"/>
      <c r="D78" s="44"/>
      <c r="E78" s="32"/>
      <c r="F78" s="32"/>
      <c r="G78" s="32"/>
      <c r="H78" s="32"/>
      <c r="I78" s="32"/>
      <c r="J78" s="32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36"/>
      <c r="B79" s="37"/>
      <c r="C79" s="37"/>
      <c r="D79" s="44"/>
      <c r="E79" s="32"/>
      <c r="F79" s="32"/>
      <c r="G79" s="32"/>
      <c r="H79" s="32"/>
      <c r="I79" s="32"/>
      <c r="J79" s="32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36"/>
      <c r="B80" s="37"/>
      <c r="C80" s="37"/>
      <c r="D80" s="44"/>
      <c r="E80" s="32"/>
      <c r="F80" s="32"/>
      <c r="G80" s="32"/>
      <c r="H80" s="32"/>
      <c r="I80" s="32"/>
      <c r="J80" s="32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36"/>
      <c r="B81" s="37"/>
      <c r="C81" s="37"/>
      <c r="D81" s="44"/>
      <c r="E81" s="32"/>
      <c r="F81" s="32"/>
      <c r="G81" s="32"/>
      <c r="H81" s="32"/>
      <c r="I81" s="32"/>
      <c r="J81" s="32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36"/>
      <c r="B82" s="37"/>
      <c r="C82" s="37"/>
      <c r="D82" s="44"/>
      <c r="E82" s="32"/>
      <c r="F82" s="32"/>
      <c r="G82" s="32"/>
      <c r="H82" s="32"/>
      <c r="I82" s="32"/>
      <c r="J82" s="32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36"/>
      <c r="B83" s="37"/>
      <c r="C83" s="37"/>
      <c r="D83" s="44"/>
      <c r="E83" s="32"/>
      <c r="F83" s="32"/>
      <c r="G83" s="32"/>
      <c r="H83" s="32"/>
      <c r="I83" s="32"/>
      <c r="J83" s="32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36"/>
      <c r="B84" s="37"/>
      <c r="C84" s="37"/>
      <c r="D84" s="44"/>
      <c r="E84" s="32"/>
      <c r="F84" s="32"/>
      <c r="G84" s="32"/>
      <c r="H84" s="32"/>
      <c r="I84" s="32"/>
      <c r="J84" s="32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36"/>
      <c r="B85" s="37"/>
      <c r="C85" s="37"/>
      <c r="D85" s="44"/>
      <c r="E85" s="32"/>
      <c r="F85" s="32"/>
      <c r="G85" s="32"/>
      <c r="H85" s="32"/>
      <c r="I85" s="32"/>
      <c r="J85" s="32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36"/>
      <c r="B86" s="37"/>
      <c r="C86" s="37"/>
      <c r="D86" s="44"/>
      <c r="E86" s="32"/>
      <c r="F86" s="32"/>
      <c r="G86" s="32"/>
      <c r="H86" s="32"/>
      <c r="I86" s="32"/>
      <c r="J86" s="32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36"/>
      <c r="B87" s="37"/>
      <c r="C87" s="37"/>
      <c r="D87" s="44"/>
      <c r="E87" s="32"/>
      <c r="F87" s="32"/>
      <c r="G87" s="32"/>
      <c r="H87" s="32"/>
      <c r="I87" s="32"/>
      <c r="J87" s="32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36"/>
      <c r="B88" s="37"/>
      <c r="C88" s="37"/>
      <c r="D88" s="44"/>
      <c r="E88" s="32"/>
      <c r="F88" s="32"/>
      <c r="G88" s="32"/>
      <c r="H88" s="32"/>
      <c r="I88" s="32"/>
      <c r="J88" s="32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36"/>
      <c r="B89" s="37"/>
      <c r="C89" s="37"/>
      <c r="D89" s="44"/>
      <c r="E89" s="32"/>
      <c r="F89" s="32"/>
      <c r="G89" s="32"/>
      <c r="H89" s="32"/>
      <c r="I89" s="32"/>
      <c r="J89" s="32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36"/>
      <c r="B90" s="37"/>
      <c r="C90" s="37"/>
      <c r="D90" s="44"/>
      <c r="E90" s="32"/>
      <c r="F90" s="32"/>
      <c r="G90" s="32"/>
      <c r="H90" s="32"/>
      <c r="I90" s="32"/>
      <c r="J90" s="32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36"/>
      <c r="B91" s="37"/>
      <c r="C91" s="37"/>
      <c r="D91" s="44"/>
      <c r="E91" s="32"/>
      <c r="F91" s="32"/>
      <c r="G91" s="32"/>
      <c r="H91" s="32"/>
      <c r="I91" s="32"/>
      <c r="J91" s="32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36"/>
      <c r="B92" s="37"/>
      <c r="C92" s="37"/>
      <c r="D92" s="44"/>
      <c r="E92" s="32"/>
      <c r="F92" s="32"/>
      <c r="G92" s="32"/>
      <c r="H92" s="32"/>
      <c r="I92" s="32"/>
      <c r="J92" s="32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36"/>
      <c r="B93" s="37"/>
      <c r="C93" s="37"/>
      <c r="D93" s="44"/>
      <c r="E93" s="32"/>
      <c r="F93" s="32"/>
      <c r="G93" s="32"/>
      <c r="H93" s="32"/>
      <c r="I93" s="32"/>
      <c r="J93" s="32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36"/>
      <c r="B94" s="37"/>
      <c r="C94" s="37"/>
      <c r="D94" s="44"/>
      <c r="E94" s="32"/>
      <c r="F94" s="32"/>
      <c r="G94" s="32"/>
      <c r="H94" s="32"/>
      <c r="I94" s="32"/>
      <c r="J94" s="32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36"/>
      <c r="B95" s="37"/>
      <c r="C95" s="37"/>
      <c r="D95" s="44"/>
      <c r="E95" s="32"/>
      <c r="F95" s="32"/>
      <c r="G95" s="32"/>
      <c r="H95" s="32"/>
      <c r="I95" s="32"/>
      <c r="J95" s="32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36"/>
      <c r="B96" s="37"/>
      <c r="C96" s="37"/>
      <c r="D96" s="44"/>
      <c r="E96" s="32"/>
      <c r="F96" s="32"/>
      <c r="G96" s="32"/>
      <c r="H96" s="32"/>
      <c r="I96" s="32"/>
      <c r="J96" s="32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36"/>
      <c r="B97" s="37"/>
      <c r="C97" s="37"/>
      <c r="D97" s="44"/>
      <c r="E97" s="32"/>
      <c r="F97" s="32"/>
      <c r="G97" s="32"/>
      <c r="H97" s="32"/>
      <c r="I97" s="32"/>
      <c r="J97" s="32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36"/>
      <c r="B98" s="37"/>
      <c r="C98" s="37"/>
      <c r="D98" s="44"/>
      <c r="E98" s="32"/>
      <c r="F98" s="32"/>
      <c r="G98" s="32"/>
      <c r="H98" s="32"/>
      <c r="I98" s="32"/>
      <c r="J98" s="32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36"/>
      <c r="B99" s="37"/>
      <c r="C99" s="37"/>
      <c r="D99" s="44"/>
      <c r="E99" s="32"/>
      <c r="F99" s="32"/>
      <c r="G99" s="32"/>
      <c r="H99" s="32"/>
      <c r="I99" s="32"/>
      <c r="J99" s="32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36"/>
      <c r="B100" s="37"/>
      <c r="C100" s="37"/>
      <c r="D100" s="44"/>
      <c r="E100" s="32"/>
      <c r="F100" s="32"/>
      <c r="G100" s="32"/>
      <c r="H100" s="32"/>
      <c r="I100" s="32"/>
      <c r="J100" s="32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36"/>
      <c r="B101" s="37"/>
      <c r="C101" s="37"/>
      <c r="D101" s="44"/>
      <c r="E101" s="32"/>
      <c r="F101" s="32"/>
      <c r="G101" s="32"/>
      <c r="H101" s="32"/>
      <c r="I101" s="32"/>
      <c r="J101" s="32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36"/>
      <c r="B102" s="37"/>
      <c r="C102" s="37"/>
      <c r="D102" s="44"/>
      <c r="E102" s="32"/>
      <c r="F102" s="32"/>
      <c r="G102" s="32"/>
      <c r="H102" s="32"/>
      <c r="I102" s="32"/>
      <c r="J102" s="32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36"/>
      <c r="B103" s="37"/>
      <c r="C103" s="37"/>
      <c r="D103" s="44"/>
      <c r="E103" s="32"/>
      <c r="F103" s="32"/>
      <c r="G103" s="32"/>
      <c r="H103" s="32"/>
      <c r="I103" s="32"/>
      <c r="J103" s="32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36"/>
      <c r="B104" s="37"/>
      <c r="C104" s="37"/>
      <c r="D104" s="44"/>
      <c r="E104" s="32"/>
      <c r="F104" s="32"/>
      <c r="G104" s="32"/>
      <c r="H104" s="32"/>
      <c r="I104" s="32"/>
      <c r="J104" s="32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36"/>
      <c r="B105" s="37"/>
      <c r="C105" s="37"/>
      <c r="D105" s="44"/>
      <c r="E105" s="32"/>
      <c r="F105" s="32"/>
      <c r="G105" s="32"/>
      <c r="H105" s="32"/>
      <c r="I105" s="32"/>
      <c r="J105" s="32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36"/>
      <c r="B106" s="37"/>
      <c r="C106" s="37"/>
      <c r="D106" s="44"/>
      <c r="E106" s="32"/>
      <c r="F106" s="32"/>
      <c r="G106" s="32"/>
      <c r="H106" s="32"/>
      <c r="I106" s="32"/>
      <c r="J106" s="32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36"/>
      <c r="B107" s="37"/>
      <c r="C107" s="37"/>
      <c r="D107" s="44"/>
      <c r="E107" s="32"/>
      <c r="F107" s="32"/>
      <c r="G107" s="32"/>
      <c r="H107" s="32"/>
      <c r="I107" s="32"/>
      <c r="J107" s="32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36"/>
      <c r="B108" s="37"/>
      <c r="C108" s="37"/>
      <c r="D108" s="44"/>
      <c r="E108" s="32"/>
      <c r="F108" s="32"/>
      <c r="G108" s="32"/>
      <c r="H108" s="32"/>
      <c r="I108" s="32"/>
      <c r="J108" s="32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36"/>
      <c r="B109" s="37"/>
      <c r="C109" s="37"/>
      <c r="D109" s="44"/>
      <c r="E109" s="32"/>
      <c r="F109" s="32"/>
      <c r="G109" s="32"/>
      <c r="H109" s="32"/>
      <c r="I109" s="32"/>
      <c r="J109" s="32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36"/>
      <c r="B110" s="37"/>
      <c r="C110" s="37"/>
      <c r="D110" s="44"/>
      <c r="E110" s="32"/>
      <c r="F110" s="32"/>
      <c r="G110" s="32"/>
      <c r="H110" s="32"/>
      <c r="I110" s="32"/>
      <c r="J110" s="32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36"/>
      <c r="B111" s="37"/>
      <c r="C111" s="37"/>
      <c r="D111" s="44"/>
      <c r="E111" s="32"/>
      <c r="F111" s="32"/>
      <c r="G111" s="32"/>
      <c r="H111" s="32"/>
      <c r="I111" s="32"/>
      <c r="J111" s="32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36"/>
      <c r="B112" s="37"/>
      <c r="C112" s="37"/>
      <c r="D112" s="44"/>
      <c r="E112" s="32"/>
      <c r="F112" s="32"/>
      <c r="G112" s="32"/>
      <c r="H112" s="32"/>
      <c r="I112" s="32"/>
      <c r="J112" s="32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36"/>
      <c r="B113" s="37"/>
      <c r="C113" s="37"/>
      <c r="D113" s="44"/>
      <c r="E113" s="32"/>
      <c r="F113" s="32"/>
      <c r="G113" s="32"/>
      <c r="H113" s="32"/>
      <c r="I113" s="32"/>
      <c r="J113" s="32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36"/>
      <c r="B114" s="37"/>
      <c r="C114" s="37"/>
      <c r="D114" s="44"/>
      <c r="E114" s="32"/>
      <c r="F114" s="32"/>
      <c r="G114" s="32"/>
      <c r="H114" s="32"/>
      <c r="I114" s="32"/>
      <c r="J114" s="32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36"/>
      <c r="B115" s="37"/>
      <c r="C115" s="37"/>
      <c r="D115" s="44"/>
      <c r="E115" s="32"/>
      <c r="F115" s="32"/>
      <c r="G115" s="32"/>
      <c r="H115" s="32"/>
      <c r="I115" s="32"/>
      <c r="J115" s="32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36"/>
      <c r="B116" s="37"/>
      <c r="C116" s="37"/>
      <c r="D116" s="44"/>
      <c r="E116" s="32"/>
      <c r="F116" s="32"/>
      <c r="G116" s="32"/>
      <c r="H116" s="32"/>
      <c r="I116" s="32"/>
      <c r="J116" s="32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36"/>
      <c r="B117" s="37"/>
      <c r="C117" s="37"/>
      <c r="D117" s="44"/>
      <c r="E117" s="32"/>
      <c r="F117" s="32"/>
      <c r="G117" s="32"/>
      <c r="H117" s="32"/>
      <c r="I117" s="32"/>
      <c r="J117" s="32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36"/>
      <c r="B118" s="37"/>
      <c r="C118" s="37"/>
      <c r="D118" s="44"/>
      <c r="E118" s="32"/>
      <c r="F118" s="32"/>
      <c r="G118" s="32"/>
      <c r="H118" s="32"/>
      <c r="I118" s="32"/>
      <c r="J118" s="32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36"/>
      <c r="B119" s="37"/>
      <c r="C119" s="37"/>
      <c r="D119" s="44"/>
      <c r="E119" s="32"/>
      <c r="F119" s="32"/>
      <c r="G119" s="32"/>
      <c r="H119" s="32"/>
      <c r="I119" s="32"/>
      <c r="J119" s="32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36"/>
      <c r="B120" s="37"/>
      <c r="C120" s="37"/>
      <c r="D120" s="44"/>
      <c r="E120" s="32"/>
      <c r="F120" s="32"/>
      <c r="G120" s="32"/>
      <c r="H120" s="32"/>
      <c r="I120" s="32"/>
      <c r="J120" s="32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36"/>
      <c r="B121" s="37"/>
      <c r="C121" s="37"/>
      <c r="D121" s="44"/>
      <c r="E121" s="32"/>
      <c r="F121" s="32"/>
      <c r="G121" s="32"/>
      <c r="H121" s="32"/>
      <c r="I121" s="32"/>
      <c r="J121" s="32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36"/>
      <c r="B122" s="37"/>
      <c r="C122" s="37"/>
      <c r="D122" s="44"/>
      <c r="E122" s="32"/>
      <c r="F122" s="32"/>
      <c r="G122" s="32"/>
      <c r="H122" s="32"/>
      <c r="I122" s="32"/>
      <c r="J122" s="32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36"/>
      <c r="B123" s="37"/>
      <c r="C123" s="37"/>
      <c r="D123" s="44"/>
      <c r="E123" s="32"/>
      <c r="F123" s="32"/>
      <c r="G123" s="32"/>
      <c r="H123" s="32"/>
      <c r="I123" s="32"/>
      <c r="J123" s="32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36"/>
      <c r="B124" s="37"/>
      <c r="C124" s="37"/>
      <c r="D124" s="44"/>
      <c r="E124" s="32"/>
      <c r="F124" s="32"/>
      <c r="G124" s="32"/>
      <c r="H124" s="32"/>
      <c r="I124" s="32"/>
      <c r="J124" s="32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36"/>
      <c r="B125" s="37"/>
      <c r="C125" s="37"/>
      <c r="D125" s="44"/>
      <c r="E125" s="32"/>
      <c r="F125" s="32"/>
      <c r="G125" s="32"/>
      <c r="H125" s="32"/>
      <c r="I125" s="32"/>
      <c r="J125" s="32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36"/>
      <c r="B126" s="37"/>
      <c r="C126" s="37"/>
      <c r="D126" s="44"/>
      <c r="E126" s="32"/>
      <c r="F126" s="32"/>
      <c r="G126" s="32"/>
      <c r="H126" s="32"/>
      <c r="I126" s="32"/>
      <c r="J126" s="32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36"/>
      <c r="B127" s="37"/>
      <c r="C127" s="37"/>
      <c r="D127" s="44"/>
      <c r="E127" s="32"/>
      <c r="F127" s="32"/>
      <c r="G127" s="32"/>
      <c r="H127" s="32"/>
      <c r="I127" s="32"/>
      <c r="J127" s="32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36"/>
      <c r="B128" s="37"/>
      <c r="C128" s="37"/>
      <c r="D128" s="44"/>
      <c r="E128" s="32"/>
      <c r="F128" s="32"/>
      <c r="G128" s="32"/>
      <c r="H128" s="32"/>
      <c r="I128" s="32"/>
      <c r="J128" s="32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36"/>
      <c r="B129" s="37"/>
      <c r="C129" s="37"/>
      <c r="D129" s="44"/>
      <c r="E129" s="32"/>
      <c r="F129" s="32"/>
      <c r="G129" s="32"/>
      <c r="H129" s="32"/>
      <c r="I129" s="32"/>
      <c r="J129" s="32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36"/>
      <c r="B130" s="37"/>
      <c r="C130" s="37"/>
      <c r="D130" s="44"/>
      <c r="E130" s="32"/>
      <c r="F130" s="32"/>
      <c r="G130" s="32"/>
      <c r="H130" s="32"/>
      <c r="I130" s="32"/>
      <c r="J130" s="32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36"/>
      <c r="B131" s="37"/>
      <c r="C131" s="37"/>
      <c r="D131" s="44"/>
      <c r="E131" s="32"/>
      <c r="F131" s="32"/>
      <c r="G131" s="32"/>
      <c r="H131" s="32"/>
      <c r="I131" s="32"/>
      <c r="J131" s="32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36"/>
      <c r="B132" s="37"/>
      <c r="C132" s="37"/>
      <c r="D132" s="44"/>
      <c r="E132" s="32"/>
      <c r="F132" s="32"/>
      <c r="G132" s="32"/>
      <c r="H132" s="32"/>
      <c r="I132" s="32"/>
      <c r="J132" s="32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36"/>
      <c r="B133" s="37"/>
      <c r="C133" s="37"/>
      <c r="D133" s="44"/>
      <c r="E133" s="32"/>
      <c r="F133" s="32"/>
      <c r="G133" s="32"/>
      <c r="H133" s="32"/>
      <c r="I133" s="32"/>
      <c r="J133" s="32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36"/>
      <c r="B134" s="37"/>
      <c r="C134" s="37"/>
      <c r="D134" s="44"/>
      <c r="E134" s="32"/>
      <c r="F134" s="32"/>
      <c r="G134" s="32"/>
      <c r="H134" s="32"/>
      <c r="I134" s="32"/>
      <c r="J134" s="32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36"/>
      <c r="B135" s="37"/>
      <c r="C135" s="37"/>
      <c r="D135" s="44"/>
      <c r="E135" s="32"/>
      <c r="F135" s="32"/>
      <c r="G135" s="32"/>
      <c r="H135" s="32"/>
      <c r="I135" s="32"/>
      <c r="J135" s="32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36"/>
      <c r="B136" s="37"/>
      <c r="C136" s="37"/>
      <c r="D136" s="44"/>
      <c r="E136" s="32"/>
      <c r="F136" s="32"/>
      <c r="G136" s="32"/>
      <c r="H136" s="32"/>
      <c r="I136" s="32"/>
      <c r="J136" s="32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36"/>
      <c r="B137" s="37"/>
      <c r="C137" s="37"/>
      <c r="D137" s="44"/>
      <c r="E137" s="32"/>
      <c r="F137" s="32"/>
      <c r="G137" s="32"/>
      <c r="H137" s="32"/>
      <c r="I137" s="32"/>
      <c r="J137" s="32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36"/>
      <c r="B138" s="37"/>
      <c r="C138" s="37"/>
      <c r="D138" s="44"/>
      <c r="E138" s="32"/>
      <c r="F138" s="32"/>
      <c r="G138" s="32"/>
      <c r="H138" s="32"/>
      <c r="I138" s="32"/>
      <c r="J138" s="32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36"/>
      <c r="B139" s="37"/>
      <c r="C139" s="37"/>
      <c r="D139" s="44"/>
      <c r="E139" s="32"/>
      <c r="F139" s="32"/>
      <c r="G139" s="32"/>
      <c r="H139" s="32"/>
      <c r="I139" s="32"/>
      <c r="J139" s="32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36"/>
      <c r="B140" s="37"/>
      <c r="C140" s="37"/>
      <c r="D140" s="44"/>
      <c r="E140" s="32"/>
      <c r="F140" s="32"/>
      <c r="G140" s="32"/>
      <c r="H140" s="32"/>
      <c r="I140" s="32"/>
      <c r="J140" s="32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36"/>
      <c r="B141" s="37"/>
      <c r="C141" s="37"/>
      <c r="D141" s="44"/>
      <c r="E141" s="32"/>
      <c r="F141" s="32"/>
      <c r="G141" s="32"/>
      <c r="H141" s="32"/>
      <c r="I141" s="32"/>
      <c r="J141" s="32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36"/>
      <c r="B142" s="37"/>
      <c r="C142" s="37"/>
      <c r="D142" s="44"/>
      <c r="E142" s="32"/>
      <c r="F142" s="32"/>
      <c r="G142" s="32"/>
      <c r="H142" s="32"/>
      <c r="I142" s="32"/>
      <c r="J142" s="32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36"/>
      <c r="B143" s="37"/>
      <c r="C143" s="37"/>
      <c r="D143" s="44"/>
      <c r="E143" s="32"/>
      <c r="F143" s="32"/>
      <c r="G143" s="32"/>
      <c r="H143" s="32"/>
      <c r="I143" s="32"/>
      <c r="J143" s="32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36"/>
      <c r="B144" s="37"/>
      <c r="C144" s="37"/>
      <c r="D144" s="44"/>
      <c r="E144" s="32"/>
      <c r="F144" s="32"/>
      <c r="G144" s="32"/>
      <c r="H144" s="32"/>
      <c r="I144" s="32"/>
      <c r="J144" s="32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36"/>
      <c r="B145" s="37"/>
      <c r="C145" s="37"/>
      <c r="D145" s="44"/>
      <c r="E145" s="32"/>
      <c r="F145" s="32"/>
      <c r="G145" s="32"/>
      <c r="H145" s="32"/>
      <c r="I145" s="32"/>
      <c r="J145" s="32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36"/>
      <c r="B146" s="37"/>
      <c r="C146" s="37"/>
      <c r="D146" s="44"/>
      <c r="E146" s="32"/>
      <c r="F146" s="32"/>
      <c r="G146" s="32"/>
      <c r="H146" s="32"/>
      <c r="I146" s="32"/>
      <c r="J146" s="32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36"/>
      <c r="B147" s="37"/>
      <c r="C147" s="37"/>
      <c r="D147" s="44"/>
      <c r="E147" s="32"/>
      <c r="F147" s="32"/>
      <c r="G147" s="32"/>
      <c r="H147" s="32"/>
      <c r="I147" s="32"/>
      <c r="J147" s="32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36"/>
      <c r="B148" s="37"/>
      <c r="C148" s="37"/>
      <c r="D148" s="44"/>
      <c r="E148" s="32"/>
      <c r="F148" s="32"/>
      <c r="G148" s="32"/>
      <c r="H148" s="32"/>
      <c r="I148" s="32"/>
      <c r="J148" s="32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36"/>
      <c r="B149" s="37"/>
      <c r="C149" s="37"/>
      <c r="D149" s="44"/>
      <c r="E149" s="32"/>
      <c r="F149" s="32"/>
      <c r="G149" s="32"/>
      <c r="H149" s="32"/>
      <c r="I149" s="32"/>
      <c r="J149" s="32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36"/>
      <c r="B150" s="37"/>
      <c r="C150" s="37"/>
      <c r="D150" s="44"/>
      <c r="E150" s="32"/>
      <c r="F150" s="32"/>
      <c r="G150" s="32"/>
      <c r="H150" s="32"/>
      <c r="I150" s="32"/>
      <c r="J150" s="32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36"/>
      <c r="B151" s="37"/>
      <c r="C151" s="37"/>
      <c r="D151" s="44"/>
      <c r="E151" s="32"/>
      <c r="F151" s="32"/>
      <c r="G151" s="32"/>
      <c r="H151" s="32"/>
      <c r="I151" s="32"/>
      <c r="J151" s="32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36"/>
      <c r="B152" s="37"/>
      <c r="C152" s="37"/>
      <c r="D152" s="44"/>
      <c r="E152" s="32"/>
      <c r="F152" s="32"/>
      <c r="G152" s="32"/>
      <c r="H152" s="32"/>
      <c r="I152" s="32"/>
      <c r="J152" s="32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36"/>
      <c r="B153" s="37"/>
      <c r="C153" s="37"/>
      <c r="D153" s="44"/>
      <c r="E153" s="32"/>
      <c r="F153" s="32"/>
      <c r="G153" s="32"/>
      <c r="H153" s="32"/>
      <c r="I153" s="32"/>
      <c r="J153" s="32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36"/>
      <c r="B154" s="37"/>
      <c r="C154" s="37"/>
      <c r="D154" s="44"/>
      <c r="E154" s="32"/>
      <c r="F154" s="32"/>
      <c r="G154" s="32"/>
      <c r="H154" s="32"/>
      <c r="I154" s="32"/>
      <c r="J154" s="32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36"/>
      <c r="B155" s="37"/>
      <c r="C155" s="37"/>
      <c r="D155" s="44"/>
      <c r="E155" s="32"/>
      <c r="F155" s="32"/>
      <c r="G155" s="32"/>
      <c r="H155" s="32"/>
      <c r="I155" s="32"/>
      <c r="J155" s="32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36"/>
      <c r="B156" s="37"/>
      <c r="C156" s="37"/>
      <c r="D156" s="44"/>
      <c r="E156" s="32"/>
      <c r="F156" s="32"/>
      <c r="G156" s="32"/>
      <c r="H156" s="32"/>
      <c r="I156" s="32"/>
      <c r="J156" s="32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36"/>
      <c r="B157" s="37"/>
      <c r="C157" s="37"/>
      <c r="D157" s="44"/>
      <c r="E157" s="32"/>
      <c r="F157" s="32"/>
      <c r="G157" s="32"/>
      <c r="H157" s="32"/>
      <c r="I157" s="32"/>
      <c r="J157" s="32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36"/>
      <c r="B158" s="37"/>
      <c r="C158" s="37"/>
      <c r="D158" s="44"/>
      <c r="E158" s="32"/>
      <c r="F158" s="32"/>
      <c r="G158" s="32"/>
      <c r="H158" s="32"/>
      <c r="I158" s="32"/>
      <c r="J158" s="32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36"/>
      <c r="B159" s="37"/>
      <c r="C159" s="37"/>
      <c r="D159" s="44"/>
      <c r="E159" s="32"/>
      <c r="F159" s="32"/>
      <c r="G159" s="32"/>
      <c r="H159" s="32"/>
      <c r="I159" s="32"/>
      <c r="J159" s="32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36"/>
      <c r="B160" s="37"/>
      <c r="C160" s="37"/>
      <c r="D160" s="44"/>
      <c r="E160" s="32"/>
      <c r="F160" s="32"/>
      <c r="G160" s="32"/>
      <c r="H160" s="32"/>
      <c r="I160" s="32"/>
      <c r="J160" s="32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36"/>
      <c r="B161" s="37"/>
      <c r="C161" s="37"/>
      <c r="D161" s="44"/>
      <c r="E161" s="32"/>
      <c r="F161" s="32"/>
      <c r="G161" s="32"/>
      <c r="H161" s="32"/>
      <c r="I161" s="32"/>
      <c r="J161" s="32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36"/>
      <c r="B162" s="37"/>
      <c r="C162" s="37"/>
      <c r="D162" s="44"/>
      <c r="E162" s="32"/>
      <c r="F162" s="32"/>
      <c r="G162" s="32"/>
      <c r="H162" s="32"/>
      <c r="I162" s="32"/>
      <c r="J162" s="32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36"/>
      <c r="B163" s="37"/>
      <c r="C163" s="37"/>
      <c r="D163" s="44"/>
      <c r="E163" s="32"/>
      <c r="F163" s="32"/>
      <c r="G163" s="32"/>
      <c r="H163" s="32"/>
      <c r="I163" s="32"/>
      <c r="J163" s="32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36"/>
      <c r="B164" s="37"/>
      <c r="C164" s="37"/>
      <c r="D164" s="44"/>
      <c r="E164" s="32"/>
      <c r="F164" s="32"/>
      <c r="G164" s="32"/>
      <c r="H164" s="32"/>
      <c r="I164" s="32"/>
      <c r="J164" s="32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36"/>
      <c r="B165" s="37"/>
      <c r="C165" s="37"/>
      <c r="D165" s="44"/>
      <c r="E165" s="32"/>
      <c r="F165" s="32"/>
      <c r="G165" s="32"/>
      <c r="H165" s="32"/>
      <c r="I165" s="32"/>
      <c r="J165" s="32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36"/>
      <c r="B166" s="37"/>
      <c r="C166" s="37"/>
      <c r="D166" s="44"/>
      <c r="E166" s="32"/>
      <c r="F166" s="32"/>
      <c r="G166" s="32"/>
      <c r="H166" s="32"/>
      <c r="I166" s="32"/>
      <c r="J166" s="32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36"/>
      <c r="B167" s="37"/>
      <c r="C167" s="37"/>
      <c r="D167" s="44"/>
      <c r="E167" s="32"/>
      <c r="F167" s="32"/>
      <c r="G167" s="32"/>
      <c r="H167" s="32"/>
      <c r="I167" s="32"/>
      <c r="J167" s="32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36"/>
      <c r="B168" s="37"/>
      <c r="C168" s="37"/>
      <c r="D168" s="44"/>
      <c r="E168" s="32"/>
      <c r="F168" s="32"/>
      <c r="G168" s="32"/>
      <c r="H168" s="32"/>
      <c r="I168" s="32"/>
      <c r="J168" s="32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36"/>
      <c r="B169" s="37"/>
      <c r="C169" s="37"/>
      <c r="D169" s="44"/>
      <c r="E169" s="32"/>
      <c r="F169" s="32"/>
      <c r="G169" s="32"/>
      <c r="H169" s="32"/>
      <c r="I169" s="32"/>
      <c r="J169" s="32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36"/>
      <c r="B170" s="37"/>
      <c r="C170" s="37"/>
      <c r="D170" s="44"/>
      <c r="E170" s="32"/>
      <c r="F170" s="32"/>
      <c r="G170" s="32"/>
      <c r="H170" s="32"/>
      <c r="I170" s="32"/>
      <c r="J170" s="32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36"/>
      <c r="B171" s="37"/>
      <c r="C171" s="37"/>
      <c r="D171" s="44"/>
      <c r="E171" s="32"/>
      <c r="F171" s="32"/>
      <c r="G171" s="32"/>
      <c r="H171" s="32"/>
      <c r="I171" s="32"/>
      <c r="J171" s="32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36"/>
      <c r="B172" s="37"/>
      <c r="C172" s="37"/>
      <c r="D172" s="44"/>
      <c r="E172" s="32"/>
      <c r="F172" s="32"/>
      <c r="G172" s="32"/>
      <c r="H172" s="32"/>
      <c r="I172" s="32"/>
      <c r="J172" s="32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36"/>
      <c r="B173" s="37"/>
      <c r="C173" s="37"/>
      <c r="D173" s="44"/>
      <c r="E173" s="32"/>
      <c r="F173" s="32"/>
      <c r="G173" s="32"/>
      <c r="H173" s="32"/>
      <c r="I173" s="32"/>
      <c r="J173" s="32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36"/>
      <c r="B174" s="37"/>
      <c r="C174" s="37"/>
      <c r="D174" s="44"/>
      <c r="E174" s="32"/>
      <c r="F174" s="32"/>
      <c r="G174" s="32"/>
      <c r="H174" s="32"/>
      <c r="I174" s="32"/>
      <c r="J174" s="32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36"/>
      <c r="B175" s="37"/>
      <c r="C175" s="37"/>
      <c r="D175" s="44"/>
      <c r="E175" s="32"/>
      <c r="F175" s="32"/>
      <c r="G175" s="32"/>
      <c r="H175" s="32"/>
      <c r="I175" s="32"/>
      <c r="J175" s="32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36"/>
      <c r="B176" s="37"/>
      <c r="C176" s="37"/>
      <c r="D176" s="44"/>
      <c r="E176" s="32"/>
      <c r="F176" s="32"/>
      <c r="G176" s="32"/>
      <c r="H176" s="32"/>
      <c r="I176" s="32"/>
      <c r="J176" s="32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36"/>
      <c r="B177" s="37"/>
      <c r="C177" s="37"/>
      <c r="D177" s="44"/>
      <c r="E177" s="32"/>
      <c r="F177" s="32"/>
      <c r="G177" s="32"/>
      <c r="H177" s="32"/>
      <c r="I177" s="32"/>
      <c r="J177" s="32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36"/>
      <c r="B178" s="37"/>
      <c r="C178" s="37"/>
      <c r="D178" s="44"/>
      <c r="E178" s="32"/>
      <c r="F178" s="32"/>
      <c r="G178" s="32"/>
      <c r="H178" s="32"/>
      <c r="I178" s="32"/>
      <c r="J178" s="32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36"/>
      <c r="B179" s="37"/>
      <c r="C179" s="37"/>
      <c r="D179" s="44"/>
      <c r="E179" s="32"/>
      <c r="F179" s="32"/>
      <c r="G179" s="32"/>
      <c r="H179" s="32"/>
      <c r="I179" s="32"/>
      <c r="J179" s="32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36"/>
      <c r="B180" s="37"/>
      <c r="C180" s="37"/>
      <c r="D180" s="44"/>
      <c r="E180" s="32"/>
      <c r="F180" s="32"/>
      <c r="G180" s="32"/>
      <c r="H180" s="32"/>
      <c r="I180" s="32"/>
      <c r="J180" s="32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36"/>
      <c r="B181" s="37"/>
      <c r="C181" s="37"/>
      <c r="D181" s="44"/>
      <c r="E181" s="32"/>
      <c r="F181" s="32"/>
      <c r="G181" s="32"/>
      <c r="H181" s="32"/>
      <c r="I181" s="32"/>
      <c r="J181" s="32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36"/>
      <c r="B182" s="37"/>
      <c r="C182" s="37"/>
      <c r="D182" s="44"/>
      <c r="E182" s="32"/>
      <c r="F182" s="32"/>
      <c r="G182" s="32"/>
      <c r="H182" s="32"/>
      <c r="I182" s="32"/>
      <c r="J182" s="32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36"/>
      <c r="B183" s="37"/>
      <c r="C183" s="37"/>
      <c r="D183" s="44"/>
      <c r="E183" s="32"/>
      <c r="F183" s="32"/>
      <c r="G183" s="32"/>
      <c r="H183" s="32"/>
      <c r="I183" s="32"/>
      <c r="J183" s="32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36"/>
      <c r="B184" s="37"/>
      <c r="C184" s="37"/>
      <c r="D184" s="44"/>
      <c r="E184" s="32"/>
      <c r="F184" s="32"/>
      <c r="G184" s="32"/>
      <c r="H184" s="32"/>
      <c r="I184" s="32"/>
      <c r="J184" s="32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36"/>
      <c r="B185" s="37"/>
      <c r="C185" s="37"/>
      <c r="D185" s="44"/>
      <c r="E185" s="32"/>
      <c r="F185" s="32"/>
      <c r="G185" s="32"/>
      <c r="H185" s="32"/>
      <c r="I185" s="32"/>
      <c r="J185" s="32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36"/>
      <c r="B186" s="37"/>
      <c r="C186" s="37"/>
      <c r="D186" s="44"/>
      <c r="E186" s="32"/>
      <c r="F186" s="32"/>
      <c r="G186" s="32"/>
      <c r="H186" s="32"/>
      <c r="I186" s="32"/>
      <c r="J186" s="32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36"/>
      <c r="B187" s="37"/>
      <c r="C187" s="37"/>
      <c r="D187" s="44"/>
      <c r="E187" s="32"/>
      <c r="F187" s="32"/>
      <c r="G187" s="32"/>
      <c r="H187" s="32"/>
      <c r="I187" s="32"/>
      <c r="J187" s="32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36"/>
      <c r="B188" s="37"/>
      <c r="C188" s="37"/>
      <c r="D188" s="44"/>
      <c r="E188" s="32"/>
      <c r="F188" s="32"/>
      <c r="G188" s="32"/>
      <c r="H188" s="32"/>
      <c r="I188" s="32"/>
      <c r="J188" s="32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36"/>
      <c r="B189" s="37"/>
      <c r="C189" s="37"/>
      <c r="D189" s="44"/>
      <c r="E189" s="32"/>
      <c r="F189" s="32"/>
      <c r="G189" s="32"/>
      <c r="H189" s="32"/>
      <c r="I189" s="32"/>
      <c r="J189" s="32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36"/>
      <c r="B190" s="37"/>
      <c r="C190" s="37"/>
      <c r="D190" s="44"/>
      <c r="E190" s="32"/>
      <c r="F190" s="32"/>
      <c r="G190" s="32"/>
      <c r="H190" s="32"/>
      <c r="I190" s="32"/>
      <c r="J190" s="32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36"/>
      <c r="B191" s="37"/>
      <c r="C191" s="37"/>
      <c r="D191" s="44"/>
      <c r="E191" s="32"/>
      <c r="F191" s="32"/>
      <c r="G191" s="32"/>
      <c r="H191" s="32"/>
      <c r="I191" s="32"/>
      <c r="J191" s="32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36"/>
      <c r="B192" s="37"/>
      <c r="C192" s="37"/>
      <c r="D192" s="44"/>
      <c r="E192" s="32"/>
      <c r="F192" s="32"/>
      <c r="G192" s="32"/>
      <c r="H192" s="32"/>
      <c r="I192" s="32"/>
      <c r="J192" s="32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36"/>
      <c r="B193" s="37"/>
      <c r="C193" s="37"/>
      <c r="D193" s="44"/>
      <c r="E193" s="32"/>
      <c r="F193" s="32"/>
      <c r="G193" s="32"/>
      <c r="H193" s="32"/>
      <c r="I193" s="32"/>
      <c r="J193" s="32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36"/>
      <c r="B194" s="37"/>
      <c r="C194" s="37"/>
      <c r="D194" s="44"/>
      <c r="E194" s="32"/>
      <c r="F194" s="32"/>
      <c r="G194" s="32"/>
      <c r="H194" s="32"/>
      <c r="I194" s="32"/>
      <c r="J194" s="32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36"/>
      <c r="B195" s="37"/>
      <c r="C195" s="37"/>
      <c r="D195" s="44"/>
      <c r="E195" s="32"/>
      <c r="F195" s="32"/>
      <c r="G195" s="32"/>
      <c r="H195" s="32"/>
      <c r="I195" s="32"/>
      <c r="J195" s="32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36"/>
      <c r="B196" s="37"/>
      <c r="C196" s="37"/>
      <c r="D196" s="44"/>
      <c r="E196" s="32"/>
      <c r="F196" s="32"/>
      <c r="G196" s="32"/>
      <c r="H196" s="32"/>
      <c r="I196" s="32"/>
      <c r="J196" s="32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36"/>
      <c r="B197" s="37"/>
      <c r="C197" s="37"/>
      <c r="D197" s="44"/>
      <c r="E197" s="32"/>
      <c r="F197" s="32"/>
      <c r="G197" s="32"/>
      <c r="H197" s="32"/>
      <c r="I197" s="32"/>
      <c r="J197" s="32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36"/>
      <c r="B198" s="37"/>
      <c r="C198" s="37"/>
      <c r="D198" s="44"/>
      <c r="E198" s="32"/>
      <c r="F198" s="32"/>
      <c r="G198" s="32"/>
      <c r="H198" s="32"/>
      <c r="I198" s="32"/>
      <c r="J198" s="32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36"/>
      <c r="B199" s="37"/>
      <c r="C199" s="37"/>
      <c r="D199" s="44"/>
      <c r="E199" s="32"/>
      <c r="F199" s="32"/>
      <c r="G199" s="32"/>
      <c r="H199" s="32"/>
      <c r="I199" s="32"/>
      <c r="J199" s="32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36"/>
      <c r="B200" s="37"/>
      <c r="C200" s="37"/>
      <c r="D200" s="44"/>
      <c r="E200" s="32"/>
      <c r="F200" s="32"/>
      <c r="G200" s="32"/>
      <c r="H200" s="32"/>
      <c r="I200" s="32"/>
      <c r="J200" s="32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36"/>
      <c r="B201" s="37"/>
      <c r="C201" s="37"/>
      <c r="D201" s="44"/>
      <c r="E201" s="32"/>
      <c r="F201" s="32"/>
      <c r="G201" s="32"/>
      <c r="H201" s="32"/>
      <c r="I201" s="32"/>
      <c r="J201" s="32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36"/>
      <c r="B202" s="37"/>
      <c r="C202" s="37"/>
      <c r="D202" s="44"/>
      <c r="E202" s="32"/>
      <c r="F202" s="32"/>
      <c r="G202" s="32"/>
      <c r="H202" s="32"/>
      <c r="I202" s="32"/>
      <c r="J202" s="32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36"/>
      <c r="B203" s="37"/>
      <c r="C203" s="37"/>
      <c r="D203" s="44"/>
      <c r="E203" s="32"/>
      <c r="F203" s="32"/>
      <c r="G203" s="32"/>
      <c r="H203" s="32"/>
      <c r="I203" s="32"/>
      <c r="J203" s="32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36"/>
      <c r="B204" s="37"/>
      <c r="C204" s="37"/>
      <c r="D204" s="44"/>
      <c r="E204" s="32"/>
      <c r="F204" s="32"/>
      <c r="G204" s="32"/>
      <c r="H204" s="32"/>
      <c r="I204" s="32"/>
      <c r="J204" s="32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36"/>
      <c r="B205" s="37"/>
      <c r="C205" s="37"/>
      <c r="D205" s="44"/>
      <c r="E205" s="32"/>
      <c r="F205" s="32"/>
      <c r="G205" s="32"/>
      <c r="H205" s="32"/>
      <c r="I205" s="32"/>
      <c r="J205" s="32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36"/>
      <c r="B206" s="37"/>
      <c r="C206" s="37"/>
      <c r="D206" s="44"/>
      <c r="E206" s="32"/>
      <c r="F206" s="32"/>
      <c r="G206" s="32"/>
      <c r="H206" s="32"/>
      <c r="I206" s="32"/>
      <c r="J206" s="32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36"/>
      <c r="B207" s="37"/>
      <c r="C207" s="37"/>
      <c r="D207" s="44"/>
      <c r="E207" s="32"/>
      <c r="F207" s="32"/>
      <c r="G207" s="32"/>
      <c r="H207" s="32"/>
      <c r="I207" s="32"/>
      <c r="J207" s="32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36"/>
      <c r="B208" s="37"/>
      <c r="C208" s="37"/>
      <c r="D208" s="44"/>
      <c r="E208" s="32"/>
      <c r="F208" s="32"/>
      <c r="G208" s="32"/>
      <c r="H208" s="32"/>
      <c r="I208" s="32"/>
      <c r="J208" s="32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36"/>
      <c r="B209" s="37"/>
      <c r="C209" s="37"/>
      <c r="D209" s="44"/>
      <c r="E209" s="32"/>
      <c r="F209" s="32"/>
      <c r="G209" s="32"/>
      <c r="H209" s="32"/>
      <c r="I209" s="32"/>
      <c r="J209" s="32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36"/>
      <c r="B210" s="37"/>
      <c r="C210" s="37"/>
      <c r="D210" s="44"/>
      <c r="E210" s="32"/>
      <c r="F210" s="32"/>
      <c r="G210" s="32"/>
      <c r="H210" s="32"/>
      <c r="I210" s="32"/>
      <c r="J210" s="32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36"/>
      <c r="B211" s="37"/>
      <c r="C211" s="37"/>
      <c r="D211" s="44"/>
      <c r="E211" s="32"/>
      <c r="F211" s="32"/>
      <c r="G211" s="32"/>
      <c r="H211" s="32"/>
      <c r="I211" s="32"/>
      <c r="J211" s="32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36"/>
      <c r="B212" s="37"/>
      <c r="C212" s="37"/>
      <c r="D212" s="44"/>
      <c r="E212" s="32"/>
      <c r="F212" s="32"/>
      <c r="G212" s="32"/>
      <c r="H212" s="32"/>
      <c r="I212" s="32"/>
      <c r="J212" s="32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36"/>
      <c r="B213" s="37"/>
      <c r="C213" s="37"/>
      <c r="D213" s="44"/>
      <c r="E213" s="32"/>
      <c r="F213" s="32"/>
      <c r="G213" s="32"/>
      <c r="H213" s="32"/>
      <c r="I213" s="32"/>
      <c r="J213" s="32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36"/>
      <c r="B214" s="37"/>
      <c r="C214" s="37"/>
      <c r="D214" s="44"/>
      <c r="E214" s="32"/>
      <c r="F214" s="32"/>
      <c r="G214" s="32"/>
      <c r="H214" s="32"/>
      <c r="I214" s="32"/>
      <c r="J214" s="32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36"/>
      <c r="B215" s="37"/>
      <c r="C215" s="37"/>
      <c r="D215" s="44"/>
      <c r="E215" s="32"/>
      <c r="F215" s="32"/>
      <c r="G215" s="32"/>
      <c r="H215" s="32"/>
      <c r="I215" s="32"/>
      <c r="J215" s="32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36"/>
      <c r="B216" s="37"/>
      <c r="C216" s="37"/>
      <c r="D216" s="44"/>
      <c r="E216" s="32"/>
      <c r="F216" s="32"/>
      <c r="G216" s="32"/>
      <c r="H216" s="32"/>
      <c r="I216" s="32"/>
      <c r="J216" s="32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36"/>
      <c r="B217" s="37"/>
      <c r="C217" s="37"/>
      <c r="D217" s="44"/>
      <c r="E217" s="32"/>
      <c r="F217" s="32"/>
      <c r="G217" s="32"/>
      <c r="H217" s="32"/>
      <c r="I217" s="32"/>
      <c r="J217" s="32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36"/>
      <c r="B218" s="37"/>
      <c r="C218" s="37"/>
      <c r="D218" s="44"/>
      <c r="E218" s="32"/>
      <c r="F218" s="32"/>
      <c r="G218" s="32"/>
      <c r="H218" s="32"/>
      <c r="I218" s="32"/>
      <c r="J218" s="32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36"/>
      <c r="B219" s="37"/>
      <c r="C219" s="37"/>
      <c r="D219" s="44"/>
      <c r="E219" s="32"/>
      <c r="F219" s="32"/>
      <c r="G219" s="32"/>
      <c r="H219" s="32"/>
      <c r="I219" s="32"/>
      <c r="J219" s="32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36"/>
      <c r="B220" s="37"/>
      <c r="C220" s="37"/>
      <c r="D220" s="44"/>
      <c r="E220" s="32"/>
      <c r="F220" s="32"/>
      <c r="G220" s="32"/>
      <c r="H220" s="32"/>
      <c r="I220" s="32"/>
      <c r="J220" s="32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36"/>
      <c r="B221" s="37"/>
      <c r="C221" s="37"/>
      <c r="D221" s="44"/>
      <c r="E221" s="32"/>
      <c r="F221" s="32"/>
      <c r="G221" s="32"/>
      <c r="H221" s="32"/>
      <c r="I221" s="32"/>
      <c r="J221" s="32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36"/>
      <c r="B222" s="37"/>
      <c r="C222" s="37"/>
      <c r="D222" s="44"/>
      <c r="E222" s="32"/>
      <c r="F222" s="32"/>
      <c r="G222" s="32"/>
      <c r="H222" s="32"/>
      <c r="I222" s="32"/>
      <c r="J222" s="32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36"/>
      <c r="B223" s="37"/>
      <c r="C223" s="37"/>
      <c r="D223" s="44"/>
      <c r="E223" s="32"/>
      <c r="F223" s="32"/>
      <c r="G223" s="32"/>
      <c r="H223" s="32"/>
      <c r="I223" s="32"/>
      <c r="J223" s="32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36"/>
      <c r="B224" s="37"/>
      <c r="C224" s="37"/>
      <c r="D224" s="44"/>
      <c r="E224" s="32"/>
      <c r="F224" s="32"/>
      <c r="G224" s="32"/>
      <c r="H224" s="32"/>
      <c r="I224" s="32"/>
      <c r="J224" s="32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36"/>
      <c r="B225" s="37"/>
      <c r="C225" s="37"/>
      <c r="D225" s="44"/>
      <c r="E225" s="32"/>
      <c r="F225" s="32"/>
      <c r="G225" s="32"/>
      <c r="H225" s="32"/>
      <c r="I225" s="32"/>
      <c r="J225" s="32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36"/>
      <c r="B226" s="37"/>
      <c r="C226" s="37"/>
      <c r="D226" s="44"/>
      <c r="E226" s="32"/>
      <c r="F226" s="32"/>
      <c r="G226" s="32"/>
      <c r="H226" s="32"/>
      <c r="I226" s="32"/>
      <c r="J226" s="32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33.29"/>
    <col customWidth="1" min="3" max="3" width="9.86"/>
    <col customWidth="1" min="4" max="4" width="121.14"/>
    <col customWidth="1" min="5" max="10" width="8.86"/>
    <col customWidth="1" min="11" max="25" width="9.0"/>
  </cols>
  <sheetData>
    <row r="1" ht="14.25" customHeight="1">
      <c r="A1" s="45" t="s">
        <v>0</v>
      </c>
      <c r="B1" s="46" t="s">
        <v>1256</v>
      </c>
      <c r="C1" s="47" t="s">
        <v>1257</v>
      </c>
      <c r="D1" s="48" t="s">
        <v>1</v>
      </c>
      <c r="E1" s="30" t="s">
        <v>8</v>
      </c>
      <c r="F1" s="30" t="s">
        <v>9</v>
      </c>
      <c r="G1" s="30" t="s">
        <v>10</v>
      </c>
      <c r="H1" s="30" t="s">
        <v>11</v>
      </c>
      <c r="I1" s="30" t="s">
        <v>12</v>
      </c>
      <c r="J1" s="30" t="s">
        <v>13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4.25" customHeight="1">
      <c r="A2" s="50" t="s">
        <v>17</v>
      </c>
      <c r="B2" s="51" t="s">
        <v>1250</v>
      </c>
      <c r="C2" s="13" t="s">
        <v>1258</v>
      </c>
      <c r="D2" s="31" t="str">
        <f>IFERROR(__xludf.DUMMYFUNCTION("JOIN("","",FILTER(Disciplinas!A:A, regexmatch(Disciplinas!D:D, A2)))"),"RV.ADM01,RV.ADM02,RV.ADM03,RV.ADM04,RV.ADM401,RV.EXA808,RV.HUM824")</f>
        <v>RV.ADM01,RV.ADM02,RV.ADM03,RV.ADM04,RV.ADM401,RV.EXA808,RV.HUM824</v>
      </c>
      <c r="E2" s="32" t="str">
        <f t="shared" ref="E2:E94" si="1">ifs(C2 = "Manhã", "7-16", C2 = "Tarde", "1-6,13-16", C2 = "Noite", "1-12", C2 = "Integral", "13-16")</f>
        <v>1-12</v>
      </c>
      <c r="F2" s="32" t="str">
        <f t="shared" ref="F2:F94" si="2">ifs(C2 = "Manhã", "7-16", C2 = "Tarde", "1-6,13-16", C2 = "Noite", "1-12", C2 = "Integral", "13-16")</f>
        <v>1-12</v>
      </c>
      <c r="G2" s="32" t="str">
        <f t="shared" ref="G2:G94" si="3">ifs(C2 = "Manhã", "7-16", C2 = "Tarde", "1-6,13-16", C2 = "Noite", "1-12", C2 = "Integral", "13-16")</f>
        <v>1-12</v>
      </c>
      <c r="H2" s="32" t="str">
        <f t="shared" ref="H2:H94" si="4">ifs(C2 = "Manhã", "7-16", C2 = "Tarde", "1-6,13-16", C2 = "Noite", "1-12", C2 = "Integral", "13-16")</f>
        <v>1-12</v>
      </c>
      <c r="I2" s="32" t="str">
        <f t="shared" ref="I2:I94" si="5">ifs(C2 = "Manhã", "7-16", C2 = "Tarde", "1-6,13-16", C2 = "Noite", "1-12", C2 = "Integral", "13-16")</f>
        <v>1-12</v>
      </c>
      <c r="J2" s="32" t="str">
        <f t="shared" ref="J2:J94" si="6">ifs(C2 = "Manhã", "1-16", C2 = "Tarde", "1-16", C2 = "Noite", "12-16", C2 = "Integral", "1-16")</f>
        <v>12-16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ht="14.25" customHeight="1">
      <c r="A3" s="12" t="s">
        <v>38</v>
      </c>
      <c r="B3" s="51" t="s">
        <v>1250</v>
      </c>
      <c r="C3" s="13" t="s">
        <v>1258</v>
      </c>
      <c r="D3" s="31" t="str">
        <f>IFERROR(__xludf.DUMMYFUNCTION("JOIN("","",FILTER(Disciplinas!A:A, regexmatch(Disciplinas!D:D, A3)))"),"RV.ADM09,RV.ADM10,RV.ADM11,RV.ADM405,RV.ADM413,RV.ADM811,TADMRV33")</f>
        <v>RV.ADM09,RV.ADM10,RV.ADM11,RV.ADM405,RV.ADM413,RV.ADM811,TADMRV33</v>
      </c>
      <c r="E3" s="32" t="str">
        <f t="shared" si="1"/>
        <v>1-12</v>
      </c>
      <c r="F3" s="32" t="str">
        <f t="shared" si="2"/>
        <v>1-12</v>
      </c>
      <c r="G3" s="32" t="str">
        <f t="shared" si="3"/>
        <v>1-12</v>
      </c>
      <c r="H3" s="32" t="str">
        <f t="shared" si="4"/>
        <v>1-12</v>
      </c>
      <c r="I3" s="32" t="str">
        <f t="shared" si="5"/>
        <v>1-12</v>
      </c>
      <c r="J3" s="32" t="str">
        <f t="shared" si="6"/>
        <v>12-16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ht="14.25" customHeight="1">
      <c r="A4" s="50" t="s">
        <v>57</v>
      </c>
      <c r="B4" s="51" t="s">
        <v>1231</v>
      </c>
      <c r="C4" s="13" t="s">
        <v>1258</v>
      </c>
      <c r="D4" s="31" t="str">
        <f>IFERROR(__xludf.DUMMYFUNCTION("JOIN("","",FILTER(Disciplinas!A:A, regexmatch(Disciplinas!D:D, A4)))"),"RV.PRO001,RV.PRO003,RV.PRO004")</f>
        <v>RV.PRO001,RV.PRO003,RV.PRO004</v>
      </c>
      <c r="E4" s="32" t="str">
        <f t="shared" si="1"/>
        <v>1-12</v>
      </c>
      <c r="F4" s="32" t="str">
        <f t="shared" si="2"/>
        <v>1-12</v>
      </c>
      <c r="G4" s="32" t="str">
        <f t="shared" si="3"/>
        <v>1-12</v>
      </c>
      <c r="H4" s="32" t="str">
        <f t="shared" si="4"/>
        <v>1-12</v>
      </c>
      <c r="I4" s="32" t="str">
        <f t="shared" si="5"/>
        <v>1-12</v>
      </c>
      <c r="J4" s="32" t="str">
        <f t="shared" si="6"/>
        <v>12-16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14.25" customHeight="1">
      <c r="A5" s="52" t="s">
        <v>65</v>
      </c>
      <c r="B5" s="51" t="s">
        <v>1231</v>
      </c>
      <c r="C5" s="13" t="s">
        <v>1258</v>
      </c>
      <c r="D5" s="31" t="str">
        <f>IFERROR(__xludf.DUMMYFUNCTION("JOIN("","",FILTER(Disciplinas!A:A, regexmatch(Disciplinas!D:D, A5)))"),"RV.PRO025")</f>
        <v>RV.PRO025</v>
      </c>
      <c r="E5" s="32" t="str">
        <f t="shared" si="1"/>
        <v>1-12</v>
      </c>
      <c r="F5" s="32" t="str">
        <f t="shared" si="2"/>
        <v>1-12</v>
      </c>
      <c r="G5" s="32" t="str">
        <f t="shared" si="3"/>
        <v>1-12</v>
      </c>
      <c r="H5" s="32" t="str">
        <f t="shared" si="4"/>
        <v>1-12</v>
      </c>
      <c r="I5" s="32" t="str">
        <f t="shared" si="5"/>
        <v>1-12</v>
      </c>
      <c r="J5" s="32" t="str">
        <f t="shared" si="6"/>
        <v>12-16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ht="14.25" customHeight="1">
      <c r="A6" s="53" t="s">
        <v>69</v>
      </c>
      <c r="B6" s="51" t="s">
        <v>1231</v>
      </c>
      <c r="C6" s="54" t="s">
        <v>1258</v>
      </c>
      <c r="D6" s="31" t="str">
        <f>IFERROR(__xludf.DUMMYFUNCTION("JOIN("","",FILTER(Disciplinas!A:A, regexmatch(Disciplinas!D:D, A6)))"),"RV.PRO14")</f>
        <v>RV.PRO14</v>
      </c>
      <c r="E6" s="32" t="str">
        <f t="shared" si="1"/>
        <v>1-12</v>
      </c>
      <c r="F6" s="32" t="str">
        <f t="shared" si="2"/>
        <v>1-12</v>
      </c>
      <c r="G6" s="32" t="str">
        <f t="shared" si="3"/>
        <v>1-12</v>
      </c>
      <c r="H6" s="32" t="str">
        <f t="shared" si="4"/>
        <v>1-12</v>
      </c>
      <c r="I6" s="32" t="str">
        <f t="shared" si="5"/>
        <v>1-12</v>
      </c>
      <c r="J6" s="32" t="str">
        <f t="shared" si="6"/>
        <v>12-16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ht="14.25" customHeight="1">
      <c r="A7" s="50" t="s">
        <v>72</v>
      </c>
      <c r="B7" s="51" t="s">
        <v>1231</v>
      </c>
      <c r="C7" s="54" t="s">
        <v>1258</v>
      </c>
      <c r="D7" s="31" t="str">
        <f>IFERROR(__xludf.DUMMYFUNCTION("JOIN("","",FILTER(Disciplinas!A:A, regexmatch(Disciplinas!D:D, A7)))"),"RV.CON817,RV.PRO031,RV.PRO032")</f>
        <v>RV.CON817,RV.PRO031,RV.PRO032</v>
      </c>
      <c r="E7" s="32" t="str">
        <f t="shared" si="1"/>
        <v>1-12</v>
      </c>
      <c r="F7" s="32" t="str">
        <f t="shared" si="2"/>
        <v>1-12</v>
      </c>
      <c r="G7" s="32" t="str">
        <f t="shared" si="3"/>
        <v>1-12</v>
      </c>
      <c r="H7" s="32" t="str">
        <f t="shared" si="4"/>
        <v>1-12</v>
      </c>
      <c r="I7" s="32" t="str">
        <f t="shared" si="5"/>
        <v>1-12</v>
      </c>
      <c r="J7" s="32" t="str">
        <f t="shared" si="6"/>
        <v>12-16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ht="14.25" customHeight="1">
      <c r="A8" s="52" t="s">
        <v>81</v>
      </c>
      <c r="B8" s="51" t="s">
        <v>1231</v>
      </c>
      <c r="C8" s="54" t="s">
        <v>1258</v>
      </c>
      <c r="D8" s="31" t="str">
        <f>IFERROR(__xludf.DUMMYFUNCTION("JOIN("","",FILTER(Disciplinas!A:A, regexmatch(Disciplinas!D:D, A8)))"),"RV.PRO029,RV.PRO030")</f>
        <v>RV.PRO029,RV.PRO030</v>
      </c>
      <c r="E8" s="32" t="str">
        <f t="shared" si="1"/>
        <v>1-12</v>
      </c>
      <c r="F8" s="32" t="str">
        <f t="shared" si="2"/>
        <v>1-12</v>
      </c>
      <c r="G8" s="32" t="str">
        <f t="shared" si="3"/>
        <v>1-12</v>
      </c>
      <c r="H8" s="32" t="str">
        <f t="shared" si="4"/>
        <v>1-12</v>
      </c>
      <c r="I8" s="32" t="str">
        <f t="shared" si="5"/>
        <v>1-12</v>
      </c>
      <c r="J8" s="32" t="str">
        <f t="shared" si="6"/>
        <v>12-16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ht="14.25" customHeight="1">
      <c r="A9" s="52" t="s">
        <v>87</v>
      </c>
      <c r="B9" s="55" t="s">
        <v>1199</v>
      </c>
      <c r="C9" s="54" t="s">
        <v>1258</v>
      </c>
      <c r="D9" s="31" t="str">
        <f>IFERROR(__xludf.DUMMYFUNCTION("JOIN("","",FILTER(Disciplinas!A:A, regexmatch(Disciplinas!D:D, A9)))"),"GRAD.ADM.CO.04,GRAD.ADM.EGP.03,GRAD.ADM.LPCC.05,GRAD.ADM.MCF.01,GRAD.ADM.TGA-I.02")</f>
        <v>GRAD.ADM.CO.04,GRAD.ADM.EGP.03,GRAD.ADM.LPCC.05,GRAD.ADM.MCF.01,GRAD.ADM.TGA-I.02</v>
      </c>
      <c r="E9" s="32" t="str">
        <f t="shared" si="1"/>
        <v>1-12</v>
      </c>
      <c r="F9" s="32" t="str">
        <f t="shared" si="2"/>
        <v>1-12</v>
      </c>
      <c r="G9" s="32" t="str">
        <f t="shared" si="3"/>
        <v>1-12</v>
      </c>
      <c r="H9" s="32" t="str">
        <f t="shared" si="4"/>
        <v>1-12</v>
      </c>
      <c r="I9" s="32" t="str">
        <f t="shared" si="5"/>
        <v>1-12</v>
      </c>
      <c r="J9" s="32" t="str">
        <f t="shared" si="6"/>
        <v>12-16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ht="14.25" customHeight="1">
      <c r="A10" s="52" t="s">
        <v>99</v>
      </c>
      <c r="B10" s="55" t="s">
        <v>1199</v>
      </c>
      <c r="C10" s="54" t="s">
        <v>1258</v>
      </c>
      <c r="D10" s="31" t="str">
        <f>IFERROR(__xludf.DUMMYFUNCTION("JOIN("","",FILTER(Disciplinas!A:A, regexmatch(Disciplinas!D:D, A10)))"),"GRAD.ADM.CONT.11,GRAD.ADM.DLE.09,GRAD.ADM.GP-II.10,GRAD.ADM.SO.12,GRAD.ECOBRAS.01")</f>
        <v>GRAD.ADM.CONT.11,GRAD.ADM.DLE.09,GRAD.ADM.GP-II.10,GRAD.ADM.SO.12,GRAD.ECOBRAS.01</v>
      </c>
      <c r="E10" s="32" t="str">
        <f t="shared" si="1"/>
        <v>1-12</v>
      </c>
      <c r="F10" s="32" t="str">
        <f t="shared" si="2"/>
        <v>1-12</v>
      </c>
      <c r="G10" s="32" t="str">
        <f t="shared" si="3"/>
        <v>1-12</v>
      </c>
      <c r="H10" s="32" t="str">
        <f t="shared" si="4"/>
        <v>1-12</v>
      </c>
      <c r="I10" s="32" t="str">
        <f t="shared" si="5"/>
        <v>1-12</v>
      </c>
      <c r="J10" s="32" t="str">
        <f t="shared" si="6"/>
        <v>12-16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ht="14.25" customHeight="1">
      <c r="A11" s="53" t="s">
        <v>114</v>
      </c>
      <c r="B11" s="55" t="s">
        <v>1199</v>
      </c>
      <c r="C11" s="54" t="s">
        <v>1258</v>
      </c>
      <c r="D11" s="31" t="str">
        <f>IFERROR(__xludf.DUMMYFUNCTION("JOIN("","",FILTER(Disciplinas!A:A, regexmatch(Disciplinas!D:D, A11)))"),"GRAD.ADM.AP.19,GRAD.ADM.DT.18,GRAD.ADM.LOGIST.21,GRAD.ADM.MARK-II.20,GRAD.GESTAGRO.01")</f>
        <v>GRAD.ADM.AP.19,GRAD.ADM.DT.18,GRAD.ADM.LOGIST.21,GRAD.ADM.MARK-II.20,GRAD.GESTAGRO.01</v>
      </c>
      <c r="E11" s="32" t="str">
        <f t="shared" si="1"/>
        <v>1-12</v>
      </c>
      <c r="F11" s="32" t="str">
        <f t="shared" si="2"/>
        <v>1-12</v>
      </c>
      <c r="G11" s="32" t="str">
        <f t="shared" si="3"/>
        <v>1-12</v>
      </c>
      <c r="H11" s="32" t="str">
        <f t="shared" si="4"/>
        <v>1-12</v>
      </c>
      <c r="I11" s="32" t="str">
        <f t="shared" si="5"/>
        <v>1-12</v>
      </c>
      <c r="J11" s="32" t="str">
        <f t="shared" si="6"/>
        <v>12-16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ht="14.25" customHeight="1">
      <c r="A12" s="23" t="s">
        <v>126</v>
      </c>
      <c r="B12" s="55" t="s">
        <v>1199</v>
      </c>
      <c r="C12" s="56" t="s">
        <v>1258</v>
      </c>
      <c r="D12" s="31" t="str">
        <f>IFERROR(__xludf.DUMMYFUNCTION("JOIN("","",FILTER(Disciplinas!A:A, regexmatch(Disciplinas!D:D, A12)))"),"GRAD.ADM.ADF.29,GRAD.ADM.APME.27,GRAD.ADM.EAP.26,GRAD.ADM.JE.28,GRAD.MERCCAP.01")</f>
        <v>GRAD.ADM.ADF.29,GRAD.ADM.APME.27,GRAD.ADM.EAP.26,GRAD.ADM.JE.28,GRAD.MERCCAP.01</v>
      </c>
      <c r="E12" s="32" t="str">
        <f t="shared" si="1"/>
        <v>1-12</v>
      </c>
      <c r="F12" s="32" t="str">
        <f t="shared" si="2"/>
        <v>1-12</v>
      </c>
      <c r="G12" s="32" t="str">
        <f t="shared" si="3"/>
        <v>1-12</v>
      </c>
      <c r="H12" s="32" t="str">
        <f t="shared" si="4"/>
        <v>1-12</v>
      </c>
      <c r="I12" s="32" t="str">
        <f t="shared" si="5"/>
        <v>1-12</v>
      </c>
      <c r="J12" s="32" t="str">
        <f t="shared" si="6"/>
        <v>12-16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ht="14.25" customHeight="1">
      <c r="A13" s="53" t="s">
        <v>138</v>
      </c>
      <c r="B13" s="57" t="s">
        <v>1204</v>
      </c>
      <c r="C13" s="56" t="s">
        <v>1258</v>
      </c>
      <c r="D13" s="31" t="str">
        <f>IFERROR(__xludf.DUMMYFUNCTION("JOIN("","",FILTER(Disciplinas!A:A, regexmatch(Disciplinas!D:D, A13)))"),"RV.TCC212,RV.TCC213")</f>
        <v>RV.TCC212,RV.TCC213</v>
      </c>
      <c r="E13" s="32" t="str">
        <f t="shared" si="1"/>
        <v>1-12</v>
      </c>
      <c r="F13" s="32" t="str">
        <f t="shared" si="2"/>
        <v>1-12</v>
      </c>
      <c r="G13" s="32" t="str">
        <f t="shared" si="3"/>
        <v>1-12</v>
      </c>
      <c r="H13" s="32" t="str">
        <f t="shared" si="4"/>
        <v>1-12</v>
      </c>
      <c r="I13" s="32" t="str">
        <f t="shared" si="5"/>
        <v>1-12</v>
      </c>
      <c r="J13" s="32" t="str">
        <f t="shared" si="6"/>
        <v>12-16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ht="14.25" customHeight="1">
      <c r="A14" s="23" t="s">
        <v>144</v>
      </c>
      <c r="B14" s="57" t="s">
        <v>1234</v>
      </c>
      <c r="C14" s="56" t="s">
        <v>1259</v>
      </c>
      <c r="D14" s="31" t="str">
        <f>IFERROR(__xludf.DUMMYFUNCTION("JOIN("","",FILTER(Disciplinas!A:A, regexmatch(Disciplinas!D:D, A14)))"),"RV.EXA224,RV.TAG003,RV.TAG004,RV.TAG005,RV.TAG503")</f>
        <v>RV.EXA224,RV.TAG003,RV.TAG004,RV.TAG005,RV.TAG503</v>
      </c>
      <c r="E14" s="32" t="str">
        <f t="shared" si="1"/>
        <v>7-16</v>
      </c>
      <c r="F14" s="32" t="str">
        <f t="shared" si="2"/>
        <v>7-16</v>
      </c>
      <c r="G14" s="32" t="str">
        <f t="shared" si="3"/>
        <v>7-16</v>
      </c>
      <c r="H14" s="32" t="str">
        <f t="shared" si="4"/>
        <v>7-16</v>
      </c>
      <c r="I14" s="32" t="str">
        <f t="shared" si="5"/>
        <v>7-16</v>
      </c>
      <c r="J14" s="32" t="str">
        <f t="shared" si="6"/>
        <v>1-16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ht="14.25" customHeight="1">
      <c r="A15" s="23" t="s">
        <v>160</v>
      </c>
      <c r="B15" s="57" t="s">
        <v>1234</v>
      </c>
      <c r="C15" s="56" t="s">
        <v>1259</v>
      </c>
      <c r="D15" s="31" t="str">
        <f>IFERROR(__xludf.DUMMYFUNCTION("JOIN("","",FILTER(Disciplinas!A:A, regexmatch(Disciplinas!D:D, A15)))"),"RV.TAG001,RV.TAG002,RV.TAG010,RV.TAG011,RV.TAG012,RV.TAG506")</f>
        <v>RV.TAG001,RV.TAG002,RV.TAG010,RV.TAG011,RV.TAG012,RV.TAG506</v>
      </c>
      <c r="E15" s="32" t="str">
        <f t="shared" si="1"/>
        <v>7-16</v>
      </c>
      <c r="F15" s="32" t="str">
        <f t="shared" si="2"/>
        <v>7-16</v>
      </c>
      <c r="G15" s="32" t="str">
        <f t="shared" si="3"/>
        <v>7-16</v>
      </c>
      <c r="H15" s="32" t="str">
        <f t="shared" si="4"/>
        <v>7-16</v>
      </c>
      <c r="I15" s="32" t="str">
        <f t="shared" si="5"/>
        <v>7-16</v>
      </c>
      <c r="J15" s="32" t="str">
        <f t="shared" si="6"/>
        <v>1-16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ht="14.25" customHeight="1">
      <c r="A16" s="23" t="s">
        <v>175</v>
      </c>
      <c r="B16" s="57" t="s">
        <v>1234</v>
      </c>
      <c r="C16" s="56" t="s">
        <v>1260</v>
      </c>
      <c r="D16" s="31" t="str">
        <f>IFERROR(__xludf.DUMMYFUNCTION("JOIN("","",FILTER(Disciplinas!A:A, regexmatch(Disciplinas!D:D, A16)))"),"RV.EXA224,RV.TAG003,RV.TAG004,RV.TAG005,RV.TAG503")</f>
        <v>RV.EXA224,RV.TAG003,RV.TAG004,RV.TAG005,RV.TAG503</v>
      </c>
      <c r="E16" s="32" t="str">
        <f t="shared" si="1"/>
        <v>1-6,13-16</v>
      </c>
      <c r="F16" s="32" t="str">
        <f t="shared" si="2"/>
        <v>1-6,13-16</v>
      </c>
      <c r="G16" s="32" t="str">
        <f t="shared" si="3"/>
        <v>1-6,13-16</v>
      </c>
      <c r="H16" s="32" t="str">
        <f t="shared" si="4"/>
        <v>1-6,13-16</v>
      </c>
      <c r="I16" s="32" t="str">
        <f t="shared" si="5"/>
        <v>1-6,13-16</v>
      </c>
      <c r="J16" s="32" t="str">
        <f t="shared" si="6"/>
        <v>1-16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ht="14.25" customHeight="1">
      <c r="A17" s="23" t="s">
        <v>176</v>
      </c>
      <c r="B17" s="57" t="s">
        <v>1234</v>
      </c>
      <c r="C17" s="56" t="s">
        <v>1260</v>
      </c>
      <c r="D17" s="31" t="str">
        <f>IFERROR(__xludf.DUMMYFUNCTION("JOIN("","",FILTER(Disciplinas!A:A, regexmatch(Disciplinas!D:D, A17)))"),"RV.TAG001,RV.TAG002,RV.TAG010,RV.TAG011,RV.TAG012,RV.TAG506")</f>
        <v>RV.TAG001,RV.TAG002,RV.TAG010,RV.TAG011,RV.TAG012,RV.TAG506</v>
      </c>
      <c r="E17" s="32" t="str">
        <f t="shared" si="1"/>
        <v>1-6,13-16</v>
      </c>
      <c r="F17" s="32" t="str">
        <f t="shared" si="2"/>
        <v>1-6,13-16</v>
      </c>
      <c r="G17" s="32" t="str">
        <f t="shared" si="3"/>
        <v>1-6,13-16</v>
      </c>
      <c r="H17" s="32" t="str">
        <f t="shared" si="4"/>
        <v>1-6,13-16</v>
      </c>
      <c r="I17" s="32" t="str">
        <f t="shared" si="5"/>
        <v>1-6,13-16</v>
      </c>
      <c r="J17" s="32" t="str">
        <f t="shared" si="6"/>
        <v>1-16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ht="14.25" customHeight="1">
      <c r="A18" s="23" t="s">
        <v>181</v>
      </c>
      <c r="B18" s="57" t="s">
        <v>1208</v>
      </c>
      <c r="C18" s="56" t="s">
        <v>1259</v>
      </c>
      <c r="D18" s="31" t="str">
        <f>IFERROR(__xludf.DUMMYFUNCTION("JOIN("","",FILTER(Disciplinas!A:A, regexmatch(Disciplinas!D:D, A18)))"),"GRAD.AA.01,GRAD.AP.02,GRAD.FLORIC.01,GRAD.RAD.01")</f>
        <v>GRAD.AA.01,GRAD.AP.02,GRAD.FLORIC.01,GRAD.RAD.01</v>
      </c>
      <c r="E18" s="32" t="str">
        <f t="shared" si="1"/>
        <v>7-16</v>
      </c>
      <c r="F18" s="32" t="str">
        <f t="shared" si="2"/>
        <v>7-16</v>
      </c>
      <c r="G18" s="32" t="str">
        <f t="shared" si="3"/>
        <v>7-16</v>
      </c>
      <c r="H18" s="32" t="str">
        <f t="shared" si="4"/>
        <v>7-16</v>
      </c>
      <c r="I18" s="32" t="str">
        <f t="shared" si="5"/>
        <v>7-16</v>
      </c>
      <c r="J18" s="32" t="str">
        <f t="shared" si="6"/>
        <v>1-16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14.25" customHeight="1">
      <c r="A19" s="23" t="s">
        <v>193</v>
      </c>
      <c r="B19" s="57" t="s">
        <v>1208</v>
      </c>
      <c r="C19" s="56" t="s">
        <v>1260</v>
      </c>
      <c r="D19" s="31" t="str">
        <f>IFERROR(__xludf.DUMMYFUNCTION("JOIN("","",FILTER(Disciplinas!A:A, regexmatch(Disciplinas!D:D, A19)))"),"GRAD.BC.12,GRAD.BC.12,GRAD.CDI.01,GRAD.DT.01,GRAD.DT.01,GRAD.EG.07,GRAD.IA.07,GRAD.MC.01,GRAD.QG.01")</f>
        <v>GRAD.BC.12,GRAD.BC.12,GRAD.CDI.01,GRAD.DT.01,GRAD.DT.01,GRAD.EG.07,GRAD.IA.07,GRAD.MC.01,GRAD.QG.01</v>
      </c>
      <c r="E19" s="32" t="str">
        <f t="shared" si="1"/>
        <v>1-6,13-16</v>
      </c>
      <c r="F19" s="32" t="str">
        <f t="shared" si="2"/>
        <v>1-6,13-16</v>
      </c>
      <c r="G19" s="32" t="str">
        <f t="shared" si="3"/>
        <v>1-6,13-16</v>
      </c>
      <c r="H19" s="32" t="str">
        <f t="shared" si="4"/>
        <v>1-6,13-16</v>
      </c>
      <c r="I19" s="32" t="str">
        <f t="shared" si="5"/>
        <v>1-6,13-16</v>
      </c>
      <c r="J19" s="32" t="str">
        <f t="shared" si="6"/>
        <v>1-16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ht="14.25" customHeight="1">
      <c r="A20" s="23" t="s">
        <v>213</v>
      </c>
      <c r="B20" s="57" t="s">
        <v>1208</v>
      </c>
      <c r="C20" s="56" t="s">
        <v>1260</v>
      </c>
      <c r="D20" s="31" t="str">
        <f>IFERROR(__xludf.DUMMYFUNCTION("JOIN("","",FILTER(Disciplinas!A:A, regexmatch(Disciplinas!D:D, A20)))"),"GRAD.EB.01,GRAD.F.01,GRAD.GMS.01,GRAD.M.01,GRAD.OSV.01,GRAD.QO.01")</f>
        <v>GRAD.EB.01,GRAD.F.01,GRAD.GMS.01,GRAD.M.01,GRAD.OSV.01,GRAD.QO.01</v>
      </c>
      <c r="E20" s="32" t="str">
        <f t="shared" si="1"/>
        <v>1-6,13-16</v>
      </c>
      <c r="F20" s="32" t="str">
        <f t="shared" si="2"/>
        <v>1-6,13-16</v>
      </c>
      <c r="G20" s="32" t="str">
        <f t="shared" si="3"/>
        <v>1-6,13-16</v>
      </c>
      <c r="H20" s="32" t="str">
        <f t="shared" si="4"/>
        <v>1-6,13-16</v>
      </c>
      <c r="I20" s="32" t="str">
        <f t="shared" si="5"/>
        <v>1-6,13-16</v>
      </c>
      <c r="J20" s="32" t="str">
        <f t="shared" si="6"/>
        <v>1-16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ht="14.25" customHeight="1">
      <c r="A21" s="23" t="s">
        <v>231</v>
      </c>
      <c r="B21" s="57" t="s">
        <v>1208</v>
      </c>
      <c r="C21" s="56" t="s">
        <v>1259</v>
      </c>
      <c r="D21" s="31" t="str">
        <f>IFERROR(__xludf.DUMMYFUNCTION("JOIN("","",FILTER(Disciplinas!A:A, regexmatch(Disciplinas!D:D, A21)))"),"GRAD.AV.1,GRAD.EE.01,GRAD.EG.05,GRAD.FS.01,GRAD.MA.1,GRAD.QA.01,GRAD.T.01")</f>
        <v>GRAD.AV.1,GRAD.EE.01,GRAD.EG.05,GRAD.FS.01,GRAD.MA.1,GRAD.QA.01,GRAD.T.01</v>
      </c>
      <c r="E21" s="32" t="str">
        <f t="shared" si="1"/>
        <v>7-16</v>
      </c>
      <c r="F21" s="32" t="str">
        <f t="shared" si="2"/>
        <v>7-16</v>
      </c>
      <c r="G21" s="32" t="str">
        <f t="shared" si="3"/>
        <v>7-16</v>
      </c>
      <c r="H21" s="32" t="str">
        <f t="shared" si="4"/>
        <v>7-16</v>
      </c>
      <c r="I21" s="32" t="str">
        <f t="shared" si="5"/>
        <v>7-16</v>
      </c>
      <c r="J21" s="32" t="str">
        <f t="shared" si="6"/>
        <v>1-16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ht="14.25" customHeight="1">
      <c r="A22" s="23" t="s">
        <v>250</v>
      </c>
      <c r="B22" s="57" t="s">
        <v>1208</v>
      </c>
      <c r="C22" s="56" t="s">
        <v>1259</v>
      </c>
      <c r="D22" s="31" t="str">
        <f>IFERROR(__xludf.DUMMYFUNCTION("JOIN("","",FILTER(Disciplinas!A:A, regexmatch(Disciplinas!D:D, A22)))"),"GRAD.BB.01,GRAD.CLS.01,GRAD.EA.31,GRAD.FS.02,GRAD.MMA.01,GRAD.T.02")</f>
        <v>GRAD.BB.01,GRAD.CLS.01,GRAD.EA.31,GRAD.FS.02,GRAD.MMA.01,GRAD.T.02</v>
      </c>
      <c r="E22" s="32" t="str">
        <f t="shared" si="1"/>
        <v>7-16</v>
      </c>
      <c r="F22" s="32" t="str">
        <f t="shared" si="2"/>
        <v>7-16</v>
      </c>
      <c r="G22" s="32" t="str">
        <f t="shared" si="3"/>
        <v>7-16</v>
      </c>
      <c r="H22" s="32" t="str">
        <f t="shared" si="4"/>
        <v>7-16</v>
      </c>
      <c r="I22" s="32" t="str">
        <f t="shared" si="5"/>
        <v>7-16</v>
      </c>
      <c r="J22" s="32" t="str">
        <f t="shared" si="6"/>
        <v>1-16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4.25" customHeight="1">
      <c r="A23" s="23" t="s">
        <v>265</v>
      </c>
      <c r="B23" s="57" t="s">
        <v>1208</v>
      </c>
      <c r="C23" s="56" t="s">
        <v>1260</v>
      </c>
      <c r="D23" s="31" t="str">
        <f>IFERROR(__xludf.DUMMYFUNCTION("JOIN("","",FILTER(Disciplinas!A:A, regexmatch(Disciplinas!D:D, A23)))"),"GRAD.A.25,GRAD.F.32,GRAD.FV.01,GRAD.G.01,GRAD.G.02,GRAD.MCSA.01,GRAD.ZG.02")</f>
        <v>GRAD.A.25,GRAD.F.32,GRAD.FV.01,GRAD.G.01,GRAD.G.02,GRAD.MCSA.01,GRAD.ZG.02</v>
      </c>
      <c r="E23" s="32" t="str">
        <f t="shared" si="1"/>
        <v>1-6,13-16</v>
      </c>
      <c r="F23" s="32" t="str">
        <f t="shared" si="2"/>
        <v>1-6,13-16</v>
      </c>
      <c r="G23" s="32" t="str">
        <f t="shared" si="3"/>
        <v>1-6,13-16</v>
      </c>
      <c r="H23" s="32" t="str">
        <f t="shared" si="4"/>
        <v>1-6,13-16</v>
      </c>
      <c r="I23" s="32" t="str">
        <f t="shared" si="5"/>
        <v>1-6,13-16</v>
      </c>
      <c r="J23" s="32" t="str">
        <f t="shared" si="6"/>
        <v>1-16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14.25" customHeight="1">
      <c r="A24" s="23" t="s">
        <v>283</v>
      </c>
      <c r="B24" s="57" t="s">
        <v>1208</v>
      </c>
      <c r="C24" s="56" t="s">
        <v>1259</v>
      </c>
      <c r="D24" s="31" t="str">
        <f>IFERROR(__xludf.DUMMYFUNCTION("JOIN("","",FILTER(Disciplinas!A:A, regexmatch(Disciplinas!D:D, A24)))"),"GRAD.B.49,GRAD.CMCAST.01,GRAD.FP.01,GRAD.O.45,GRAD.PTS.01,GRAD.S.01")</f>
        <v>GRAD.B.49,GRAD.CMCAST.01,GRAD.FP.01,GRAD.O.45,GRAD.PTS.01,GRAD.S.01</v>
      </c>
      <c r="E24" s="32" t="str">
        <f t="shared" si="1"/>
        <v>7-16</v>
      </c>
      <c r="F24" s="32" t="str">
        <f t="shared" si="2"/>
        <v>7-16</v>
      </c>
      <c r="G24" s="32" t="str">
        <f t="shared" si="3"/>
        <v>7-16</v>
      </c>
      <c r="H24" s="32" t="str">
        <f t="shared" si="4"/>
        <v>7-16</v>
      </c>
      <c r="I24" s="32" t="str">
        <f t="shared" si="5"/>
        <v>7-16</v>
      </c>
      <c r="J24" s="32" t="str">
        <f t="shared" si="6"/>
        <v>1-16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4.25" customHeight="1">
      <c r="A25" s="23" t="s">
        <v>300</v>
      </c>
      <c r="B25" s="57" t="s">
        <v>1208</v>
      </c>
      <c r="C25" s="56" t="s">
        <v>1260</v>
      </c>
      <c r="D25" s="31" t="str">
        <f>IFERROR(__xludf.DUMMYFUNCTION("JOIN("","",FILTER(Disciplinas!A:A, regexmatch(Disciplinas!D:D, A25)))"),"GRAD.AP.01,GRAD.EA.52,GRAD.EGP.02,GRAD.EP.03,GRAD.FMPC.01,GRAD.PPR.01,GRAD.SAG.01,GRAD.SER.03")</f>
        <v>GRAD.AP.01,GRAD.EA.52,GRAD.EGP.02,GRAD.EP.03,GRAD.FMPC.01,GRAD.PPR.01,GRAD.SAG.01,GRAD.SER.03</v>
      </c>
      <c r="E25" s="32" t="str">
        <f t="shared" si="1"/>
        <v>1-6,13-16</v>
      </c>
      <c r="F25" s="32" t="str">
        <f t="shared" si="2"/>
        <v>1-6,13-16</v>
      </c>
      <c r="G25" s="32" t="str">
        <f t="shared" si="3"/>
        <v>1-6,13-16</v>
      </c>
      <c r="H25" s="32" t="str">
        <f t="shared" si="4"/>
        <v>1-6,13-16</v>
      </c>
      <c r="I25" s="32" t="str">
        <f t="shared" si="5"/>
        <v>1-6,13-16</v>
      </c>
      <c r="J25" s="32" t="str">
        <f t="shared" si="6"/>
        <v>1-16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14.25" customHeight="1">
      <c r="A26" s="23" t="s">
        <v>321</v>
      </c>
      <c r="B26" s="57" t="s">
        <v>1208</v>
      </c>
      <c r="C26" s="56" t="s">
        <v>1260</v>
      </c>
      <c r="D26" s="31" t="str">
        <f>IFERROR(__xludf.DUMMYFUNCTION("JOIN("","",FILTER(Disciplinas!A:A, regexmatch(Disciplinas!D:D, A26)))"),"RV.BIO256")</f>
        <v>RV.BIO256</v>
      </c>
      <c r="E26" s="32" t="str">
        <f t="shared" si="1"/>
        <v>1-6,13-16</v>
      </c>
      <c r="F26" s="32" t="str">
        <f t="shared" si="2"/>
        <v>1-6,13-16</v>
      </c>
      <c r="G26" s="32" t="str">
        <f t="shared" si="3"/>
        <v>1-6,13-16</v>
      </c>
      <c r="H26" s="32" t="str">
        <f t="shared" si="4"/>
        <v>1-6,13-16</v>
      </c>
      <c r="I26" s="32" t="str">
        <f t="shared" si="5"/>
        <v>1-6,13-16</v>
      </c>
      <c r="J26" s="32" t="str">
        <f t="shared" si="6"/>
        <v>1-16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4.25" customHeight="1">
      <c r="A27" s="23" t="s">
        <v>324</v>
      </c>
      <c r="B27" s="57" t="s">
        <v>1208</v>
      </c>
      <c r="C27" s="56" t="s">
        <v>1260</v>
      </c>
      <c r="D27" s="31" t="str">
        <f>IFERROR(__xludf.DUMMYFUNCTION("JOIN("","",FILTER(Disciplinas!A:A, regexmatch(Disciplinas!D:D, A27)))"),"RV.AGR239")</f>
        <v>RV.AGR239</v>
      </c>
      <c r="E27" s="32" t="str">
        <f t="shared" si="1"/>
        <v>1-6,13-16</v>
      </c>
      <c r="F27" s="32" t="str">
        <f t="shared" si="2"/>
        <v>1-6,13-16</v>
      </c>
      <c r="G27" s="32" t="str">
        <f t="shared" si="3"/>
        <v>1-6,13-16</v>
      </c>
      <c r="H27" s="32" t="str">
        <f t="shared" si="4"/>
        <v>1-6,13-16</v>
      </c>
      <c r="I27" s="32" t="str">
        <f t="shared" si="5"/>
        <v>1-6,13-16</v>
      </c>
      <c r="J27" s="32" t="str">
        <f t="shared" si="6"/>
        <v>1-16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14.25" customHeight="1">
      <c r="A28" s="24" t="s">
        <v>327</v>
      </c>
      <c r="B28" s="57" t="s">
        <v>1208</v>
      </c>
      <c r="C28" s="56" t="s">
        <v>1260</v>
      </c>
      <c r="D28" s="31" t="str">
        <f>IFERROR(__xludf.DUMMYFUNCTION("JOIN("","",FILTER(Disciplinas!A:A, regexmatch(Disciplinas!D:D, A28)))"),"RV.AGR238,RV.ENG213,RV.ZOO230")</f>
        <v>RV.AGR238,RV.ENG213,RV.ZOO230</v>
      </c>
      <c r="E28" s="32" t="str">
        <f t="shared" si="1"/>
        <v>1-6,13-16</v>
      </c>
      <c r="F28" s="32" t="str">
        <f t="shared" si="2"/>
        <v>1-6,13-16</v>
      </c>
      <c r="G28" s="32" t="str">
        <f t="shared" si="3"/>
        <v>1-6,13-16</v>
      </c>
      <c r="H28" s="32" t="str">
        <f t="shared" si="4"/>
        <v>1-6,13-16</v>
      </c>
      <c r="I28" s="32" t="str">
        <f t="shared" si="5"/>
        <v>1-6,13-16</v>
      </c>
      <c r="J28" s="32" t="str">
        <f t="shared" si="6"/>
        <v>1-16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4.25" customHeight="1">
      <c r="A29" s="24" t="s">
        <v>335</v>
      </c>
      <c r="B29" s="57" t="s">
        <v>1208</v>
      </c>
      <c r="C29" s="56" t="s">
        <v>1260</v>
      </c>
      <c r="D29" s="31" t="str">
        <f>IFERROR(__xludf.DUMMYFUNCTION("JOIN("","",FILTER(Disciplinas!A:A, regexmatch(Disciplinas!D:D, A29)))"),"GRAD.CSFGAM.01,GRAD.F.02,GRAD.F.42")</f>
        <v>GRAD.CSFGAM.01,GRAD.F.02,GRAD.F.42</v>
      </c>
      <c r="E29" s="32" t="str">
        <f t="shared" si="1"/>
        <v>1-6,13-16</v>
      </c>
      <c r="F29" s="32" t="str">
        <f t="shared" si="2"/>
        <v>1-6,13-16</v>
      </c>
      <c r="G29" s="32" t="str">
        <f t="shared" si="3"/>
        <v>1-6,13-16</v>
      </c>
      <c r="H29" s="32" t="str">
        <f t="shared" si="4"/>
        <v>1-6,13-16</v>
      </c>
      <c r="I29" s="32" t="str">
        <f t="shared" si="5"/>
        <v>1-6,13-16</v>
      </c>
      <c r="J29" s="32" t="str">
        <f t="shared" si="6"/>
        <v>1-16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4.25" customHeight="1">
      <c r="A30" s="23" t="s">
        <v>342</v>
      </c>
      <c r="B30" s="57" t="s">
        <v>1236</v>
      </c>
      <c r="C30" s="56" t="s">
        <v>1258</v>
      </c>
      <c r="D30" s="31" t="str">
        <f>IFERROR(__xludf.DUMMYFUNCTION("JOIN("","",FILTER(Disciplinas!A:A, regexmatch(Disciplinas!D:D, A30)))"),"RV.EXA722,RV.QAP428,RV.TAL06,RV.TAL07,RV.TAL08,RV.TAL09,RV.TAL81")</f>
        <v>RV.EXA722,RV.QAP428,RV.TAL06,RV.TAL07,RV.TAL08,RV.TAL09,RV.TAL81</v>
      </c>
      <c r="E30" s="32" t="str">
        <f t="shared" si="1"/>
        <v>1-12</v>
      </c>
      <c r="F30" s="32" t="str">
        <f t="shared" si="2"/>
        <v>1-12</v>
      </c>
      <c r="G30" s="32" t="str">
        <f t="shared" si="3"/>
        <v>1-12</v>
      </c>
      <c r="H30" s="32" t="str">
        <f t="shared" si="4"/>
        <v>1-12</v>
      </c>
      <c r="I30" s="32" t="str">
        <f t="shared" si="5"/>
        <v>1-12</v>
      </c>
      <c r="J30" s="32" t="str">
        <f t="shared" si="6"/>
        <v>12-16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4.25" customHeight="1">
      <c r="A31" s="23" t="s">
        <v>360</v>
      </c>
      <c r="B31" s="57" t="s">
        <v>1236</v>
      </c>
      <c r="C31" s="56" t="s">
        <v>1258</v>
      </c>
      <c r="D31" s="31" t="str">
        <f>IFERROR(__xludf.DUMMYFUNCTION("JOIN("","",FILTER(Disciplinas!A:A, regexmatch(Disciplinas!D:D, A31)))"),"RV.TAL02,RV.TAL03,RV.TAL727,RV.TAL85,RV.TAL87")</f>
        <v>RV.TAL02,RV.TAL03,RV.TAL727,RV.TAL85,RV.TAL87</v>
      </c>
      <c r="E31" s="32" t="str">
        <f t="shared" si="1"/>
        <v>1-12</v>
      </c>
      <c r="F31" s="32" t="str">
        <f t="shared" si="2"/>
        <v>1-12</v>
      </c>
      <c r="G31" s="32" t="str">
        <f t="shared" si="3"/>
        <v>1-12</v>
      </c>
      <c r="H31" s="32" t="str">
        <f t="shared" si="4"/>
        <v>1-12</v>
      </c>
      <c r="I31" s="32" t="str">
        <f t="shared" si="5"/>
        <v>1-12</v>
      </c>
      <c r="J31" s="32" t="str">
        <f t="shared" si="6"/>
        <v>12-16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4.25" customHeight="1">
      <c r="A32" s="23" t="s">
        <v>374</v>
      </c>
      <c r="B32" s="57" t="s">
        <v>1219</v>
      </c>
      <c r="C32" s="56" t="s">
        <v>1260</v>
      </c>
      <c r="D32" s="31" t="str">
        <f>IFERROR(__xludf.DUMMYFUNCTION("JOIN("","",FILTER(Disciplinas!A:A, regexmatch(Disciplinas!D:D, A32)))"),"GRAD.BC.02,GRAD.IEA.01,GRAD.MC.02,GRAD.QGA.01")</f>
        <v>GRAD.BC.02,GRAD.IEA.01,GRAD.MC.02,GRAD.QGA.01</v>
      </c>
      <c r="E32" s="32" t="str">
        <f t="shared" si="1"/>
        <v>1-6,13-16</v>
      </c>
      <c r="F32" s="32" t="str">
        <f t="shared" si="2"/>
        <v>1-6,13-16</v>
      </c>
      <c r="G32" s="32" t="str">
        <f t="shared" si="3"/>
        <v>1-6,13-16</v>
      </c>
      <c r="H32" s="32" t="str">
        <f t="shared" si="4"/>
        <v>1-6,13-16</v>
      </c>
      <c r="I32" s="32" t="str">
        <f t="shared" si="5"/>
        <v>1-6,13-16</v>
      </c>
      <c r="J32" s="32" t="str">
        <f t="shared" si="6"/>
        <v>1-16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4.25" customHeight="1">
      <c r="A33" s="23" t="s">
        <v>383</v>
      </c>
      <c r="B33" s="57" t="s">
        <v>1219</v>
      </c>
      <c r="C33" s="56" t="s">
        <v>1259</v>
      </c>
      <c r="D33" s="31" t="str">
        <f>IFERROR(__xludf.DUMMYFUNCTION("JOIN("","",FILTER(Disciplinas!A:A, regexmatch(Disciplinas!D:D, A33)))"),"GRAD.AI.01,GRAD.EE.02,GRAD.FEE.01,GRAD.FQ.01,GRAD.IOE.01,GRAD.SEDO.02")</f>
        <v>GRAD.AI.01,GRAD.EE.02,GRAD.FEE.01,GRAD.FQ.01,GRAD.IOE.01,GRAD.SEDO.02</v>
      </c>
      <c r="E33" s="32" t="str">
        <f t="shared" si="1"/>
        <v>7-16</v>
      </c>
      <c r="F33" s="32" t="str">
        <f t="shared" si="2"/>
        <v>7-16</v>
      </c>
      <c r="G33" s="32" t="str">
        <f t="shared" si="3"/>
        <v>7-16</v>
      </c>
      <c r="H33" s="32" t="str">
        <f t="shared" si="4"/>
        <v>7-16</v>
      </c>
      <c r="I33" s="32" t="str">
        <f t="shared" si="5"/>
        <v>7-16</v>
      </c>
      <c r="J33" s="32" t="str">
        <f t="shared" si="6"/>
        <v>1-16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4.25" customHeight="1">
      <c r="A34" s="23" t="s">
        <v>399</v>
      </c>
      <c r="B34" s="57" t="s">
        <v>1219</v>
      </c>
      <c r="C34" s="56" t="s">
        <v>1260</v>
      </c>
      <c r="D34" s="31" t="str">
        <f>IFERROR(__xludf.DUMMYFUNCTION("JOIN("","",FILTER(Disciplinas!A:A, regexmatch(Disciplinas!D:D, A34)))"),"GRAD.AA.02,GRAD.FT.02,GRAD.MA.03,GRAD.MS.01,GRAD.NB.01")</f>
        <v>GRAD.AA.02,GRAD.FT.02,GRAD.MA.03,GRAD.MS.01,GRAD.NB.01</v>
      </c>
      <c r="E34" s="32" t="str">
        <f t="shared" si="1"/>
        <v>1-6,13-16</v>
      </c>
      <c r="F34" s="32" t="str">
        <f t="shared" si="2"/>
        <v>1-6,13-16</v>
      </c>
      <c r="G34" s="32" t="str">
        <f t="shared" si="3"/>
        <v>1-6,13-16</v>
      </c>
      <c r="H34" s="32" t="str">
        <f t="shared" si="4"/>
        <v>1-6,13-16</v>
      </c>
      <c r="I34" s="32" t="str">
        <f t="shared" si="5"/>
        <v>1-6,13-16</v>
      </c>
      <c r="J34" s="32" t="str">
        <f t="shared" si="6"/>
        <v>1-16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4.25" customHeight="1">
      <c r="A35" s="23" t="s">
        <v>412</v>
      </c>
      <c r="B35" s="57" t="s">
        <v>1219</v>
      </c>
      <c r="C35" s="56" t="s">
        <v>1259</v>
      </c>
      <c r="D35" s="31" t="str">
        <f>IFERROR(__xludf.DUMMYFUNCTION("JOIN("","",FILTER(Disciplinas!A:A, regexmatch(Disciplinas!D:D, A35)))"),"GRAD.OU.01,GRAD.RIA.01,GRAD.TCAD.01,GRAD.TCPD.01")</f>
        <v>GRAD.OU.01,GRAD.RIA.01,GRAD.TCAD.01,GRAD.TCPD.01</v>
      </c>
      <c r="E35" s="32" t="str">
        <f t="shared" si="1"/>
        <v>7-16</v>
      </c>
      <c r="F35" s="32" t="str">
        <f t="shared" si="2"/>
        <v>7-16</v>
      </c>
      <c r="G35" s="32" t="str">
        <f t="shared" si="3"/>
        <v>7-16</v>
      </c>
      <c r="H35" s="32" t="str">
        <f t="shared" si="4"/>
        <v>7-16</v>
      </c>
      <c r="I35" s="32" t="str">
        <f t="shared" si="5"/>
        <v>7-16</v>
      </c>
      <c r="J35" s="32" t="str">
        <f t="shared" si="6"/>
        <v>1-16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4.25" customHeight="1">
      <c r="A36" s="23" t="s">
        <v>421</v>
      </c>
      <c r="B36" s="57" t="s">
        <v>1219</v>
      </c>
      <c r="C36" s="56" t="s">
        <v>1260</v>
      </c>
      <c r="D36" s="31" t="str">
        <f>IFERROR(__xludf.DUMMYFUNCTION("JOIN("","",FILTER(Disciplinas!A:A, regexmatch(Disciplinas!D:D, A36)))"),"GRAD.AEA.01,GRAD.CGQ.01,GRAD.DNP.01,GRAD.EP.01,GRAD.PI.01,GRAD.TOGS.01,GRAD.TRI.01")</f>
        <v>GRAD.AEA.01,GRAD.CGQ.01,GRAD.DNP.01,GRAD.EP.01,GRAD.PI.01,GRAD.TOGS.01,GRAD.TRI.01</v>
      </c>
      <c r="E36" s="32" t="str">
        <f t="shared" si="1"/>
        <v>1-6,13-16</v>
      </c>
      <c r="F36" s="32" t="str">
        <f t="shared" si="2"/>
        <v>1-6,13-16</v>
      </c>
      <c r="G36" s="32" t="str">
        <f t="shared" si="3"/>
        <v>1-6,13-16</v>
      </c>
      <c r="H36" s="32" t="str">
        <f t="shared" si="4"/>
        <v>1-6,13-16</v>
      </c>
      <c r="I36" s="32" t="str">
        <f t="shared" si="5"/>
        <v>1-6,13-16</v>
      </c>
      <c r="J36" s="32" t="str">
        <f t="shared" si="6"/>
        <v>1-16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4.25" customHeight="1">
      <c r="A37" s="23" t="s">
        <v>437</v>
      </c>
      <c r="B37" s="57" t="s">
        <v>1219</v>
      </c>
      <c r="C37" s="56" t="s">
        <v>1260</v>
      </c>
      <c r="D37" s="31" t="str">
        <f>IFERROR(__xludf.DUMMYFUNCTION("JOIN("","",FILTER(Disciplinas!A:A, regexmatch(Disciplinas!D:D, A37)))"),"GRAD.QO.02")</f>
        <v>GRAD.QO.02</v>
      </c>
      <c r="E37" s="32" t="str">
        <f t="shared" si="1"/>
        <v>1-6,13-16</v>
      </c>
      <c r="F37" s="32" t="str">
        <f t="shared" si="2"/>
        <v>1-6,13-16</v>
      </c>
      <c r="G37" s="32" t="str">
        <f t="shared" si="3"/>
        <v>1-6,13-16</v>
      </c>
      <c r="H37" s="32" t="str">
        <f t="shared" si="4"/>
        <v>1-6,13-16</v>
      </c>
      <c r="I37" s="32" t="str">
        <f t="shared" si="5"/>
        <v>1-6,13-16</v>
      </c>
      <c r="J37" s="32" t="str">
        <f t="shared" si="6"/>
        <v>1-16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4.25" customHeight="1">
      <c r="A38" s="23" t="s">
        <v>438</v>
      </c>
      <c r="B38" s="57" t="s">
        <v>1214</v>
      </c>
      <c r="C38" s="56" t="s">
        <v>1258</v>
      </c>
      <c r="D38" s="31" t="str">
        <f>IFERROR(__xludf.DUMMYFUNCTION("JOIN("","",FILTER(Disciplinas!A:A, regexmatch(Disciplinas!D:D, A38)))"),"GRAD.BC.02,GRAD.BC.02,GRAD.FC.02,GRAD.FF.02,GRAD.FFE.01,GRAD.MC.02,GRAD.QGA.01")</f>
        <v>GRAD.BC.02,GRAD.BC.02,GRAD.FC.02,GRAD.FF.02,GRAD.FFE.01,GRAD.MC.02,GRAD.QGA.01</v>
      </c>
      <c r="E38" s="32" t="str">
        <f t="shared" si="1"/>
        <v>1-12</v>
      </c>
      <c r="F38" s="32" t="str">
        <f t="shared" si="2"/>
        <v>1-12</v>
      </c>
      <c r="G38" s="32" t="str">
        <f t="shared" si="3"/>
        <v>1-12</v>
      </c>
      <c r="H38" s="32" t="str">
        <f t="shared" si="4"/>
        <v>1-12</v>
      </c>
      <c r="I38" s="32" t="str">
        <f t="shared" si="5"/>
        <v>1-12</v>
      </c>
      <c r="J38" s="32" t="str">
        <f t="shared" si="6"/>
        <v>12-16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4.25" customHeight="1">
      <c r="A39" s="23" t="s">
        <v>453</v>
      </c>
      <c r="B39" s="57" t="s">
        <v>1214</v>
      </c>
      <c r="C39" s="56" t="s">
        <v>1258</v>
      </c>
      <c r="D39" s="31" t="str">
        <f>IFERROR(__xludf.DUMMYFUNCTION("JOIN("","",FILTER(Disciplinas!A:A, regexmatch(Disciplinas!D:D, A39)))"),"GRAD.BIOESTAT.01,GRAD.BIOQ.03,GRAD.EMBRIOL.01,GRAD.PE-I.02,GRAD.ZI-II.01")</f>
        <v>GRAD.BIOESTAT.01,GRAD.BIOQ.03,GRAD.EMBRIOL.01,GRAD.PE-I.02,GRAD.ZI-II.01</v>
      </c>
      <c r="E39" s="32" t="str">
        <f t="shared" si="1"/>
        <v>1-12</v>
      </c>
      <c r="F39" s="32" t="str">
        <f t="shared" si="2"/>
        <v>1-12</v>
      </c>
      <c r="G39" s="32" t="str">
        <f t="shared" si="3"/>
        <v>1-12</v>
      </c>
      <c r="H39" s="32" t="str">
        <f t="shared" si="4"/>
        <v>1-12</v>
      </c>
      <c r="I39" s="32" t="str">
        <f t="shared" si="5"/>
        <v>1-12</v>
      </c>
      <c r="J39" s="32" t="str">
        <f t="shared" si="6"/>
        <v>12-16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4.25" customHeight="1">
      <c r="A40" s="23" t="s">
        <v>467</v>
      </c>
      <c r="B40" s="57" t="s">
        <v>1214</v>
      </c>
      <c r="C40" s="56" t="s">
        <v>1258</v>
      </c>
      <c r="D40" s="31" t="str">
        <f>IFERROR(__xludf.DUMMYFUNCTION("JOIN("","",FILTER(Disciplinas!A:A, regexmatch(Disciplinas!D:D, A40)))"),"GRAD.EPC.01,GRAD.GENéT.02,GRAD.MOV.02,GRAD.PE-II.01,GRAD.PPIE-I.01,GRAD.SCE.01")</f>
        <v>GRAD.EPC.01,GRAD.GENéT.02,GRAD.MOV.02,GRAD.PE-II.01,GRAD.PPIE-I.01,GRAD.SCE.01</v>
      </c>
      <c r="E40" s="32" t="str">
        <f t="shared" si="1"/>
        <v>1-12</v>
      </c>
      <c r="F40" s="32" t="str">
        <f t="shared" si="2"/>
        <v>1-12</v>
      </c>
      <c r="G40" s="32" t="str">
        <f t="shared" si="3"/>
        <v>1-12</v>
      </c>
      <c r="H40" s="32" t="str">
        <f t="shared" si="4"/>
        <v>1-12</v>
      </c>
      <c r="I40" s="32" t="str">
        <f t="shared" si="5"/>
        <v>1-12</v>
      </c>
      <c r="J40" s="32" t="str">
        <f t="shared" si="6"/>
        <v>12-16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4.25" customHeight="1">
      <c r="A41" s="23" t="s">
        <v>482</v>
      </c>
      <c r="B41" s="57" t="s">
        <v>1214</v>
      </c>
      <c r="C41" s="56" t="s">
        <v>1258</v>
      </c>
      <c r="D41" s="31" t="str">
        <f>IFERROR(__xludf.DUMMYFUNCTION("JOIN("","",FILTER(Disciplinas!A:A, regexmatch(Disciplinas!D:D, A41)))"),"GRAD.EA.03,GRAD.ECRER.02,GRAD.EVOLUç.02,GRAD.IMUNOL.02,GRAD.LIBRAS.02,GRAD.PPIE-II.01")</f>
        <v>GRAD.EA.03,GRAD.ECRER.02,GRAD.EVOLUç.02,GRAD.IMUNOL.02,GRAD.LIBRAS.02,GRAD.PPIE-II.01</v>
      </c>
      <c r="E41" s="32" t="str">
        <f t="shared" si="1"/>
        <v>1-12</v>
      </c>
      <c r="F41" s="32" t="str">
        <f t="shared" si="2"/>
        <v>1-12</v>
      </c>
      <c r="G41" s="32" t="str">
        <f t="shared" si="3"/>
        <v>1-12</v>
      </c>
      <c r="H41" s="32" t="str">
        <f t="shared" si="4"/>
        <v>1-12</v>
      </c>
      <c r="I41" s="32" t="str">
        <f t="shared" si="5"/>
        <v>1-12</v>
      </c>
      <c r="J41" s="32" t="str">
        <f t="shared" si="6"/>
        <v>12-16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4.25" customHeight="1">
      <c r="A42" s="23" t="s">
        <v>497</v>
      </c>
      <c r="B42" s="57" t="s">
        <v>1212</v>
      </c>
      <c r="C42" s="56" t="s">
        <v>1260</v>
      </c>
      <c r="D42" s="31" t="str">
        <f>IFERROR(__xludf.DUMMYFUNCTION("JOIN("","",FILTER(Disciplinas!A:A, regexmatch(Disciplinas!D:D, A42)))"),"GRAD.BC.02,GRAD.FC.02,GRAD.FC.03,GRAD.FF.01,GRAD.ICB.01,GRAD.MC.02,GRAD.QGA.01,GRAD.RC.03")</f>
        <v>GRAD.BC.02,GRAD.FC.02,GRAD.FC.03,GRAD.FF.01,GRAD.ICB.01,GRAD.MC.02,GRAD.QGA.01,GRAD.RC.03</v>
      </c>
      <c r="E42" s="32" t="str">
        <f t="shared" si="1"/>
        <v>1-6,13-16</v>
      </c>
      <c r="F42" s="32" t="str">
        <f t="shared" si="2"/>
        <v>1-6,13-16</v>
      </c>
      <c r="G42" s="32" t="str">
        <f t="shared" si="3"/>
        <v>1-6,13-16</v>
      </c>
      <c r="H42" s="32" t="str">
        <f t="shared" si="4"/>
        <v>1-6,13-16</v>
      </c>
      <c r="I42" s="32" t="str">
        <f t="shared" si="5"/>
        <v>1-6,13-16</v>
      </c>
      <c r="J42" s="32" t="str">
        <f t="shared" si="6"/>
        <v>1-16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4.25" customHeight="1">
      <c r="A43" s="23" t="s">
        <v>507</v>
      </c>
      <c r="B43" s="57" t="s">
        <v>1212</v>
      </c>
      <c r="C43" s="56" t="s">
        <v>1259</v>
      </c>
      <c r="D43" s="31" t="str">
        <f>IFERROR(__xludf.DUMMYFUNCTION("JOIN("","",FILTER(Disciplinas!A:A, regexmatch(Disciplinas!D:D, A43)))"),"GRAD.AV.01,GRAD.BM.02,GRAD.EMBRIOL.01,GRAD.G.42,GRAD.ZI.02")</f>
        <v>GRAD.AV.01,GRAD.BM.02,GRAD.EMBRIOL.01,GRAD.G.42,GRAD.ZI.02</v>
      </c>
      <c r="E43" s="32" t="str">
        <f t="shared" si="1"/>
        <v>7-16</v>
      </c>
      <c r="F43" s="32" t="str">
        <f t="shared" si="2"/>
        <v>7-16</v>
      </c>
      <c r="G43" s="32" t="str">
        <f t="shared" si="3"/>
        <v>7-16</v>
      </c>
      <c r="H43" s="32" t="str">
        <f t="shared" si="4"/>
        <v>7-16</v>
      </c>
      <c r="I43" s="32" t="str">
        <f t="shared" si="5"/>
        <v>7-16</v>
      </c>
      <c r="J43" s="32" t="str">
        <f t="shared" si="6"/>
        <v>1-16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4.25" customHeight="1">
      <c r="A44" s="23" t="s">
        <v>516</v>
      </c>
      <c r="B44" s="57" t="s">
        <v>1212</v>
      </c>
      <c r="C44" s="56" t="s">
        <v>1260</v>
      </c>
      <c r="D44" s="31" t="str">
        <f>IFERROR(__xludf.DUMMYFUNCTION("JOIN("","",FILTER(Disciplinas!A:A, regexmatch(Disciplinas!D:D, A44)))"),"GRAD.CA.02,GRAD.EIA.01,GRAD.EVOLUç.01,GRAD.LIBRAS.02,GRAD.MG.01,GRAD.PARASITOL.01,GRAD.SV.01,GRAD.ZV.02")</f>
        <v>GRAD.CA.02,GRAD.EIA.01,GRAD.EVOLUç.01,GRAD.LIBRAS.02,GRAD.MG.01,GRAD.PARASITOL.01,GRAD.SV.01,GRAD.ZV.02</v>
      </c>
      <c r="E44" s="32" t="str">
        <f t="shared" si="1"/>
        <v>1-6,13-16</v>
      </c>
      <c r="F44" s="32" t="str">
        <f t="shared" si="2"/>
        <v>1-6,13-16</v>
      </c>
      <c r="G44" s="32" t="str">
        <f t="shared" si="3"/>
        <v>1-6,13-16</v>
      </c>
      <c r="H44" s="32" t="str">
        <f t="shared" si="4"/>
        <v>1-6,13-16</v>
      </c>
      <c r="I44" s="32" t="str">
        <f t="shared" si="5"/>
        <v>1-6,13-16</v>
      </c>
      <c r="J44" s="32" t="str">
        <f t="shared" si="6"/>
        <v>1-16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 ht="14.25" customHeight="1">
      <c r="A45" s="23" t="s">
        <v>532</v>
      </c>
      <c r="B45" s="57" t="s">
        <v>1212</v>
      </c>
      <c r="C45" s="56" t="s">
        <v>1259</v>
      </c>
      <c r="D45" s="31" t="str">
        <f>IFERROR(__xludf.DUMMYFUNCTION("JOIN("","",FILTER(Disciplinas!A:A, regexmatch(Disciplinas!D:D, A45)))"),"GRAD.APA.01,GRAD.ECRER.02,GRAD.FCV.01,GRAD.GP.01,GRAD.ILFFC.01")</f>
        <v>GRAD.APA.01,GRAD.ECRER.02,GRAD.FCV.01,GRAD.GP.01,GRAD.ILFFC.01</v>
      </c>
      <c r="E45" s="32" t="str">
        <f t="shared" si="1"/>
        <v>7-16</v>
      </c>
      <c r="F45" s="32" t="str">
        <f t="shared" si="2"/>
        <v>7-16</v>
      </c>
      <c r="G45" s="32" t="str">
        <f t="shared" si="3"/>
        <v>7-16</v>
      </c>
      <c r="H45" s="32" t="str">
        <f t="shared" si="4"/>
        <v>7-16</v>
      </c>
      <c r="I45" s="32" t="str">
        <f t="shared" si="5"/>
        <v>7-16</v>
      </c>
      <c r="J45" s="32" t="str">
        <f t="shared" si="6"/>
        <v>1-16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ht="14.25" customHeight="1">
      <c r="A46" s="23" t="s">
        <v>543</v>
      </c>
      <c r="B46" s="57" t="s">
        <v>1212</v>
      </c>
      <c r="C46" s="56" t="s">
        <v>1260</v>
      </c>
      <c r="D46" s="31" t="str">
        <f>IFERROR(__xludf.DUMMYFUNCTION("JOIN("","",FILTER(Disciplinas!A:A, regexmatch(Disciplinas!D:D, A46)))"),"GRAD.AM.01,GRAD.BIOINFORMáT.01,GRAD.TEE.01")</f>
        <v>GRAD.AM.01,GRAD.BIOINFORMáT.01,GRAD.TEE.01</v>
      </c>
      <c r="E46" s="32" t="str">
        <f t="shared" si="1"/>
        <v>1-6,13-16</v>
      </c>
      <c r="F46" s="32" t="str">
        <f t="shared" si="2"/>
        <v>1-6,13-16</v>
      </c>
      <c r="G46" s="32" t="str">
        <f t="shared" si="3"/>
        <v>1-6,13-16</v>
      </c>
      <c r="H46" s="32" t="str">
        <f t="shared" si="4"/>
        <v>1-6,13-16</v>
      </c>
      <c r="I46" s="32" t="str">
        <f t="shared" si="5"/>
        <v>1-6,13-16</v>
      </c>
      <c r="J46" s="32" t="str">
        <f t="shared" si="6"/>
        <v>1-16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 ht="14.25" customHeight="1">
      <c r="A47" s="23" t="s">
        <v>551</v>
      </c>
      <c r="B47" s="57" t="s">
        <v>1238</v>
      </c>
      <c r="C47" s="56" t="s">
        <v>1258</v>
      </c>
      <c r="D47" s="31" t="str">
        <f>IFERROR(__xludf.DUMMYFUNCTION("JOIN("","",FILTER(Disciplinas!A:A, regexmatch(Disciplinas!D:D, A47)))"),"CTBIOTRV.1,CTBIOTRV.19,CTBIOTRV.20,CTBIOTRV.3,CTBIOTRV.5,RV.EXA810")</f>
        <v>CTBIOTRV.1,CTBIOTRV.19,CTBIOTRV.20,CTBIOTRV.3,CTBIOTRV.5,RV.EXA810</v>
      </c>
      <c r="E47" s="32" t="str">
        <f t="shared" si="1"/>
        <v>1-12</v>
      </c>
      <c r="F47" s="32" t="str">
        <f t="shared" si="2"/>
        <v>1-12</v>
      </c>
      <c r="G47" s="32" t="str">
        <f t="shared" si="3"/>
        <v>1-12</v>
      </c>
      <c r="H47" s="32" t="str">
        <f t="shared" si="4"/>
        <v>1-12</v>
      </c>
      <c r="I47" s="32" t="str">
        <f t="shared" si="5"/>
        <v>1-12</v>
      </c>
      <c r="J47" s="32" t="str">
        <f t="shared" si="6"/>
        <v>12-16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4.25" customHeight="1">
      <c r="A48" s="23" t="s">
        <v>563</v>
      </c>
      <c r="B48" s="57" t="s">
        <v>1238</v>
      </c>
      <c r="C48" s="56" t="s">
        <v>1258</v>
      </c>
      <c r="D48" s="31" t="str">
        <f>IFERROR(__xludf.DUMMYFUNCTION("JOIN("","",FILTER(Disciplinas!A:A, regexmatch(Disciplinas!D:D, A48)))"),"CTBIOTRV.10,CTBIOTRV.13,CTBIOTRV.18,CTBIOTRV.24,CTBIOTRV.25")</f>
        <v>CTBIOTRV.10,CTBIOTRV.13,CTBIOTRV.18,CTBIOTRV.24,CTBIOTRV.25</v>
      </c>
      <c r="E48" s="32" t="str">
        <f t="shared" si="1"/>
        <v>1-12</v>
      </c>
      <c r="F48" s="32" t="str">
        <f t="shared" si="2"/>
        <v>1-12</v>
      </c>
      <c r="G48" s="32" t="str">
        <f t="shared" si="3"/>
        <v>1-12</v>
      </c>
      <c r="H48" s="32" t="str">
        <f t="shared" si="4"/>
        <v>1-12</v>
      </c>
      <c r="I48" s="32" t="str">
        <f t="shared" si="5"/>
        <v>1-12</v>
      </c>
      <c r="J48" s="32" t="str">
        <f t="shared" si="6"/>
        <v>12-16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4.25" customHeight="1">
      <c r="A49" s="23" t="s">
        <v>576</v>
      </c>
      <c r="B49" s="57" t="s">
        <v>1210</v>
      </c>
      <c r="C49" s="56" t="s">
        <v>1260</v>
      </c>
      <c r="D49" s="31" t="str">
        <f>IFERROR(__xludf.DUMMYFUNCTION("JOIN("","",FILTER(Disciplinas!A:A, regexmatch(Disciplinas!D:D, A49)))"),"GRAD.AC.01,GRAD.APC.01,GRAD.FC.01,GRAD.FUNDSIST.01,GRAD.LM.01")</f>
        <v>GRAD.AC.01,GRAD.APC.01,GRAD.FC.01,GRAD.FUNDSIST.01,GRAD.LM.01</v>
      </c>
      <c r="E49" s="32" t="str">
        <f t="shared" si="1"/>
        <v>1-6,13-16</v>
      </c>
      <c r="F49" s="32" t="str">
        <f t="shared" si="2"/>
        <v>1-6,13-16</v>
      </c>
      <c r="G49" s="32" t="str">
        <f t="shared" si="3"/>
        <v>1-6,13-16</v>
      </c>
      <c r="H49" s="32" t="str">
        <f t="shared" si="4"/>
        <v>1-6,13-16</v>
      </c>
      <c r="I49" s="32" t="str">
        <f t="shared" si="5"/>
        <v>1-6,13-16</v>
      </c>
      <c r="J49" s="32" t="str">
        <f t="shared" si="6"/>
        <v>1-16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ht="14.25" customHeight="1">
      <c r="A50" s="23" t="s">
        <v>591</v>
      </c>
      <c r="B50" s="57" t="s">
        <v>1210</v>
      </c>
      <c r="C50" s="56" t="s">
        <v>1259</v>
      </c>
      <c r="D50" s="31" t="str">
        <f>IFERROR(__xludf.DUMMYFUNCTION("JOIN("","",FILTER(Disciplinas!A:A, regexmatch(Disciplinas!D:D, A50)))"),"GRAD.AC.02,GRAD.EB.02,GRAD.ED.01,GRAD.LEC.01,GRAD.PLP.01,GRAD.POO.01")</f>
        <v>GRAD.AC.02,GRAD.EB.02,GRAD.ED.01,GRAD.LEC.01,GRAD.PLP.01,GRAD.POO.01</v>
      </c>
      <c r="E50" s="32" t="str">
        <f t="shared" si="1"/>
        <v>7-16</v>
      </c>
      <c r="F50" s="32" t="str">
        <f t="shared" si="2"/>
        <v>7-16</v>
      </c>
      <c r="G50" s="32" t="str">
        <f t="shared" si="3"/>
        <v>7-16</v>
      </c>
      <c r="H50" s="32" t="str">
        <f t="shared" si="4"/>
        <v>7-16</v>
      </c>
      <c r="I50" s="32" t="str">
        <f t="shared" si="5"/>
        <v>7-16</v>
      </c>
      <c r="J50" s="32" t="str">
        <f t="shared" si="6"/>
        <v>1-16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4.25" customHeight="1">
      <c r="A51" s="23" t="s">
        <v>607</v>
      </c>
      <c r="B51" s="57" t="s">
        <v>1210</v>
      </c>
      <c r="C51" s="56" t="s">
        <v>1260</v>
      </c>
      <c r="D51" s="31" t="str">
        <f>IFERROR(__xludf.DUMMYFUNCTION("JOIN("","",FILTER(Disciplinas!A:A, regexmatch(Disciplinas!D:D, A51)))"),"GRAD.ES.01,GRAD.EW.01,GRAD.LFA.01,GRAD.PLP.03,GRAD.RC.02,GRAD.TG.01")</f>
        <v>GRAD.ES.01,GRAD.EW.01,GRAD.LFA.01,GRAD.PLP.03,GRAD.RC.02,GRAD.TG.01</v>
      </c>
      <c r="E51" s="32" t="str">
        <f t="shared" si="1"/>
        <v>1-6,13-16</v>
      </c>
      <c r="F51" s="32" t="str">
        <f t="shared" si="2"/>
        <v>1-6,13-16</v>
      </c>
      <c r="G51" s="32" t="str">
        <f t="shared" si="3"/>
        <v>1-6,13-16</v>
      </c>
      <c r="H51" s="32" t="str">
        <f t="shared" si="4"/>
        <v>1-6,13-16</v>
      </c>
      <c r="I51" s="32" t="str">
        <f t="shared" si="5"/>
        <v>1-6,13-16</v>
      </c>
      <c r="J51" s="32" t="str">
        <f t="shared" si="6"/>
        <v>1-16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4.25" customHeight="1">
      <c r="A52" s="23" t="s">
        <v>621</v>
      </c>
      <c r="B52" s="57" t="s">
        <v>1210</v>
      </c>
      <c r="C52" s="56" t="s">
        <v>1259</v>
      </c>
      <c r="D52" s="31" t="str">
        <f>IFERROR(__xludf.DUMMYFUNCTION("JOIN("","",FILTER(Disciplinas!A:A, regexmatch(Disciplinas!D:D, A52)))"),"GRAD.IA.01,GRAD.IH.01,GRAD.PLP.05,GRAD.PS.01,GRAD.SD.02")</f>
        <v>GRAD.IA.01,GRAD.IH.01,GRAD.PLP.05,GRAD.PS.01,GRAD.SD.02</v>
      </c>
      <c r="E52" s="32" t="str">
        <f t="shared" si="1"/>
        <v>7-16</v>
      </c>
      <c r="F52" s="32" t="str">
        <f t="shared" si="2"/>
        <v>7-16</v>
      </c>
      <c r="G52" s="32" t="str">
        <f t="shared" si="3"/>
        <v>7-16</v>
      </c>
      <c r="H52" s="32" t="str">
        <f t="shared" si="4"/>
        <v>7-16</v>
      </c>
      <c r="I52" s="32" t="str">
        <f t="shared" si="5"/>
        <v>7-16</v>
      </c>
      <c r="J52" s="32" t="str">
        <f t="shared" si="6"/>
        <v>1-16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4.25" customHeight="1">
      <c r="A53" s="23" t="s">
        <v>632</v>
      </c>
      <c r="B53" s="57" t="s">
        <v>1221</v>
      </c>
      <c r="C53" s="56" t="s">
        <v>1260</v>
      </c>
      <c r="D53" s="31" t="str">
        <f>IFERROR(__xludf.DUMMYFUNCTION("JOIN("","",FILTER(Disciplinas!A:A, regexmatch(Disciplinas!D:D, A53)))"),"GRAD.CDI.03,GRAD.DT.02,GRAD.DT.02,GRAD.FE.01,GRAD.FíSICA I.01,GRAD.IEC.01,GRAD.QE.01,GRAD.QG.03")</f>
        <v>GRAD.CDI.03,GRAD.DT.02,GRAD.DT.02,GRAD.FE.01,GRAD.FíSICA I.01,GRAD.IEC.01,GRAD.QE.01,GRAD.QG.03</v>
      </c>
      <c r="E53" s="32" t="str">
        <f t="shared" si="1"/>
        <v>1-6,13-16</v>
      </c>
      <c r="F53" s="32" t="str">
        <f t="shared" si="2"/>
        <v>1-6,13-16</v>
      </c>
      <c r="G53" s="32" t="str">
        <f t="shared" si="3"/>
        <v>1-6,13-16</v>
      </c>
      <c r="H53" s="32" t="str">
        <f t="shared" si="4"/>
        <v>1-6,13-16</v>
      </c>
      <c r="I53" s="32" t="str">
        <f t="shared" si="5"/>
        <v>1-6,13-16</v>
      </c>
      <c r="J53" s="32" t="str">
        <f t="shared" si="6"/>
        <v>1-16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4.25" customHeight="1">
      <c r="A54" s="23" t="s">
        <v>649</v>
      </c>
      <c r="B54" s="57" t="s">
        <v>1221</v>
      </c>
      <c r="C54" s="56" t="s">
        <v>1259</v>
      </c>
      <c r="D54" s="31" t="str">
        <f>IFERROR(__xludf.DUMMYFUNCTION("JOIN("","",FILTER(Disciplinas!A:A, regexmatch(Disciplinas!D:D, A54)))"),"GRAD.AU.01,GRAD.FE-III.01,GRAD.FíSICA III.01,GRAD.FT.05,GRAD.GAA.01,GRAD.SED.01,GRAD.TOPOG.02")</f>
        <v>GRAD.AU.01,GRAD.FE-III.01,GRAD.FíSICA III.01,GRAD.FT.05,GRAD.GAA.01,GRAD.SED.01,GRAD.TOPOG.02</v>
      </c>
      <c r="E54" s="32" t="str">
        <f t="shared" si="1"/>
        <v>7-16</v>
      </c>
      <c r="F54" s="32" t="str">
        <f t="shared" si="2"/>
        <v>7-16</v>
      </c>
      <c r="G54" s="32" t="str">
        <f t="shared" si="3"/>
        <v>7-16</v>
      </c>
      <c r="H54" s="32" t="str">
        <f t="shared" si="4"/>
        <v>7-16</v>
      </c>
      <c r="I54" s="32" t="str">
        <f t="shared" si="5"/>
        <v>7-16</v>
      </c>
      <c r="J54" s="32" t="str">
        <f t="shared" si="6"/>
        <v>1-16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4.25" customHeight="1">
      <c r="A55" s="23" t="s">
        <v>665</v>
      </c>
      <c r="B55" s="57" t="s">
        <v>1221</v>
      </c>
      <c r="C55" s="56" t="s">
        <v>1260</v>
      </c>
      <c r="D55" s="31" t="str">
        <f>IFERROR(__xludf.DUMMYFUNCTION("JOIN("","",FILTER(Disciplinas!A:A, regexmatch(Disciplinas!D:D, A55)))"),"GRAD.HIDRáUL.I.01,GRAD.HIDROLOG.02,GRAD.MCC-II.01,GRAD.MS-I.01,GRAD.RM-I.01,GRAD.TE-I.01")</f>
        <v>GRAD.HIDRáUL.I.01,GRAD.HIDROLOG.02,GRAD.MCC-II.01,GRAD.MS-I.01,GRAD.RM-I.01,GRAD.TE-I.01</v>
      </c>
      <c r="E55" s="32" t="str">
        <f t="shared" si="1"/>
        <v>1-6,13-16</v>
      </c>
      <c r="F55" s="32" t="str">
        <f t="shared" si="2"/>
        <v>1-6,13-16</v>
      </c>
      <c r="G55" s="32" t="str">
        <f t="shared" si="3"/>
        <v>1-6,13-16</v>
      </c>
      <c r="H55" s="32" t="str">
        <f t="shared" si="4"/>
        <v>1-6,13-16</v>
      </c>
      <c r="I55" s="32" t="str">
        <f t="shared" si="5"/>
        <v>1-6,13-16</v>
      </c>
      <c r="J55" s="32" t="str">
        <f t="shared" si="6"/>
        <v>1-16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4.25" customHeight="1">
      <c r="A56" s="23" t="s">
        <v>684</v>
      </c>
      <c r="B56" s="57" t="s">
        <v>1221</v>
      </c>
      <c r="C56" s="56" t="s">
        <v>1259</v>
      </c>
      <c r="D56" s="31" t="str">
        <f>IFERROR(__xludf.DUMMYFUNCTION("JOIN("","",FILTER(Disciplinas!A:A, regexmatch(Disciplinas!D:D, A56)))"),"GRAD.CC-II.01,GRAD.ECA-I.01,GRAD.ESTMET.01,GRAD.PROJEST.01,GRAD.PT.01,GRAD.SAAE.01")</f>
        <v>GRAD.CC-II.01,GRAD.ECA-I.01,GRAD.ESTMET.01,GRAD.PROJEST.01,GRAD.PT.01,GRAD.SAAE.01</v>
      </c>
      <c r="E56" s="32" t="str">
        <f t="shared" si="1"/>
        <v>7-16</v>
      </c>
      <c r="F56" s="32" t="str">
        <f t="shared" si="2"/>
        <v>7-16</v>
      </c>
      <c r="G56" s="32" t="str">
        <f t="shared" si="3"/>
        <v>7-16</v>
      </c>
      <c r="H56" s="32" t="str">
        <f t="shared" si="4"/>
        <v>7-16</v>
      </c>
      <c r="I56" s="32" t="str">
        <f t="shared" si="5"/>
        <v>7-16</v>
      </c>
      <c r="J56" s="32" t="str">
        <f t="shared" si="6"/>
        <v>1-16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4.25" customHeight="1">
      <c r="A57" s="23" t="s">
        <v>699</v>
      </c>
      <c r="B57" s="57" t="s">
        <v>1221</v>
      </c>
      <c r="C57" s="56" t="s">
        <v>1260</v>
      </c>
      <c r="D57" s="31" t="str">
        <f>IFERROR(__xludf.DUMMYFUNCTION("JOIN("","",FILTER(Disciplinas!A:A, regexmatch(Disciplinas!D:D, A57)))"),"GRAD.ADMINISTRAç.01,GRAD.ECONOM.01,GRAD.EP.01,GRAD.HST.01,GRAD.LA.02,GRAD.LIBRAS.04,GRAD.MASU.02,GRAD.PC.01,GRAD.TC-I.01")</f>
        <v>GRAD.ADMINISTRAç.01,GRAD.ECONOM.01,GRAD.EP.01,GRAD.HST.01,GRAD.LA.02,GRAD.LIBRAS.04,GRAD.MASU.02,GRAD.PC.01,GRAD.TC-I.01</v>
      </c>
      <c r="E57" s="32" t="str">
        <f t="shared" si="1"/>
        <v>1-6,13-16</v>
      </c>
      <c r="F57" s="32" t="str">
        <f t="shared" si="2"/>
        <v>1-6,13-16</v>
      </c>
      <c r="G57" s="32" t="str">
        <f t="shared" si="3"/>
        <v>1-6,13-16</v>
      </c>
      <c r="H57" s="32" t="str">
        <f t="shared" si="4"/>
        <v>1-6,13-16</v>
      </c>
      <c r="I57" s="32" t="str">
        <f t="shared" si="5"/>
        <v>1-6,13-16</v>
      </c>
      <c r="J57" s="32" t="str">
        <f t="shared" si="6"/>
        <v>1-16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4.25" customHeight="1">
      <c r="A58" s="23" t="s">
        <v>715</v>
      </c>
      <c r="B58" s="57" t="s">
        <v>1240</v>
      </c>
      <c r="C58" s="56" t="s">
        <v>1258</v>
      </c>
      <c r="D58" s="31" t="str">
        <f>IFERROR(__xludf.DUMMYFUNCTION("JOIN("","",FILTER(Disciplinas!A:A, regexmatch(Disciplinas!D:D, A58)))"),"RV.ADM410,RV.CON001,RV.CON002,RV.CON003,RV.EXA808,RV.HUM824")</f>
        <v>RV.ADM410,RV.CON001,RV.CON002,RV.CON003,RV.EXA808,RV.HUM824</v>
      </c>
      <c r="E58" s="32" t="str">
        <f t="shared" si="1"/>
        <v>1-12</v>
      </c>
      <c r="F58" s="32" t="str">
        <f t="shared" si="2"/>
        <v>1-12</v>
      </c>
      <c r="G58" s="32" t="str">
        <f t="shared" si="3"/>
        <v>1-12</v>
      </c>
      <c r="H58" s="32" t="str">
        <f t="shared" si="4"/>
        <v>1-12</v>
      </c>
      <c r="I58" s="32" t="str">
        <f t="shared" si="5"/>
        <v>1-12</v>
      </c>
      <c r="J58" s="32" t="str">
        <f t="shared" si="6"/>
        <v>12-16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4.25" customHeight="1">
      <c r="A59" s="23" t="s">
        <v>725</v>
      </c>
      <c r="B59" s="57" t="s">
        <v>1240</v>
      </c>
      <c r="C59" s="56" t="s">
        <v>1258</v>
      </c>
      <c r="D59" s="31" t="str">
        <f>IFERROR(__xludf.DUMMYFUNCTION("JOIN("","",FILTER(Disciplinas!A:A, regexmatch(Disciplinas!D:D, A59)))"),"RV.CON006,RV.CON007,RV.CON008,RV.CON111,RV.CONT102")</f>
        <v>RV.CON006,RV.CON007,RV.CON008,RV.CON111,RV.CONT102</v>
      </c>
      <c r="E59" s="32" t="str">
        <f t="shared" si="1"/>
        <v>1-12</v>
      </c>
      <c r="F59" s="32" t="str">
        <f t="shared" si="2"/>
        <v>1-12</v>
      </c>
      <c r="G59" s="32" t="str">
        <f t="shared" si="3"/>
        <v>1-12</v>
      </c>
      <c r="H59" s="32" t="str">
        <f t="shared" si="4"/>
        <v>1-12</v>
      </c>
      <c r="I59" s="32" t="str">
        <f t="shared" si="5"/>
        <v>1-12</v>
      </c>
      <c r="J59" s="32" t="str">
        <f t="shared" si="6"/>
        <v>12-16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4.25" customHeight="1">
      <c r="A60" s="23" t="s">
        <v>734</v>
      </c>
      <c r="B60" s="57" t="s">
        <v>1217</v>
      </c>
      <c r="C60" s="56" t="s">
        <v>1260</v>
      </c>
      <c r="D60" s="31" t="str">
        <f>IFERROR(__xludf.DUMMYFUNCTION("JOIN("","",FILTER(Disciplinas!A:A, regexmatch(Disciplinas!D:D, A60)))"),"GRAD.CDI.03,GRAD.EB.02,GRAD.FMB.01,GRAD.GAAL.01,GRAD.IEA.02,GRAD.MC.04,GRAD.QG.03")</f>
        <v>GRAD.CDI.03,GRAD.EB.02,GRAD.FMB.01,GRAD.GAAL.01,GRAD.IEA.02,GRAD.MC.04,GRAD.QG.03</v>
      </c>
      <c r="E60" s="32" t="str">
        <f t="shared" si="1"/>
        <v>1-6,13-16</v>
      </c>
      <c r="F60" s="32" t="str">
        <f t="shared" si="2"/>
        <v>1-6,13-16</v>
      </c>
      <c r="G60" s="32" t="str">
        <f t="shared" si="3"/>
        <v>1-6,13-16</v>
      </c>
      <c r="H60" s="32" t="str">
        <f t="shared" si="4"/>
        <v>1-6,13-16</v>
      </c>
      <c r="I60" s="32" t="str">
        <f t="shared" si="5"/>
        <v>1-6,13-16</v>
      </c>
      <c r="J60" s="32" t="str">
        <f t="shared" si="6"/>
        <v>1-16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4.25" customHeight="1">
      <c r="A61" s="23" t="s">
        <v>744</v>
      </c>
      <c r="B61" s="57" t="s">
        <v>1217</v>
      </c>
      <c r="C61" s="56" t="s">
        <v>1259</v>
      </c>
      <c r="D61" s="31" t="str">
        <f>IFERROR(__xludf.DUMMYFUNCTION("JOIN("","",FILTER(Disciplinas!A:A, regexmatch(Disciplinas!D:D, A61)))"),"GRAD.BIOQ.02,GRAD.CLIMATOL.01,GRAD.CN.01,GRAD.ECOLOG.01,GRAD.FCS.01,GRAD.PA.01,GRAD.TERMODINAM.01")</f>
        <v>GRAD.BIOQ.02,GRAD.CLIMATOL.01,GRAD.CN.01,GRAD.ECOLOG.01,GRAD.FCS.01,GRAD.PA.01,GRAD.TERMODINAM.01</v>
      </c>
      <c r="E61" s="32" t="str">
        <f t="shared" si="1"/>
        <v>7-16</v>
      </c>
      <c r="F61" s="32" t="str">
        <f t="shared" si="2"/>
        <v>7-16</v>
      </c>
      <c r="G61" s="32" t="str">
        <f t="shared" si="3"/>
        <v>7-16</v>
      </c>
      <c r="H61" s="32" t="str">
        <f t="shared" si="4"/>
        <v>7-16</v>
      </c>
      <c r="I61" s="32" t="str">
        <f t="shared" si="5"/>
        <v>7-16</v>
      </c>
      <c r="J61" s="32" t="str">
        <f t="shared" si="6"/>
        <v>1-16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4.25" customHeight="1">
      <c r="A62" s="23" t="s">
        <v>760</v>
      </c>
      <c r="B62" s="57" t="s">
        <v>1217</v>
      </c>
      <c r="C62" s="56" t="s">
        <v>1260</v>
      </c>
      <c r="D62" s="31" t="str">
        <f>IFERROR(__xludf.DUMMYFUNCTION("JOIN("","",FILTER(Disciplinas!A:A, regexmatch(Disciplinas!D:D, A62)))"),"GRAD.FT.01,GRAD.GA.01,GRAD.IIA.02,GRAD.MC.03,GRAD.SGAS.03,GRAD.SP.02,GRAD.T.02")</f>
        <v>GRAD.FT.01,GRAD.GA.01,GRAD.IIA.02,GRAD.MC.03,GRAD.SGAS.03,GRAD.SP.02,GRAD.T.02</v>
      </c>
      <c r="E62" s="32" t="str">
        <f t="shared" si="1"/>
        <v>1-6,13-16</v>
      </c>
      <c r="F62" s="32" t="str">
        <f t="shared" si="2"/>
        <v>1-6,13-16</v>
      </c>
      <c r="G62" s="32" t="str">
        <f t="shared" si="3"/>
        <v>1-6,13-16</v>
      </c>
      <c r="H62" s="32" t="str">
        <f t="shared" si="4"/>
        <v>1-6,13-16</v>
      </c>
      <c r="I62" s="32" t="str">
        <f t="shared" si="5"/>
        <v>1-6,13-16</v>
      </c>
      <c r="J62" s="32" t="str">
        <f t="shared" si="6"/>
        <v>1-16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4.25" customHeight="1">
      <c r="A63" s="23" t="s">
        <v>773</v>
      </c>
      <c r="B63" s="57" t="s">
        <v>1217</v>
      </c>
      <c r="C63" s="56" t="s">
        <v>1259</v>
      </c>
      <c r="D63" s="31" t="str">
        <f>IFERROR(__xludf.DUMMYFUNCTION("JOIN("","",FILTER(Disciplinas!A:A, regexmatch(Disciplinas!D:D, A63)))"),"GRAD.GRS.01,GRAD.GUCE.02,GRAD.HA.01,GRAD.SAA.01,GRAD.SES.01,GRAD.SIG.01")</f>
        <v>GRAD.GRS.01,GRAD.GUCE.02,GRAD.HA.01,GRAD.SAA.01,GRAD.SES.01,GRAD.SIG.01</v>
      </c>
      <c r="E63" s="32" t="str">
        <f t="shared" si="1"/>
        <v>7-16</v>
      </c>
      <c r="F63" s="32" t="str">
        <f t="shared" si="2"/>
        <v>7-16</v>
      </c>
      <c r="G63" s="32" t="str">
        <f t="shared" si="3"/>
        <v>7-16</v>
      </c>
      <c r="H63" s="32" t="str">
        <f t="shared" si="4"/>
        <v>7-16</v>
      </c>
      <c r="I63" s="32" t="str">
        <f t="shared" si="5"/>
        <v>7-16</v>
      </c>
      <c r="J63" s="32" t="str">
        <f t="shared" si="6"/>
        <v>1-16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4.25" customHeight="1">
      <c r="A64" s="23" t="s">
        <v>785</v>
      </c>
      <c r="B64" s="57" t="s">
        <v>1217</v>
      </c>
      <c r="C64" s="56" t="s">
        <v>1260</v>
      </c>
      <c r="D64" s="31" t="str">
        <f>IFERROR(__xludf.DUMMYFUNCTION("JOIN("","",FILTER(Disciplinas!A:A, regexmatch(Disciplinas!D:D, A64)))"),"GRAD.ADMINIST.01,GRAD.EP.02,GRAD.GRH.01")</f>
        <v>GRAD.ADMINIST.01,GRAD.EP.02,GRAD.GRH.01</v>
      </c>
      <c r="E64" s="32" t="str">
        <f t="shared" si="1"/>
        <v>1-6,13-16</v>
      </c>
      <c r="F64" s="32" t="str">
        <f t="shared" si="2"/>
        <v>1-6,13-16</v>
      </c>
      <c r="G64" s="32" t="str">
        <f t="shared" si="3"/>
        <v>1-6,13-16</v>
      </c>
      <c r="H64" s="32" t="str">
        <f t="shared" si="4"/>
        <v>1-6,13-16</v>
      </c>
      <c r="I64" s="32" t="str">
        <f t="shared" si="5"/>
        <v>1-6,13-16</v>
      </c>
      <c r="J64" s="32" t="str">
        <f t="shared" si="6"/>
        <v>1-16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4.25" customHeight="1">
      <c r="A65" s="24" t="s">
        <v>791</v>
      </c>
      <c r="B65" s="57" t="s">
        <v>1217</v>
      </c>
      <c r="C65" s="56" t="s">
        <v>1259</v>
      </c>
      <c r="D65" s="31" t="str">
        <f>IFERROR(__xludf.DUMMYFUNCTION("JOIN("","",FILTER(Disciplinas!A:A, regexmatch(Disciplinas!D:D, A65)))"),"RV.BIO221,RV.TCC209")</f>
        <v>RV.BIO221,RV.TCC209</v>
      </c>
      <c r="E65" s="32" t="str">
        <f t="shared" si="1"/>
        <v>7-16</v>
      </c>
      <c r="F65" s="32" t="str">
        <f t="shared" si="2"/>
        <v>7-16</v>
      </c>
      <c r="G65" s="32" t="str">
        <f t="shared" si="3"/>
        <v>7-16</v>
      </c>
      <c r="H65" s="32" t="str">
        <f t="shared" si="4"/>
        <v>7-16</v>
      </c>
      <c r="I65" s="32" t="str">
        <f t="shared" si="5"/>
        <v>7-16</v>
      </c>
      <c r="J65" s="32" t="str">
        <f t="shared" si="6"/>
        <v>1-16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4.25" customHeight="1">
      <c r="A66" s="23" t="s">
        <v>794</v>
      </c>
      <c r="B66" s="57" t="s">
        <v>1242</v>
      </c>
      <c r="C66" s="56" t="s">
        <v>1258</v>
      </c>
      <c r="D66" s="31" t="str">
        <f>IFERROR(__xludf.DUMMYFUNCTION("JOIN("","",FILTER(Disciplinas!A:A, regexmatch(Disciplinas!D:D, A66)))"),"RV.DTC001,RV.IMP001,RV.MAP001,RV.MAS001,RV.MCI001,RV.T-PL001")</f>
        <v>RV.DTC001,RV.IMP001,RV.MAP001,RV.MAS001,RV.MCI001,RV.T-PL001</v>
      </c>
      <c r="E66" s="32" t="str">
        <f t="shared" si="1"/>
        <v>1-12</v>
      </c>
      <c r="F66" s="32" t="str">
        <f t="shared" si="2"/>
        <v>1-12</v>
      </c>
      <c r="G66" s="32" t="str">
        <f t="shared" si="3"/>
        <v>1-12</v>
      </c>
      <c r="H66" s="32" t="str">
        <f t="shared" si="4"/>
        <v>1-12</v>
      </c>
      <c r="I66" s="32" t="str">
        <f t="shared" si="5"/>
        <v>1-12</v>
      </c>
      <c r="J66" s="32" t="str">
        <f t="shared" si="6"/>
        <v>12-16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4.25" customHeight="1">
      <c r="A67" s="23" t="s">
        <v>804</v>
      </c>
      <c r="B67" s="57" t="s">
        <v>1242</v>
      </c>
      <c r="C67" s="56" t="s">
        <v>1258</v>
      </c>
      <c r="D67" s="31" t="str">
        <f>IFERROR(__xludf.DUMMYFUNCTION("JOIN("","",FILTER(Disciplinas!A:A, regexmatch(Disciplinas!D:D, A67)))"),"RV.FDC001,RV.PA-II001,RV.PHD001,RV.SE-II001,RV.TC-I001")</f>
        <v>RV.FDC001,RV.PA-II001,RV.PHD001,RV.SE-II001,RV.TC-I001</v>
      </c>
      <c r="E67" s="32" t="str">
        <f t="shared" si="1"/>
        <v>1-12</v>
      </c>
      <c r="F67" s="32" t="str">
        <f t="shared" si="2"/>
        <v>1-12</v>
      </c>
      <c r="G67" s="32" t="str">
        <f t="shared" si="3"/>
        <v>1-12</v>
      </c>
      <c r="H67" s="32" t="str">
        <f t="shared" si="4"/>
        <v>1-12</v>
      </c>
      <c r="I67" s="32" t="str">
        <f t="shared" si="5"/>
        <v>1-12</v>
      </c>
      <c r="J67" s="32" t="str">
        <f t="shared" si="6"/>
        <v>12-16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4.25" customHeight="1">
      <c r="A68" s="23" t="s">
        <v>814</v>
      </c>
      <c r="B68" s="57" t="s">
        <v>1253</v>
      </c>
      <c r="C68" s="56" t="s">
        <v>1258</v>
      </c>
      <c r="D68" s="31" t="str">
        <f>IFERROR(__xludf.DUMMYFUNCTION("JOIN("","",FILTER(Disciplinas!A:A, regexmatch(Disciplinas!D:D, A68)))"),"RV.PRO60")</f>
        <v>RV.PRO60</v>
      </c>
      <c r="E68" s="32" t="str">
        <f t="shared" si="1"/>
        <v>1-12</v>
      </c>
      <c r="F68" s="32" t="str">
        <f t="shared" si="2"/>
        <v>1-12</v>
      </c>
      <c r="G68" s="32" t="str">
        <f t="shared" si="3"/>
        <v>1-12</v>
      </c>
      <c r="H68" s="32" t="str">
        <f t="shared" si="4"/>
        <v>1-12</v>
      </c>
      <c r="I68" s="32" t="str">
        <f t="shared" si="5"/>
        <v>1-12</v>
      </c>
      <c r="J68" s="32" t="str">
        <f t="shared" si="6"/>
        <v>12-16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4.25" customHeight="1">
      <c r="A69" s="23" t="s">
        <v>817</v>
      </c>
      <c r="B69" s="57" t="s">
        <v>1253</v>
      </c>
      <c r="C69" s="56" t="s">
        <v>1258</v>
      </c>
      <c r="D69" s="31" t="str">
        <f>IFERROR(__xludf.DUMMYFUNCTION("JOIN("","",FILTER(Disciplinas!A:A, regexmatch(Disciplinas!D:D, A69)))"),"RV.TADM12")</f>
        <v>RV.TADM12</v>
      </c>
      <c r="E69" s="32" t="str">
        <f t="shared" si="1"/>
        <v>1-12</v>
      </c>
      <c r="F69" s="32" t="str">
        <f t="shared" si="2"/>
        <v>1-12</v>
      </c>
      <c r="G69" s="32" t="str">
        <f t="shared" si="3"/>
        <v>1-12</v>
      </c>
      <c r="H69" s="32" t="str">
        <f t="shared" si="4"/>
        <v>1-12</v>
      </c>
      <c r="I69" s="32" t="str">
        <f t="shared" si="5"/>
        <v>1-12</v>
      </c>
      <c r="J69" s="32" t="str">
        <f t="shared" si="6"/>
        <v>12-16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4.25" customHeight="1">
      <c r="A70" s="23" t="s">
        <v>821</v>
      </c>
      <c r="B70" s="57" t="s">
        <v>1253</v>
      </c>
      <c r="C70" s="56" t="s">
        <v>1258</v>
      </c>
      <c r="D70" s="31" t="str">
        <f>IFERROR(__xludf.DUMMYFUNCTION("JOIN("","",FILTER(Disciplinas!A:A, regexmatch(Disciplinas!D:D, A70)))"),"RV.PRO50")</f>
        <v>RV.PRO50</v>
      </c>
      <c r="E70" s="32" t="str">
        <f t="shared" si="1"/>
        <v>1-12</v>
      </c>
      <c r="F70" s="32" t="str">
        <f t="shared" si="2"/>
        <v>1-12</v>
      </c>
      <c r="G70" s="32" t="str">
        <f t="shared" si="3"/>
        <v>1-12</v>
      </c>
      <c r="H70" s="32" t="str">
        <f t="shared" si="4"/>
        <v>1-12</v>
      </c>
      <c r="I70" s="32" t="str">
        <f t="shared" si="5"/>
        <v>1-12</v>
      </c>
      <c r="J70" s="32" t="str">
        <f t="shared" si="6"/>
        <v>12-16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4.25" customHeight="1">
      <c r="A71" s="23" t="s">
        <v>824</v>
      </c>
      <c r="B71" s="57" t="s">
        <v>1253</v>
      </c>
      <c r="C71" s="56" t="s">
        <v>1258</v>
      </c>
      <c r="D71" s="31" t="str">
        <f>IFERROR(__xludf.DUMMYFUNCTION("JOIN("","",FILTER(Disciplinas!A:A, regexmatch(Disciplinas!D:D, A71)))"),"RV.PRO41")</f>
        <v>RV.PRO41</v>
      </c>
      <c r="E71" s="32" t="str">
        <f t="shared" si="1"/>
        <v>1-12</v>
      </c>
      <c r="F71" s="32" t="str">
        <f t="shared" si="2"/>
        <v>1-12</v>
      </c>
      <c r="G71" s="32" t="str">
        <f t="shared" si="3"/>
        <v>1-12</v>
      </c>
      <c r="H71" s="32" t="str">
        <f t="shared" si="4"/>
        <v>1-12</v>
      </c>
      <c r="I71" s="32" t="str">
        <f t="shared" si="5"/>
        <v>1-12</v>
      </c>
      <c r="J71" s="32" t="str">
        <f t="shared" si="6"/>
        <v>12-16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4.25" customHeight="1">
      <c r="A72" s="23" t="s">
        <v>826</v>
      </c>
      <c r="B72" s="57" t="s">
        <v>1223</v>
      </c>
      <c r="C72" s="56" t="s">
        <v>1260</v>
      </c>
      <c r="D72" s="31" t="str">
        <f>IFERROR(__xludf.DUMMYFUNCTION("JOIN("","",FILTER(Disciplinas!A:A, regexmatch(Disciplinas!D:D, A72)))"),"GRAD.ENQ.CDI-I.01,GRAD.ENQ.FE.05,GRAD.ENQ.FIS-I.04,GRAD.ENQ.GAAL.06,GRAD.ENQ.IEQ.07,GRAD.ENQ.QE.03,GRAD.ENQ.QG.02")</f>
        <v>GRAD.ENQ.CDI-I.01,GRAD.ENQ.FE.05,GRAD.ENQ.FIS-I.04,GRAD.ENQ.GAAL.06,GRAD.ENQ.IEQ.07,GRAD.ENQ.QE.03,GRAD.ENQ.QG.02</v>
      </c>
      <c r="E72" s="32" t="str">
        <f t="shared" si="1"/>
        <v>1-6,13-16</v>
      </c>
      <c r="F72" s="32" t="str">
        <f t="shared" si="2"/>
        <v>1-6,13-16</v>
      </c>
      <c r="G72" s="32" t="str">
        <f t="shared" si="3"/>
        <v>1-6,13-16</v>
      </c>
      <c r="H72" s="32" t="str">
        <f t="shared" si="4"/>
        <v>1-6,13-16</v>
      </c>
      <c r="I72" s="32" t="str">
        <f t="shared" si="5"/>
        <v>1-6,13-16</v>
      </c>
      <c r="J72" s="32" t="str">
        <f t="shared" si="6"/>
        <v>1-16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4.25" customHeight="1">
      <c r="A73" s="23" t="s">
        <v>838</v>
      </c>
      <c r="B73" s="57" t="s">
        <v>1223</v>
      </c>
      <c r="C73" s="56" t="s">
        <v>1259</v>
      </c>
      <c r="D73" s="31" t="str">
        <f>IFERROR(__xludf.DUMMYFUNCTION("JOIN("","",FILTER(Disciplinas!A:A, regexmatch(Disciplinas!D:D, A73)))"),"GRAD.ENQ.FE-III.17,GRAD.ENQ.FIS-III.27,GRAD.ENQ.IOE.18,GRAD.ENQ.QAQ.19")</f>
        <v>GRAD.ENQ.FE-III.17,GRAD.ENQ.FIS-III.27,GRAD.ENQ.IOE.18,GRAD.ENQ.QAQ.19</v>
      </c>
      <c r="E73" s="32" t="str">
        <f t="shared" si="1"/>
        <v>7-16</v>
      </c>
      <c r="F73" s="32" t="str">
        <f t="shared" si="2"/>
        <v>7-16</v>
      </c>
      <c r="G73" s="32" t="str">
        <f t="shared" si="3"/>
        <v>7-16</v>
      </c>
      <c r="H73" s="32" t="str">
        <f t="shared" si="4"/>
        <v>7-16</v>
      </c>
      <c r="I73" s="32" t="str">
        <f t="shared" si="5"/>
        <v>7-16</v>
      </c>
      <c r="J73" s="32" t="str">
        <f t="shared" si="6"/>
        <v>1-16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4.25" customHeight="1">
      <c r="A74" s="23" t="s">
        <v>846</v>
      </c>
      <c r="B74" s="57" t="s">
        <v>1223</v>
      </c>
      <c r="C74" s="56" t="s">
        <v>1260</v>
      </c>
      <c r="D74" s="31" t="str">
        <f>IFERROR(__xludf.DUMMYFUNCTION("JOIN("","",FILTER(Disciplinas!A:A, regexmatch(Disciplinas!D:D, A74)))"),"GRAD.ENQ.BIOQ.28,GRAD.ENQ.FQ-II.31,GRAD.ENQ.FT-II.30,GRAD.ENQ.MC.33,GRAD.ENQ.QAI.32,GRAD.ENQ.TERM-I.29")</f>
        <v>GRAD.ENQ.BIOQ.28,GRAD.ENQ.FQ-II.31,GRAD.ENQ.FT-II.30,GRAD.ENQ.MC.33,GRAD.ENQ.QAI.32,GRAD.ENQ.TERM-I.29</v>
      </c>
      <c r="E74" s="32" t="str">
        <f t="shared" si="1"/>
        <v>1-6,13-16</v>
      </c>
      <c r="F74" s="32" t="str">
        <f t="shared" si="2"/>
        <v>1-6,13-16</v>
      </c>
      <c r="G74" s="32" t="str">
        <f t="shared" si="3"/>
        <v>1-6,13-16</v>
      </c>
      <c r="H74" s="32" t="str">
        <f t="shared" si="4"/>
        <v>1-6,13-16</v>
      </c>
      <c r="I74" s="32" t="str">
        <f t="shared" si="5"/>
        <v>1-6,13-16</v>
      </c>
      <c r="J74" s="32" t="str">
        <f t="shared" si="6"/>
        <v>1-16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4.25" customHeight="1">
      <c r="A75" s="23" t="s">
        <v>859</v>
      </c>
      <c r="B75" s="57" t="s">
        <v>1223</v>
      </c>
      <c r="C75" s="56" t="s">
        <v>1259</v>
      </c>
      <c r="D75" s="31" t="str">
        <f>IFERROR(__xludf.DUMMYFUNCTION("JOIN("","",FILTER(Disciplinas!A:A, regexmatch(Disciplinas!D:D, A75)))"),"GRAD.ENQ.QO-I.14")</f>
        <v>GRAD.ENQ.QO-I.14</v>
      </c>
      <c r="E75" s="32" t="str">
        <f t="shared" si="1"/>
        <v>7-16</v>
      </c>
      <c r="F75" s="32" t="str">
        <f t="shared" si="2"/>
        <v>7-16</v>
      </c>
      <c r="G75" s="32" t="str">
        <f t="shared" si="3"/>
        <v>7-16</v>
      </c>
      <c r="H75" s="32" t="str">
        <f t="shared" si="4"/>
        <v>7-16</v>
      </c>
      <c r="I75" s="32" t="str">
        <f t="shared" si="5"/>
        <v>7-16</v>
      </c>
      <c r="J75" s="32" t="str">
        <f t="shared" si="6"/>
        <v>1-16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4.25" customHeight="1">
      <c r="A76" s="23" t="s">
        <v>862</v>
      </c>
      <c r="B76" s="57" t="s">
        <v>1244</v>
      </c>
      <c r="C76" s="56" t="s">
        <v>1258</v>
      </c>
      <c r="D76" s="31" t="str">
        <f>IFERROR(__xludf.DUMMYFUNCTION("JOIN("","",FILTER(Disciplinas!A:A, regexmatch(Disciplinas!D:D, A76)))"),"RV.INF62,RV.INF63,RV.INF94")</f>
        <v>RV.INF62,RV.INF63,RV.INF94</v>
      </c>
      <c r="E76" s="32" t="str">
        <f t="shared" si="1"/>
        <v>1-12</v>
      </c>
      <c r="F76" s="32" t="str">
        <f t="shared" si="2"/>
        <v>1-12</v>
      </c>
      <c r="G76" s="32" t="str">
        <f t="shared" si="3"/>
        <v>1-12</v>
      </c>
      <c r="H76" s="32" t="str">
        <f t="shared" si="4"/>
        <v>1-12</v>
      </c>
      <c r="I76" s="32" t="str">
        <f t="shared" si="5"/>
        <v>1-12</v>
      </c>
      <c r="J76" s="32" t="str">
        <f t="shared" si="6"/>
        <v>12-16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4.25" customHeight="1">
      <c r="A77" s="23" t="s">
        <v>869</v>
      </c>
      <c r="B77" s="57" t="s">
        <v>1244</v>
      </c>
      <c r="C77" s="56" t="s">
        <v>1258</v>
      </c>
      <c r="D77" s="31" t="str">
        <f>IFERROR(__xludf.DUMMYFUNCTION("JOIN("","",FILTER(Disciplinas!A:A, regexmatch(Disciplinas!D:D, A77)))"),"RV.INF60,RV.INF88,RV.INF91")</f>
        <v>RV.INF60,RV.INF88,RV.INF91</v>
      </c>
      <c r="E77" s="32" t="str">
        <f t="shared" si="1"/>
        <v>1-12</v>
      </c>
      <c r="F77" s="32" t="str">
        <f t="shared" si="2"/>
        <v>1-12</v>
      </c>
      <c r="G77" s="32" t="str">
        <f t="shared" si="3"/>
        <v>1-12</v>
      </c>
      <c r="H77" s="32" t="str">
        <f t="shared" si="4"/>
        <v>1-12</v>
      </c>
      <c r="I77" s="32" t="str">
        <f t="shared" si="5"/>
        <v>1-12</v>
      </c>
      <c r="J77" s="32" t="str">
        <f t="shared" si="6"/>
        <v>12-16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4.25" customHeight="1">
      <c r="A78" s="23" t="s">
        <v>873</v>
      </c>
      <c r="B78" s="57" t="s">
        <v>1246</v>
      </c>
      <c r="C78" s="56" t="s">
        <v>1258</v>
      </c>
      <c r="D78" s="31" t="str">
        <f>IFERROR(__xludf.DUMMYFUNCTION("JOIN("","",FILTER(Disciplinas!A:A, regexmatch(Disciplinas!D:D, A78)))"),"RV.EXA722,RV.EXA723,RV.QUI720,RV.QUI723,RV.QUI724,RV.QUI735,RV.QUI736")</f>
        <v>RV.EXA722,RV.EXA723,RV.QUI720,RV.QUI723,RV.QUI724,RV.QUI735,RV.QUI736</v>
      </c>
      <c r="E78" s="32" t="str">
        <f t="shared" si="1"/>
        <v>1-12</v>
      </c>
      <c r="F78" s="32" t="str">
        <f t="shared" si="2"/>
        <v>1-12</v>
      </c>
      <c r="G78" s="32" t="str">
        <f t="shared" si="3"/>
        <v>1-12</v>
      </c>
      <c r="H78" s="32" t="str">
        <f t="shared" si="4"/>
        <v>1-12</v>
      </c>
      <c r="I78" s="32" t="str">
        <f t="shared" si="5"/>
        <v>1-12</v>
      </c>
      <c r="J78" s="32" t="str">
        <f t="shared" si="6"/>
        <v>12-16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4.25" customHeight="1">
      <c r="A79" s="23" t="s">
        <v>887</v>
      </c>
      <c r="B79" s="57" t="s">
        <v>1246</v>
      </c>
      <c r="C79" s="56" t="s">
        <v>1258</v>
      </c>
      <c r="D79" s="31" t="str">
        <f>IFERROR(__xludf.DUMMYFUNCTION("JOIN("","",FILTER(Disciplinas!A:A, regexmatch(Disciplinas!D:D, A79)))"),"RV.HUM805,RV.QUI124,RV.QUI728,RV.QUI729,RV.QUI730,RV.QUI733,RV.TAL10")</f>
        <v>RV.HUM805,RV.QUI124,RV.QUI728,RV.QUI729,RV.QUI730,RV.QUI733,RV.TAL10</v>
      </c>
      <c r="E79" s="32" t="str">
        <f t="shared" si="1"/>
        <v>1-12</v>
      </c>
      <c r="F79" s="32" t="str">
        <f t="shared" si="2"/>
        <v>1-12</v>
      </c>
      <c r="G79" s="32" t="str">
        <f t="shared" si="3"/>
        <v>1-12</v>
      </c>
      <c r="H79" s="32" t="str">
        <f t="shared" si="4"/>
        <v>1-12</v>
      </c>
      <c r="I79" s="32" t="str">
        <f t="shared" si="5"/>
        <v>1-12</v>
      </c>
      <c r="J79" s="32" t="str">
        <f t="shared" si="6"/>
        <v>12-16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4.25" customHeight="1">
      <c r="A80" s="23" t="s">
        <v>899</v>
      </c>
      <c r="B80" s="57" t="s">
        <v>1225</v>
      </c>
      <c r="C80" s="56" t="s">
        <v>1258</v>
      </c>
      <c r="D80" s="31" t="str">
        <f>IFERROR(__xludf.DUMMYFUNCTION("JOIN("","",FILTER(Disciplinas!A:A, regexmatch(Disciplinas!D:D, A80)))"),"GRAD.FC.02,GRAD.FFE.01,GRAD.HQ.01,GRAD.MC.02,GRAD.QGE.02,GRAD.QG-I.01")</f>
        <v>GRAD.FC.02,GRAD.FFE.01,GRAD.HQ.01,GRAD.MC.02,GRAD.QGE.02,GRAD.QG-I.01</v>
      </c>
      <c r="E80" s="32" t="str">
        <f t="shared" si="1"/>
        <v>1-12</v>
      </c>
      <c r="F80" s="32" t="str">
        <f t="shared" si="2"/>
        <v>1-12</v>
      </c>
      <c r="G80" s="32" t="str">
        <f t="shared" si="3"/>
        <v>1-12</v>
      </c>
      <c r="H80" s="32" t="str">
        <f t="shared" si="4"/>
        <v>1-12</v>
      </c>
      <c r="I80" s="32" t="str">
        <f t="shared" si="5"/>
        <v>1-12</v>
      </c>
      <c r="J80" s="32" t="str">
        <f t="shared" si="6"/>
        <v>12-16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4.25" customHeight="1">
      <c r="A81" s="23" t="s">
        <v>909</v>
      </c>
      <c r="B81" s="57" t="s">
        <v>1225</v>
      </c>
      <c r="C81" s="56" t="s">
        <v>1258</v>
      </c>
      <c r="D81" s="31" t="str">
        <f>IFERROR(__xludf.DUMMYFUNCTION("JOIN("","",FILTER(Disciplinas!A:A, regexmatch(Disciplinas!D:D, A81)))"),"GRAD.FGE-I.01,GRAD.FQ.02,GRAD.FQIIE.01,GRAD.PAFQ.01,GRAD.QAQ.02")</f>
        <v>GRAD.FGE-I.01,GRAD.FQ.02,GRAD.FQIIE.01,GRAD.PAFQ.01,GRAD.QAQ.02</v>
      </c>
      <c r="E81" s="32" t="str">
        <f t="shared" si="1"/>
        <v>1-12</v>
      </c>
      <c r="F81" s="32" t="str">
        <f t="shared" si="2"/>
        <v>1-12</v>
      </c>
      <c r="G81" s="32" t="str">
        <f t="shared" si="3"/>
        <v>1-12</v>
      </c>
      <c r="H81" s="32" t="str">
        <f t="shared" si="4"/>
        <v>1-12</v>
      </c>
      <c r="I81" s="32" t="str">
        <f t="shared" si="5"/>
        <v>1-12</v>
      </c>
      <c r="J81" s="32" t="str">
        <f t="shared" si="6"/>
        <v>12-16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4.25" customHeight="1">
      <c r="A82" s="23" t="s">
        <v>918</v>
      </c>
      <c r="B82" s="57" t="s">
        <v>1225</v>
      </c>
      <c r="C82" s="56" t="s">
        <v>1258</v>
      </c>
      <c r="D82" s="31" t="str">
        <f>IFERROR(__xludf.DUMMYFUNCTION("JOIN("","",FILTER(Disciplinas!A:A, regexmatch(Disciplinas!D:D, A82)))"),"GRAD.FQ-III.01,GRAD.LIBRAS.04,GRAD.PAQAQ.02,GRAD.QI-I.01")</f>
        <v>GRAD.FQ-III.01,GRAD.LIBRAS.04,GRAD.PAQAQ.02,GRAD.QI-I.01</v>
      </c>
      <c r="E82" s="32" t="str">
        <f t="shared" si="1"/>
        <v>1-12</v>
      </c>
      <c r="F82" s="32" t="str">
        <f t="shared" si="2"/>
        <v>1-12</v>
      </c>
      <c r="G82" s="32" t="str">
        <f t="shared" si="3"/>
        <v>1-12</v>
      </c>
      <c r="H82" s="32" t="str">
        <f t="shared" si="4"/>
        <v>1-12</v>
      </c>
      <c r="I82" s="32" t="str">
        <f t="shared" si="5"/>
        <v>1-12</v>
      </c>
      <c r="J82" s="32" t="str">
        <f t="shared" si="6"/>
        <v>12-16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4.25" customHeight="1">
      <c r="A83" s="23" t="s">
        <v>923</v>
      </c>
      <c r="B83" s="57" t="s">
        <v>1225</v>
      </c>
      <c r="C83" s="56" t="s">
        <v>1258</v>
      </c>
      <c r="D83" s="31" t="str">
        <f>IFERROR(__xludf.DUMMYFUNCTION("JOIN("","",FILTER(Disciplinas!A:A, regexmatch(Disciplinas!D:D, A83)))"),"GRAD.BIOQ.02,GRAD.PAQO.01,GRAD.QOE.01,GRAD.QO-II.01")</f>
        <v>GRAD.BIOQ.02,GRAD.PAQO.01,GRAD.QOE.01,GRAD.QO-II.01</v>
      </c>
      <c r="E83" s="32" t="str">
        <f t="shared" si="1"/>
        <v>1-12</v>
      </c>
      <c r="F83" s="32" t="str">
        <f t="shared" si="2"/>
        <v>1-12</v>
      </c>
      <c r="G83" s="32" t="str">
        <f t="shared" si="3"/>
        <v>1-12</v>
      </c>
      <c r="H83" s="32" t="str">
        <f t="shared" si="4"/>
        <v>1-12</v>
      </c>
      <c r="I83" s="32" t="str">
        <f t="shared" si="5"/>
        <v>1-12</v>
      </c>
      <c r="J83" s="32" t="str">
        <f t="shared" si="6"/>
        <v>12-16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4.25" customHeight="1">
      <c r="A84" s="23" t="s">
        <v>930</v>
      </c>
      <c r="B84" s="57" t="s">
        <v>1227</v>
      </c>
      <c r="C84" s="56" t="s">
        <v>1258</v>
      </c>
      <c r="D84" s="31" t="str">
        <f>IFERROR(__xludf.DUMMYFUNCTION("JOIN("","",FILTER(Disciplinas!A:A, regexmatch(Disciplinas!D:D, A84)))"),"GRAD.EIA.01,GRAD.SAAES.01,GRAD.SIG.01,GRAD.TAR-I.01,GRAD.TCAA.01")</f>
        <v>GRAD.EIA.01,GRAD.SAAES.01,GRAD.SIG.01,GRAD.TAR-I.01,GRAD.TCAA.01</v>
      </c>
      <c r="E84" s="32" t="str">
        <f t="shared" si="1"/>
        <v>1-12</v>
      </c>
      <c r="F84" s="32" t="str">
        <f t="shared" si="2"/>
        <v>1-12</v>
      </c>
      <c r="G84" s="32" t="str">
        <f t="shared" si="3"/>
        <v>1-12</v>
      </c>
      <c r="H84" s="32" t="str">
        <f t="shared" si="4"/>
        <v>1-12</v>
      </c>
      <c r="I84" s="32" t="str">
        <f t="shared" si="5"/>
        <v>1-12</v>
      </c>
      <c r="J84" s="32" t="str">
        <f t="shared" si="6"/>
        <v>12-16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4.25" customHeight="1">
      <c r="A85" s="23" t="s">
        <v>940</v>
      </c>
      <c r="B85" s="57" t="s">
        <v>1227</v>
      </c>
      <c r="C85" s="56" t="s">
        <v>1258</v>
      </c>
      <c r="D85" s="31" t="str">
        <f>IFERROR(__xludf.DUMMYFUNCTION("JOIN("","",FILTER(Disciplinas!A:A, regexmatch(Disciplinas!D:D, A85)))"),"RV.GAM236")</f>
        <v>RV.GAM236</v>
      </c>
      <c r="E85" s="32" t="str">
        <f t="shared" si="1"/>
        <v>1-12</v>
      </c>
      <c r="F85" s="32" t="str">
        <f t="shared" si="2"/>
        <v>1-12</v>
      </c>
      <c r="G85" s="32" t="str">
        <f t="shared" si="3"/>
        <v>1-12</v>
      </c>
      <c r="H85" s="32" t="str">
        <f t="shared" si="4"/>
        <v>1-12</v>
      </c>
      <c r="I85" s="32" t="str">
        <f t="shared" si="5"/>
        <v>1-12</v>
      </c>
      <c r="J85" s="32" t="str">
        <f t="shared" si="6"/>
        <v>12-16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4.25" customHeight="1">
      <c r="A86" s="23" t="s">
        <v>941</v>
      </c>
      <c r="B86" s="57" t="s">
        <v>1227</v>
      </c>
      <c r="C86" s="56" t="s">
        <v>1258</v>
      </c>
      <c r="D86" s="31" t="str">
        <f>IFERROR(__xludf.DUMMYFUNCTION("JOIN("","",FILTER(Disciplinas!A:A, regexmatch(Disciplinas!D:D, A86)))"),"GRAD.FMB.01,GRAD.POLAGU.01,GRAD.PSA.01")</f>
        <v>GRAD.FMB.01,GRAD.POLAGU.01,GRAD.PSA.01</v>
      </c>
      <c r="E86" s="32" t="str">
        <f t="shared" si="1"/>
        <v>1-12</v>
      </c>
      <c r="F86" s="32" t="str">
        <f t="shared" si="2"/>
        <v>1-12</v>
      </c>
      <c r="G86" s="32" t="str">
        <f t="shared" si="3"/>
        <v>1-12</v>
      </c>
      <c r="H86" s="32" t="str">
        <f t="shared" si="4"/>
        <v>1-12</v>
      </c>
      <c r="I86" s="32" t="str">
        <f t="shared" si="5"/>
        <v>1-12</v>
      </c>
      <c r="J86" s="32" t="str">
        <f t="shared" si="6"/>
        <v>12-16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4.25" customHeight="1">
      <c r="A87" s="23" t="s">
        <v>948</v>
      </c>
      <c r="B87" s="57" t="s">
        <v>1248</v>
      </c>
      <c r="C87" s="56" t="s">
        <v>1258</v>
      </c>
      <c r="D87" s="31" t="str">
        <f>IFERROR(__xludf.DUMMYFUNCTION("JOIN("","",FILTER(Disciplinas!A:A, regexmatch(Disciplinas!D:D, A87)))"),"CTSTRARV.1,CTSTRARV.2,CTSTRARV.3,CTSTRARV.30,CTSTRARV.31,CTSTRARV.50")</f>
        <v>CTSTRARV.1,CTSTRARV.2,CTSTRARV.3,CTSTRARV.30,CTSTRARV.31,CTSTRARV.50</v>
      </c>
      <c r="E87" s="32" t="str">
        <f t="shared" si="1"/>
        <v>1-12</v>
      </c>
      <c r="F87" s="32" t="str">
        <f t="shared" si="2"/>
        <v>1-12</v>
      </c>
      <c r="G87" s="32" t="str">
        <f t="shared" si="3"/>
        <v>1-12</v>
      </c>
      <c r="H87" s="32" t="str">
        <f t="shared" si="4"/>
        <v>1-12</v>
      </c>
      <c r="I87" s="32" t="str">
        <f t="shared" si="5"/>
        <v>1-12</v>
      </c>
      <c r="J87" s="32" t="str">
        <f t="shared" si="6"/>
        <v>12-16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4.25" customHeight="1">
      <c r="A88" s="23" t="s">
        <v>961</v>
      </c>
      <c r="B88" s="57" t="s">
        <v>1248</v>
      </c>
      <c r="C88" s="56" t="s">
        <v>1258</v>
      </c>
      <c r="D88" s="31" t="str">
        <f>IFERROR(__xludf.DUMMYFUNCTION("JOIN("","",FILTER(Disciplinas!A:A, regexmatch(Disciplinas!D:D, A88)))"),"CTSTRARV.19,CTSTRARV.38,CTSTRARV.39,CTSTRARV.40,CTSTRARV.41,CTSTRARV.42,CTSTRARV.43")</f>
        <v>CTSTRARV.19,CTSTRARV.38,CTSTRARV.39,CTSTRARV.40,CTSTRARV.41,CTSTRARV.42,CTSTRARV.43</v>
      </c>
      <c r="E88" s="32" t="str">
        <f t="shared" si="1"/>
        <v>1-12</v>
      </c>
      <c r="F88" s="32" t="str">
        <f t="shared" si="2"/>
        <v>1-12</v>
      </c>
      <c r="G88" s="32" t="str">
        <f t="shared" si="3"/>
        <v>1-12</v>
      </c>
      <c r="H88" s="32" t="str">
        <f t="shared" si="4"/>
        <v>1-12</v>
      </c>
      <c r="I88" s="32" t="str">
        <f t="shared" si="5"/>
        <v>1-12</v>
      </c>
      <c r="J88" s="32" t="str">
        <f t="shared" si="6"/>
        <v>12-16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4.25" customHeight="1">
      <c r="A89" s="23" t="s">
        <v>976</v>
      </c>
      <c r="B89" s="57" t="s">
        <v>1229</v>
      </c>
      <c r="C89" s="56" t="s">
        <v>1259</v>
      </c>
      <c r="D89" s="31" t="str">
        <f>IFERROR(__xludf.DUMMYFUNCTION("JOIN("","",FILTER(Disciplinas!A:A, regexmatch(Disciplinas!D:D, A89)))"),"RV.ZOO219")</f>
        <v>RV.ZOO219</v>
      </c>
      <c r="E89" s="32" t="str">
        <f t="shared" si="1"/>
        <v>7-16</v>
      </c>
      <c r="F89" s="32" t="str">
        <f t="shared" si="2"/>
        <v>7-16</v>
      </c>
      <c r="G89" s="32" t="str">
        <f t="shared" si="3"/>
        <v>7-16</v>
      </c>
      <c r="H89" s="32" t="str">
        <f t="shared" si="4"/>
        <v>7-16</v>
      </c>
      <c r="I89" s="32" t="str">
        <f t="shared" si="5"/>
        <v>7-16</v>
      </c>
      <c r="J89" s="32" t="str">
        <f t="shared" si="6"/>
        <v>1-16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4.25" customHeight="1">
      <c r="A90" s="23" t="s">
        <v>979</v>
      </c>
      <c r="B90" s="57" t="s">
        <v>1229</v>
      </c>
      <c r="C90" s="56" t="s">
        <v>1260</v>
      </c>
      <c r="D90" s="31" t="str">
        <f>IFERROR(__xludf.DUMMYFUNCTION("JOIN("","",FILTER(Disciplinas!A:A, regexmatch(Disciplinas!D:D, A90)))"),"GRAD.ANATANIM.01,GRAD.ANATANIM.01,GRAD.BC.02,GRAD.DT.02,GRAD.DT.02,GRAD.IZ.01,GRAD.QGA.01")</f>
        <v>GRAD.ANATANIM.01,GRAD.ANATANIM.01,GRAD.BC.02,GRAD.DT.02,GRAD.DT.02,GRAD.IZ.01,GRAD.QGA.01</v>
      </c>
      <c r="E90" s="32" t="str">
        <f t="shared" si="1"/>
        <v>1-6,13-16</v>
      </c>
      <c r="F90" s="32" t="str">
        <f t="shared" si="2"/>
        <v>1-6,13-16</v>
      </c>
      <c r="G90" s="32" t="str">
        <f t="shared" si="3"/>
        <v>1-6,13-16</v>
      </c>
      <c r="H90" s="32" t="str">
        <f t="shared" si="4"/>
        <v>1-6,13-16</v>
      </c>
      <c r="I90" s="32" t="str">
        <f t="shared" si="5"/>
        <v>1-6,13-16</v>
      </c>
      <c r="J90" s="32" t="str">
        <f t="shared" si="6"/>
        <v>1-16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4.25" customHeight="1">
      <c r="A91" s="23" t="s">
        <v>985</v>
      </c>
      <c r="B91" s="57" t="s">
        <v>1229</v>
      </c>
      <c r="C91" s="56" t="s">
        <v>1259</v>
      </c>
      <c r="D91" s="31" t="str">
        <f>IFERROR(__xludf.DUMMYFUNCTION("JOIN("","",FILTER(Disciplinas!A:A, regexmatch(Disciplinas!D:D, A91)))"),"GRAD.BIOQ.02,GRAD.HEA.01,GRAD.MAA.01,GRAD.MCSA.03,GRAD.PARASITOLOG.01")</f>
        <v>GRAD.BIOQ.02,GRAD.HEA.01,GRAD.MAA.01,GRAD.MCSA.03,GRAD.PARASITOLOG.01</v>
      </c>
      <c r="E91" s="32" t="str">
        <f t="shared" si="1"/>
        <v>7-16</v>
      </c>
      <c r="F91" s="32" t="str">
        <f t="shared" si="2"/>
        <v>7-16</v>
      </c>
      <c r="G91" s="32" t="str">
        <f t="shared" si="3"/>
        <v>7-16</v>
      </c>
      <c r="H91" s="32" t="str">
        <f t="shared" si="4"/>
        <v>7-16</v>
      </c>
      <c r="I91" s="32" t="str">
        <f t="shared" si="5"/>
        <v>7-16</v>
      </c>
      <c r="J91" s="32" t="str">
        <f t="shared" si="6"/>
        <v>1-16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4.25" customHeight="1">
      <c r="A92" s="23" t="s">
        <v>995</v>
      </c>
      <c r="B92" s="57" t="s">
        <v>1229</v>
      </c>
      <c r="C92" s="56" t="s">
        <v>1260</v>
      </c>
      <c r="D92" s="31" t="str">
        <f>IFERROR(__xludf.DUMMYFUNCTION("JOIN("","",FILTER(Disciplinas!A:A, regexmatch(Disciplinas!D:D, A92)))"),"GRAD.ALIMA.01,GRAD.BIOCLIMAT.01,GRAD.BROMATOL.01,GRAD.FORRAGICULT.01,GRAD.HPA.01,GRAD.MGA.01")</f>
        <v>GRAD.ALIMA.01,GRAD.BIOCLIMAT.01,GRAD.BROMATOL.01,GRAD.FORRAGICULT.01,GRAD.HPA.01,GRAD.MGA.01</v>
      </c>
      <c r="E92" s="32" t="str">
        <f t="shared" si="1"/>
        <v>1-6,13-16</v>
      </c>
      <c r="F92" s="32" t="str">
        <f t="shared" si="2"/>
        <v>1-6,13-16</v>
      </c>
      <c r="G92" s="32" t="str">
        <f t="shared" si="3"/>
        <v>1-6,13-16</v>
      </c>
      <c r="H92" s="32" t="str">
        <f t="shared" si="4"/>
        <v>1-6,13-16</v>
      </c>
      <c r="I92" s="32" t="str">
        <f t="shared" si="5"/>
        <v>1-6,13-16</v>
      </c>
      <c r="J92" s="32" t="str">
        <f t="shared" si="6"/>
        <v>1-16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4.25" customHeight="1">
      <c r="A93" s="23" t="s">
        <v>1010</v>
      </c>
      <c r="B93" s="57" t="s">
        <v>1229</v>
      </c>
      <c r="C93" s="56" t="s">
        <v>1259</v>
      </c>
      <c r="D93" s="31" t="str">
        <f>IFERROR(__xludf.DUMMYFUNCTION("JOIN("","",FILTER(Disciplinas!A:A, regexmatch(Disciplinas!D:D, A93)))"),"GRAD.ANIMCOMP.01,GRAD.AQUICULT.01,GRAD.EQUIDEOCULT.01,GRAD.FRPNR.01,GRAD.FRPR.01,GRAD.GN.01,GRAD.TPOA.01")</f>
        <v>GRAD.ANIMCOMP.01,GRAD.AQUICULT.01,GRAD.EQUIDEOCULT.01,GRAD.FRPNR.01,GRAD.FRPR.01,GRAD.GN.01,GRAD.TPOA.01</v>
      </c>
      <c r="E93" s="32" t="str">
        <f t="shared" si="1"/>
        <v>7-16</v>
      </c>
      <c r="F93" s="32" t="str">
        <f t="shared" si="2"/>
        <v>7-16</v>
      </c>
      <c r="G93" s="32" t="str">
        <f t="shared" si="3"/>
        <v>7-16</v>
      </c>
      <c r="H93" s="32" t="str">
        <f t="shared" si="4"/>
        <v>7-16</v>
      </c>
      <c r="I93" s="32" t="str">
        <f t="shared" si="5"/>
        <v>7-16</v>
      </c>
      <c r="J93" s="32" t="str">
        <f t="shared" si="6"/>
        <v>1-16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4.25" customHeight="1">
      <c r="A94" s="23" t="s">
        <v>1026</v>
      </c>
      <c r="B94" s="57" t="s">
        <v>1229</v>
      </c>
      <c r="C94" s="56" t="s">
        <v>1260</v>
      </c>
      <c r="D94" s="31" t="str">
        <f>IFERROR(__xludf.DUMMYFUNCTION("JOIN("","",FILTER(Disciplinas!A:A, regexmatch(Disciplinas!D:D, A94)))"),"GRAD.AVICULT.01,GRAD.BL.01,GRAD.EMPREEDAGRO.01,GRAD.EP.02")</f>
        <v>GRAD.AVICULT.01,GRAD.BL.01,GRAD.EMPREEDAGRO.01,GRAD.EP.02</v>
      </c>
      <c r="E94" s="32" t="str">
        <f t="shared" si="1"/>
        <v>1-6,13-16</v>
      </c>
      <c r="F94" s="32" t="str">
        <f t="shared" si="2"/>
        <v>1-6,13-16</v>
      </c>
      <c r="G94" s="32" t="str">
        <f t="shared" si="3"/>
        <v>1-6,13-16</v>
      </c>
      <c r="H94" s="32" t="str">
        <f t="shared" si="4"/>
        <v>1-6,13-16</v>
      </c>
      <c r="I94" s="32" t="str">
        <f t="shared" si="5"/>
        <v>1-6,13-16</v>
      </c>
      <c r="J94" s="32" t="str">
        <f t="shared" si="6"/>
        <v>1-16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</sheetData>
  <dataValidations>
    <dataValidation type="list" allowBlank="1" sqref="A3">
      <formula1>Turmas!$A$2:$A$94</formula1>
    </dataValidation>
    <dataValidation type="list" allowBlank="1" showErrorMessage="1" sqref="B2:B94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8" t="s">
        <v>0</v>
      </c>
      <c r="B1" s="59" t="s">
        <v>1261</v>
      </c>
      <c r="C1" s="47" t="s">
        <v>1262</v>
      </c>
      <c r="D1" s="59" t="s">
        <v>1263</v>
      </c>
      <c r="E1" s="30" t="s">
        <v>8</v>
      </c>
      <c r="F1" s="30" t="s">
        <v>9</v>
      </c>
      <c r="G1" s="30" t="s">
        <v>10</v>
      </c>
      <c r="H1" s="30" t="s">
        <v>11</v>
      </c>
      <c r="I1" s="30" t="s">
        <v>12</v>
      </c>
      <c r="J1" s="30" t="s">
        <v>13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ht="14.25" customHeight="1">
      <c r="A2" s="60" t="s">
        <v>1264</v>
      </c>
      <c r="B2" s="60" t="s">
        <v>1265</v>
      </c>
      <c r="C2" s="61">
        <v>50.0</v>
      </c>
      <c r="D2" s="13" t="s">
        <v>1266</v>
      </c>
      <c r="E2" s="32" t="s">
        <v>1033</v>
      </c>
      <c r="F2" s="32" t="s">
        <v>1033</v>
      </c>
      <c r="G2" s="32" t="s">
        <v>1033</v>
      </c>
      <c r="H2" s="32" t="s">
        <v>1033</v>
      </c>
      <c r="I2" s="32" t="s">
        <v>1033</v>
      </c>
      <c r="J2" s="32" t="s">
        <v>1033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ht="14.25" customHeight="1">
      <c r="A3" s="60" t="s">
        <v>1267</v>
      </c>
      <c r="B3" s="60" t="s">
        <v>1268</v>
      </c>
      <c r="C3" s="61">
        <v>50.0</v>
      </c>
      <c r="D3" s="13" t="s">
        <v>1266</v>
      </c>
      <c r="E3" s="32" t="s">
        <v>1033</v>
      </c>
      <c r="F3" s="32" t="s">
        <v>1033</v>
      </c>
      <c r="G3" s="32" t="s">
        <v>1033</v>
      </c>
      <c r="H3" s="32" t="s">
        <v>1033</v>
      </c>
      <c r="I3" s="32" t="s">
        <v>1033</v>
      </c>
      <c r="J3" s="32" t="s">
        <v>1033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ht="14.25" customHeight="1">
      <c r="A4" s="60" t="s">
        <v>1269</v>
      </c>
      <c r="B4" s="60" t="s">
        <v>1270</v>
      </c>
      <c r="C4" s="61">
        <v>50.0</v>
      </c>
      <c r="D4" s="13" t="s">
        <v>1266</v>
      </c>
      <c r="E4" s="32" t="s">
        <v>1033</v>
      </c>
      <c r="F4" s="32" t="s">
        <v>1033</v>
      </c>
      <c r="G4" s="32" t="s">
        <v>1033</v>
      </c>
      <c r="H4" s="32" t="s">
        <v>1033</v>
      </c>
      <c r="I4" s="32" t="s">
        <v>1033</v>
      </c>
      <c r="J4" s="32" t="s">
        <v>1033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ht="14.25" customHeight="1">
      <c r="A5" s="60" t="s">
        <v>1271</v>
      </c>
      <c r="B5" s="60" t="s">
        <v>1272</v>
      </c>
      <c r="C5" s="61">
        <v>50.0</v>
      </c>
      <c r="D5" s="13" t="s">
        <v>1266</v>
      </c>
      <c r="E5" s="32" t="s">
        <v>1033</v>
      </c>
      <c r="F5" s="32" t="s">
        <v>1033</v>
      </c>
      <c r="G5" s="32" t="s">
        <v>1033</v>
      </c>
      <c r="H5" s="32" t="s">
        <v>1033</v>
      </c>
      <c r="I5" s="32" t="s">
        <v>1033</v>
      </c>
      <c r="J5" s="32" t="s">
        <v>1033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ht="14.25" customHeight="1">
      <c r="A6" s="60" t="s">
        <v>1273</v>
      </c>
      <c r="B6" s="60" t="s">
        <v>1274</v>
      </c>
      <c r="C6" s="61">
        <v>50.0</v>
      </c>
      <c r="D6" s="13" t="s">
        <v>1266</v>
      </c>
      <c r="E6" s="32" t="s">
        <v>1033</v>
      </c>
      <c r="F6" s="32" t="s">
        <v>1033</v>
      </c>
      <c r="G6" s="32" t="s">
        <v>1033</v>
      </c>
      <c r="H6" s="32" t="s">
        <v>1033</v>
      </c>
      <c r="I6" s="32" t="s">
        <v>1033</v>
      </c>
      <c r="J6" s="32" t="s">
        <v>1033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ht="14.25" customHeight="1">
      <c r="A7" s="60" t="s">
        <v>1275</v>
      </c>
      <c r="B7" s="60" t="s">
        <v>1276</v>
      </c>
      <c r="C7" s="61">
        <v>50.0</v>
      </c>
      <c r="D7" s="13" t="s">
        <v>1266</v>
      </c>
      <c r="E7" s="32" t="s">
        <v>1033</v>
      </c>
      <c r="F7" s="32" t="s">
        <v>1033</v>
      </c>
      <c r="G7" s="32" t="s">
        <v>1033</v>
      </c>
      <c r="H7" s="32" t="s">
        <v>1033</v>
      </c>
      <c r="I7" s="32" t="s">
        <v>1033</v>
      </c>
      <c r="J7" s="32" t="s">
        <v>1033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ht="14.25" customHeight="1">
      <c r="A8" s="60" t="s">
        <v>1277</v>
      </c>
      <c r="B8" s="60" t="s">
        <v>1278</v>
      </c>
      <c r="C8" s="61">
        <v>50.0</v>
      </c>
      <c r="D8" s="13" t="s">
        <v>1266</v>
      </c>
      <c r="E8" s="32" t="s">
        <v>1033</v>
      </c>
      <c r="F8" s="32" t="s">
        <v>1033</v>
      </c>
      <c r="G8" s="32" t="s">
        <v>1033</v>
      </c>
      <c r="H8" s="32" t="s">
        <v>1033</v>
      </c>
      <c r="I8" s="32" t="s">
        <v>1033</v>
      </c>
      <c r="J8" s="32" t="s">
        <v>1033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 ht="14.25" customHeight="1">
      <c r="A9" s="60" t="s">
        <v>1279</v>
      </c>
      <c r="B9" s="62" t="s">
        <v>1280</v>
      </c>
      <c r="C9" s="61">
        <v>50.0</v>
      </c>
      <c r="D9" s="13" t="s">
        <v>1266</v>
      </c>
      <c r="E9" s="32" t="s">
        <v>1033</v>
      </c>
      <c r="F9" s="32" t="s">
        <v>1033</v>
      </c>
      <c r="G9" s="32" t="s">
        <v>1033</v>
      </c>
      <c r="H9" s="32" t="s">
        <v>1033</v>
      </c>
      <c r="I9" s="32" t="s">
        <v>1033</v>
      </c>
      <c r="J9" s="32" t="s">
        <v>1033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 ht="14.25" customHeight="1">
      <c r="A10" s="60" t="s">
        <v>1281</v>
      </c>
      <c r="B10" s="62" t="s">
        <v>1282</v>
      </c>
      <c r="C10" s="61">
        <v>50.0</v>
      </c>
      <c r="D10" s="13" t="s">
        <v>1266</v>
      </c>
      <c r="E10" s="32" t="s">
        <v>1033</v>
      </c>
      <c r="F10" s="32" t="s">
        <v>1033</v>
      </c>
      <c r="G10" s="32" t="s">
        <v>1033</v>
      </c>
      <c r="H10" s="32" t="s">
        <v>1033</v>
      </c>
      <c r="I10" s="32" t="s">
        <v>1033</v>
      </c>
      <c r="J10" s="32" t="s">
        <v>1033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ht="14.25" customHeight="1">
      <c r="A11" s="60" t="s">
        <v>1283</v>
      </c>
      <c r="B11" s="62" t="s">
        <v>1284</v>
      </c>
      <c r="C11" s="61">
        <v>50.0</v>
      </c>
      <c r="D11" s="13" t="s">
        <v>1266</v>
      </c>
      <c r="E11" s="32" t="s">
        <v>1033</v>
      </c>
      <c r="F11" s="32" t="s">
        <v>1033</v>
      </c>
      <c r="G11" s="32" t="s">
        <v>1033</v>
      </c>
      <c r="H11" s="32" t="s">
        <v>1033</v>
      </c>
      <c r="I11" s="32" t="s">
        <v>1033</v>
      </c>
      <c r="J11" s="32" t="s">
        <v>1033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ht="14.25" customHeight="1">
      <c r="A12" s="60" t="s">
        <v>1285</v>
      </c>
      <c r="B12" s="63" t="s">
        <v>1286</v>
      </c>
      <c r="C12" s="61">
        <v>50.0</v>
      </c>
      <c r="D12" s="13" t="s">
        <v>1266</v>
      </c>
      <c r="E12" s="32" t="s">
        <v>1033</v>
      </c>
      <c r="F12" s="32" t="s">
        <v>1033</v>
      </c>
      <c r="G12" s="32" t="s">
        <v>1033</v>
      </c>
      <c r="H12" s="32" t="s">
        <v>1033</v>
      </c>
      <c r="I12" s="32" t="s">
        <v>1033</v>
      </c>
      <c r="J12" s="32" t="s">
        <v>1033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ht="14.25" customHeight="1">
      <c r="A13" s="60" t="s">
        <v>1287</v>
      </c>
      <c r="B13" s="63" t="s">
        <v>1288</v>
      </c>
      <c r="C13" s="61">
        <v>50.0</v>
      </c>
      <c r="D13" s="13" t="s">
        <v>1266</v>
      </c>
      <c r="E13" s="32" t="s">
        <v>1033</v>
      </c>
      <c r="F13" s="32" t="s">
        <v>1033</v>
      </c>
      <c r="G13" s="32" t="s">
        <v>1033</v>
      </c>
      <c r="H13" s="32" t="s">
        <v>1033</v>
      </c>
      <c r="I13" s="32" t="s">
        <v>1033</v>
      </c>
      <c r="J13" s="32" t="s">
        <v>1033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 ht="14.25" customHeight="1">
      <c r="A14" s="60" t="s">
        <v>1289</v>
      </c>
      <c r="B14" s="62" t="s">
        <v>1290</v>
      </c>
      <c r="C14" s="61">
        <v>50.0</v>
      </c>
      <c r="D14" s="13" t="s">
        <v>1266</v>
      </c>
      <c r="E14" s="32" t="s">
        <v>1033</v>
      </c>
      <c r="F14" s="32" t="s">
        <v>1033</v>
      </c>
      <c r="G14" s="32" t="s">
        <v>1033</v>
      </c>
      <c r="H14" s="32" t="s">
        <v>1033</v>
      </c>
      <c r="I14" s="32" t="s">
        <v>1033</v>
      </c>
      <c r="J14" s="32" t="s">
        <v>1033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 ht="14.25" customHeight="1">
      <c r="A15" s="60" t="s">
        <v>1291</v>
      </c>
      <c r="B15" s="62" t="s">
        <v>1292</v>
      </c>
      <c r="C15" s="61">
        <v>50.0</v>
      </c>
      <c r="D15" s="13" t="s">
        <v>1266</v>
      </c>
      <c r="E15" s="32" t="s">
        <v>1033</v>
      </c>
      <c r="F15" s="32" t="s">
        <v>1033</v>
      </c>
      <c r="G15" s="32" t="s">
        <v>1033</v>
      </c>
      <c r="H15" s="32" t="s">
        <v>1033</v>
      </c>
      <c r="I15" s="32" t="s">
        <v>1033</v>
      </c>
      <c r="J15" s="32" t="s">
        <v>1033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ht="14.25" customHeight="1">
      <c r="A16" s="60" t="s">
        <v>1293</v>
      </c>
      <c r="B16" s="62" t="s">
        <v>1294</v>
      </c>
      <c r="C16" s="61">
        <v>50.0</v>
      </c>
      <c r="D16" s="13" t="s">
        <v>1266</v>
      </c>
      <c r="E16" s="32" t="s">
        <v>1033</v>
      </c>
      <c r="F16" s="32" t="s">
        <v>1033</v>
      </c>
      <c r="G16" s="32" t="s">
        <v>1033</v>
      </c>
      <c r="H16" s="32" t="s">
        <v>1033</v>
      </c>
      <c r="I16" s="32" t="s">
        <v>1033</v>
      </c>
      <c r="J16" s="32" t="s">
        <v>1033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 ht="14.25" customHeight="1">
      <c r="A17" s="60" t="s">
        <v>1295</v>
      </c>
      <c r="B17" s="62" t="s">
        <v>1296</v>
      </c>
      <c r="C17" s="61">
        <v>50.0</v>
      </c>
      <c r="D17" s="13" t="s">
        <v>1266</v>
      </c>
      <c r="E17" s="32" t="s">
        <v>1033</v>
      </c>
      <c r="F17" s="32" t="s">
        <v>1033</v>
      </c>
      <c r="G17" s="32" t="s">
        <v>1033</v>
      </c>
      <c r="H17" s="32" t="s">
        <v>1033</v>
      </c>
      <c r="I17" s="32" t="s">
        <v>1033</v>
      </c>
      <c r="J17" s="32" t="s">
        <v>1033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 ht="14.25" customHeight="1">
      <c r="A18" s="60" t="s">
        <v>1297</v>
      </c>
      <c r="B18" s="62" t="s">
        <v>1298</v>
      </c>
      <c r="C18" s="61">
        <v>50.0</v>
      </c>
      <c r="D18" s="13" t="s">
        <v>1266</v>
      </c>
      <c r="E18" s="32" t="s">
        <v>1033</v>
      </c>
      <c r="F18" s="32" t="s">
        <v>1033</v>
      </c>
      <c r="G18" s="32" t="s">
        <v>1033</v>
      </c>
      <c r="H18" s="32" t="s">
        <v>1033</v>
      </c>
      <c r="I18" s="32" t="s">
        <v>1033</v>
      </c>
      <c r="J18" s="32" t="s">
        <v>1033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 ht="14.25" customHeight="1">
      <c r="A19" s="60" t="s">
        <v>1299</v>
      </c>
      <c r="B19" s="62" t="s">
        <v>1300</v>
      </c>
      <c r="C19" s="61">
        <v>50.0</v>
      </c>
      <c r="D19" s="13" t="s">
        <v>1266</v>
      </c>
      <c r="E19" s="32" t="s">
        <v>1033</v>
      </c>
      <c r="F19" s="32" t="s">
        <v>1033</v>
      </c>
      <c r="G19" s="32" t="s">
        <v>1033</v>
      </c>
      <c r="H19" s="32" t="s">
        <v>1033</v>
      </c>
      <c r="I19" s="32" t="s">
        <v>1033</v>
      </c>
      <c r="J19" s="32" t="s">
        <v>1033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ht="14.25" customHeight="1">
      <c r="A20" s="60" t="s">
        <v>1301</v>
      </c>
      <c r="B20" s="62" t="s">
        <v>1302</v>
      </c>
      <c r="C20" s="61">
        <v>50.0</v>
      </c>
      <c r="D20" s="13" t="s">
        <v>1266</v>
      </c>
      <c r="E20" s="32" t="s">
        <v>1033</v>
      </c>
      <c r="F20" s="32" t="s">
        <v>1033</v>
      </c>
      <c r="G20" s="32" t="s">
        <v>1033</v>
      </c>
      <c r="H20" s="32" t="s">
        <v>1033</v>
      </c>
      <c r="I20" s="32" t="s">
        <v>1033</v>
      </c>
      <c r="J20" s="32" t="s">
        <v>1033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 ht="14.25" customHeight="1">
      <c r="A21" s="60" t="s">
        <v>1303</v>
      </c>
      <c r="B21" s="62" t="s">
        <v>1304</v>
      </c>
      <c r="C21" s="61">
        <v>50.0</v>
      </c>
      <c r="D21" s="13" t="s">
        <v>1266</v>
      </c>
      <c r="E21" s="32" t="s">
        <v>1033</v>
      </c>
      <c r="F21" s="32" t="s">
        <v>1033</v>
      </c>
      <c r="G21" s="32" t="s">
        <v>1033</v>
      </c>
      <c r="H21" s="32" t="s">
        <v>1033</v>
      </c>
      <c r="I21" s="32" t="s">
        <v>1033</v>
      </c>
      <c r="J21" s="32" t="s">
        <v>1033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 ht="14.25" customHeight="1">
      <c r="A22" s="60" t="s">
        <v>1305</v>
      </c>
      <c r="B22" s="62" t="s">
        <v>1306</v>
      </c>
      <c r="C22" s="61">
        <v>50.0</v>
      </c>
      <c r="D22" s="13" t="s">
        <v>1266</v>
      </c>
      <c r="E22" s="32" t="s">
        <v>1033</v>
      </c>
      <c r="F22" s="32" t="s">
        <v>1033</v>
      </c>
      <c r="G22" s="32" t="s">
        <v>1033</v>
      </c>
      <c r="H22" s="32" t="s">
        <v>1033</v>
      </c>
      <c r="I22" s="32" t="s">
        <v>1033</v>
      </c>
      <c r="J22" s="32" t="s">
        <v>1033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ht="14.25" customHeight="1">
      <c r="A23" s="60" t="s">
        <v>1307</v>
      </c>
      <c r="B23" s="62" t="s">
        <v>1308</v>
      </c>
      <c r="C23" s="61">
        <v>50.0</v>
      </c>
      <c r="D23" s="13" t="s">
        <v>1266</v>
      </c>
      <c r="E23" s="32" t="s">
        <v>1033</v>
      </c>
      <c r="F23" s="32" t="s">
        <v>1033</v>
      </c>
      <c r="G23" s="32" t="s">
        <v>1033</v>
      </c>
      <c r="H23" s="32" t="s">
        <v>1033</v>
      </c>
      <c r="I23" s="32" t="s">
        <v>1033</v>
      </c>
      <c r="J23" s="32" t="s">
        <v>1033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 ht="14.25" customHeight="1">
      <c r="A24" s="60" t="s">
        <v>1309</v>
      </c>
      <c r="B24" s="62" t="s">
        <v>1310</v>
      </c>
      <c r="C24" s="61">
        <v>50.0</v>
      </c>
      <c r="D24" s="13" t="s">
        <v>1266</v>
      </c>
      <c r="E24" s="32" t="s">
        <v>1033</v>
      </c>
      <c r="F24" s="32" t="s">
        <v>1033</v>
      </c>
      <c r="G24" s="32" t="s">
        <v>1033</v>
      </c>
      <c r="H24" s="32" t="s">
        <v>1033</v>
      </c>
      <c r="I24" s="32" t="s">
        <v>1033</v>
      </c>
      <c r="J24" s="32" t="s">
        <v>1033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 ht="14.25" customHeight="1">
      <c r="A25" s="60" t="s">
        <v>1311</v>
      </c>
      <c r="B25" s="62" t="s">
        <v>1312</v>
      </c>
      <c r="C25" s="61">
        <v>50.0</v>
      </c>
      <c r="D25" s="13" t="s">
        <v>1266</v>
      </c>
      <c r="E25" s="32" t="s">
        <v>1033</v>
      </c>
      <c r="F25" s="32" t="s">
        <v>1033</v>
      </c>
      <c r="G25" s="32" t="s">
        <v>1033</v>
      </c>
      <c r="H25" s="32" t="s">
        <v>1033</v>
      </c>
      <c r="I25" s="32" t="s">
        <v>1033</v>
      </c>
      <c r="J25" s="32" t="s">
        <v>1033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 ht="14.25" customHeight="1">
      <c r="A26" s="60" t="s">
        <v>1313</v>
      </c>
      <c r="B26" s="62" t="s">
        <v>1314</v>
      </c>
      <c r="C26" s="61">
        <v>50.0</v>
      </c>
      <c r="D26" s="13" t="s">
        <v>1266</v>
      </c>
      <c r="E26" s="32" t="s">
        <v>1033</v>
      </c>
      <c r="F26" s="32" t="s">
        <v>1033</v>
      </c>
      <c r="G26" s="32" t="s">
        <v>1033</v>
      </c>
      <c r="H26" s="32" t="s">
        <v>1033</v>
      </c>
      <c r="I26" s="32" t="s">
        <v>1033</v>
      </c>
      <c r="J26" s="32" t="s">
        <v>1033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ht="14.25" customHeight="1">
      <c r="A27" s="60" t="s">
        <v>1315</v>
      </c>
      <c r="B27" s="62" t="s">
        <v>1316</v>
      </c>
      <c r="C27" s="61">
        <v>50.0</v>
      </c>
      <c r="D27" s="13" t="s">
        <v>1266</v>
      </c>
      <c r="E27" s="32" t="s">
        <v>1033</v>
      </c>
      <c r="F27" s="32" t="s">
        <v>1033</v>
      </c>
      <c r="G27" s="32" t="s">
        <v>1033</v>
      </c>
      <c r="H27" s="32" t="s">
        <v>1033</v>
      </c>
      <c r="I27" s="32" t="s">
        <v>1033</v>
      </c>
      <c r="J27" s="32" t="s">
        <v>1033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 ht="14.25" customHeight="1">
      <c r="A28" s="60" t="s">
        <v>1317</v>
      </c>
      <c r="B28" s="62" t="s">
        <v>1318</v>
      </c>
      <c r="C28" s="61">
        <v>50.0</v>
      </c>
      <c r="D28" s="13" t="s">
        <v>1266</v>
      </c>
      <c r="E28" s="32" t="s">
        <v>1033</v>
      </c>
      <c r="F28" s="32" t="s">
        <v>1033</v>
      </c>
      <c r="G28" s="32" t="s">
        <v>1033</v>
      </c>
      <c r="H28" s="32" t="s">
        <v>1033</v>
      </c>
      <c r="I28" s="32" t="s">
        <v>1033</v>
      </c>
      <c r="J28" s="32" t="s">
        <v>1033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ht="14.25" customHeight="1">
      <c r="A29" s="60" t="s">
        <v>1319</v>
      </c>
      <c r="B29" s="62" t="s">
        <v>1320</v>
      </c>
      <c r="C29" s="61">
        <v>50.0</v>
      </c>
      <c r="D29" s="13" t="s">
        <v>1266</v>
      </c>
      <c r="E29" s="32" t="s">
        <v>1033</v>
      </c>
      <c r="F29" s="32" t="s">
        <v>1033</v>
      </c>
      <c r="G29" s="32" t="s">
        <v>1033</v>
      </c>
      <c r="H29" s="32" t="s">
        <v>1033</v>
      </c>
      <c r="I29" s="32" t="s">
        <v>1033</v>
      </c>
      <c r="J29" s="32" t="s">
        <v>1033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ht="14.25" customHeight="1">
      <c r="A30" s="60" t="s">
        <v>1321</v>
      </c>
      <c r="B30" s="62" t="s">
        <v>1322</v>
      </c>
      <c r="C30" s="61">
        <v>50.0</v>
      </c>
      <c r="D30" s="13" t="s">
        <v>1266</v>
      </c>
      <c r="E30" s="32" t="s">
        <v>1033</v>
      </c>
      <c r="F30" s="32" t="s">
        <v>1033</v>
      </c>
      <c r="G30" s="32" t="s">
        <v>1033</v>
      </c>
      <c r="H30" s="32" t="s">
        <v>1033</v>
      </c>
      <c r="I30" s="32" t="s">
        <v>1033</v>
      </c>
      <c r="J30" s="32" t="s">
        <v>1033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 ht="14.25" customHeight="1">
      <c r="A31" s="60" t="s">
        <v>1323</v>
      </c>
      <c r="B31" s="62" t="s">
        <v>1324</v>
      </c>
      <c r="C31" s="61">
        <v>50.0</v>
      </c>
      <c r="D31" s="13" t="s">
        <v>1266</v>
      </c>
      <c r="E31" s="32" t="s">
        <v>1033</v>
      </c>
      <c r="F31" s="32" t="s">
        <v>1033</v>
      </c>
      <c r="G31" s="32" t="s">
        <v>1033</v>
      </c>
      <c r="H31" s="32" t="s">
        <v>1033</v>
      </c>
      <c r="I31" s="32" t="s">
        <v>1033</v>
      </c>
      <c r="J31" s="32" t="s">
        <v>1033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 ht="14.25" customHeight="1">
      <c r="A32" s="60" t="s">
        <v>1325</v>
      </c>
      <c r="B32" s="62" t="s">
        <v>1326</v>
      </c>
      <c r="C32" s="61">
        <v>50.0</v>
      </c>
      <c r="D32" s="13" t="s">
        <v>1266</v>
      </c>
      <c r="E32" s="32" t="s">
        <v>1033</v>
      </c>
      <c r="F32" s="32" t="s">
        <v>1033</v>
      </c>
      <c r="G32" s="32" t="s">
        <v>1033</v>
      </c>
      <c r="H32" s="32" t="s">
        <v>1033</v>
      </c>
      <c r="I32" s="32" t="s">
        <v>1033</v>
      </c>
      <c r="J32" s="32" t="s">
        <v>1033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 ht="14.25" customHeight="1">
      <c r="A33" s="60" t="s">
        <v>1327</v>
      </c>
      <c r="B33" s="62" t="s">
        <v>1328</v>
      </c>
      <c r="C33" s="61">
        <v>50.0</v>
      </c>
      <c r="D33" s="13" t="s">
        <v>1266</v>
      </c>
      <c r="E33" s="32" t="s">
        <v>1033</v>
      </c>
      <c r="F33" s="32" t="s">
        <v>1033</v>
      </c>
      <c r="G33" s="32" t="s">
        <v>1033</v>
      </c>
      <c r="H33" s="32" t="s">
        <v>1033</v>
      </c>
      <c r="I33" s="32" t="s">
        <v>1033</v>
      </c>
      <c r="J33" s="32" t="s">
        <v>1033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ht="14.25" customHeight="1">
      <c r="A34" s="60" t="s">
        <v>1329</v>
      </c>
      <c r="B34" s="62" t="s">
        <v>1330</v>
      </c>
      <c r="C34" s="61">
        <v>50.0</v>
      </c>
      <c r="D34" s="13" t="s">
        <v>1266</v>
      </c>
      <c r="E34" s="32" t="s">
        <v>1033</v>
      </c>
      <c r="F34" s="32" t="s">
        <v>1033</v>
      </c>
      <c r="G34" s="32" t="s">
        <v>1033</v>
      </c>
      <c r="H34" s="32" t="s">
        <v>1033</v>
      </c>
      <c r="I34" s="32" t="s">
        <v>1033</v>
      </c>
      <c r="J34" s="32" t="s">
        <v>1033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 ht="14.25" customHeight="1">
      <c r="A35" s="60" t="s">
        <v>1331</v>
      </c>
      <c r="B35" s="62" t="s">
        <v>1332</v>
      </c>
      <c r="C35" s="61">
        <v>50.0</v>
      </c>
      <c r="D35" s="13" t="s">
        <v>1266</v>
      </c>
      <c r="E35" s="32" t="s">
        <v>1033</v>
      </c>
      <c r="F35" s="32" t="s">
        <v>1033</v>
      </c>
      <c r="G35" s="32" t="s">
        <v>1033</v>
      </c>
      <c r="H35" s="32" t="s">
        <v>1033</v>
      </c>
      <c r="I35" s="32" t="s">
        <v>1033</v>
      </c>
      <c r="J35" s="32" t="s">
        <v>1033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 ht="14.25" customHeight="1">
      <c r="A36" s="60" t="s">
        <v>1333</v>
      </c>
      <c r="B36" s="62" t="s">
        <v>1334</v>
      </c>
      <c r="C36" s="61">
        <v>50.0</v>
      </c>
      <c r="D36" s="13" t="s">
        <v>1266</v>
      </c>
      <c r="E36" s="32" t="s">
        <v>1033</v>
      </c>
      <c r="F36" s="32" t="s">
        <v>1033</v>
      </c>
      <c r="G36" s="32" t="s">
        <v>1033</v>
      </c>
      <c r="H36" s="32" t="s">
        <v>1033</v>
      </c>
      <c r="I36" s="32" t="s">
        <v>1033</v>
      </c>
      <c r="J36" s="32" t="s">
        <v>1033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 ht="14.25" customHeight="1">
      <c r="A37" s="60" t="s">
        <v>1335</v>
      </c>
      <c r="B37" s="62" t="s">
        <v>1336</v>
      </c>
      <c r="C37" s="61">
        <v>50.0</v>
      </c>
      <c r="D37" s="13" t="s">
        <v>1266</v>
      </c>
      <c r="E37" s="32" t="s">
        <v>1033</v>
      </c>
      <c r="F37" s="32" t="s">
        <v>1033</v>
      </c>
      <c r="G37" s="32" t="s">
        <v>1033</v>
      </c>
      <c r="H37" s="32" t="s">
        <v>1033</v>
      </c>
      <c r="I37" s="32" t="s">
        <v>1033</v>
      </c>
      <c r="J37" s="32" t="s">
        <v>1033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 ht="14.25" customHeight="1">
      <c r="A38" s="60" t="s">
        <v>1337</v>
      </c>
      <c r="B38" s="62" t="s">
        <v>1338</v>
      </c>
      <c r="C38" s="61">
        <v>50.0</v>
      </c>
      <c r="D38" s="13" t="s">
        <v>1266</v>
      </c>
      <c r="E38" s="32" t="s">
        <v>1033</v>
      </c>
      <c r="F38" s="32" t="s">
        <v>1033</v>
      </c>
      <c r="G38" s="32" t="s">
        <v>1033</v>
      </c>
      <c r="H38" s="32" t="s">
        <v>1033</v>
      </c>
      <c r="I38" s="32" t="s">
        <v>1033</v>
      </c>
      <c r="J38" s="32" t="s">
        <v>1033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 ht="14.25" customHeight="1">
      <c r="A39" s="60" t="s">
        <v>1339</v>
      </c>
      <c r="B39" s="62" t="s">
        <v>1340</v>
      </c>
      <c r="C39" s="61">
        <v>50.0</v>
      </c>
      <c r="D39" s="13" t="s">
        <v>1266</v>
      </c>
      <c r="E39" s="32" t="s">
        <v>1033</v>
      </c>
      <c r="F39" s="32" t="s">
        <v>1033</v>
      </c>
      <c r="G39" s="32" t="s">
        <v>1033</v>
      </c>
      <c r="H39" s="32" t="s">
        <v>1033</v>
      </c>
      <c r="I39" s="32" t="s">
        <v>1033</v>
      </c>
      <c r="J39" s="32" t="s">
        <v>1033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ht="14.25" customHeight="1">
      <c r="A40" s="60" t="s">
        <v>1341</v>
      </c>
      <c r="B40" s="62" t="s">
        <v>1342</v>
      </c>
      <c r="C40" s="61">
        <v>50.0</v>
      </c>
      <c r="D40" s="13" t="s">
        <v>1266</v>
      </c>
      <c r="E40" s="32" t="s">
        <v>1033</v>
      </c>
      <c r="F40" s="32" t="s">
        <v>1033</v>
      </c>
      <c r="G40" s="32" t="s">
        <v>1033</v>
      </c>
      <c r="H40" s="32" t="s">
        <v>1033</v>
      </c>
      <c r="I40" s="32" t="s">
        <v>1033</v>
      </c>
      <c r="J40" s="32" t="s">
        <v>1033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ht="14.25" customHeight="1">
      <c r="A41" s="60" t="s">
        <v>1343</v>
      </c>
      <c r="B41" s="62" t="s">
        <v>1344</v>
      </c>
      <c r="C41" s="61">
        <v>50.0</v>
      </c>
      <c r="D41" s="13" t="s">
        <v>1266</v>
      </c>
      <c r="E41" s="32" t="s">
        <v>1033</v>
      </c>
      <c r="F41" s="32" t="s">
        <v>1033</v>
      </c>
      <c r="G41" s="32" t="s">
        <v>1033</v>
      </c>
      <c r="H41" s="32" t="s">
        <v>1033</v>
      </c>
      <c r="I41" s="32" t="s">
        <v>1033</v>
      </c>
      <c r="J41" s="32" t="s">
        <v>1033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ht="14.25" customHeight="1">
      <c r="A42" s="60" t="s">
        <v>1345</v>
      </c>
      <c r="B42" s="62" t="s">
        <v>1346</v>
      </c>
      <c r="C42" s="61">
        <v>50.0</v>
      </c>
      <c r="D42" s="13" t="s">
        <v>1266</v>
      </c>
      <c r="E42" s="32" t="s">
        <v>1033</v>
      </c>
      <c r="F42" s="32" t="s">
        <v>1033</v>
      </c>
      <c r="G42" s="32" t="s">
        <v>1033</v>
      </c>
      <c r="H42" s="32" t="s">
        <v>1033</v>
      </c>
      <c r="I42" s="32" t="s">
        <v>1033</v>
      </c>
      <c r="J42" s="32" t="s">
        <v>1033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ht="14.25" customHeight="1">
      <c r="A43" s="60" t="s">
        <v>1347</v>
      </c>
      <c r="B43" s="62" t="s">
        <v>1348</v>
      </c>
      <c r="C43" s="61">
        <v>50.0</v>
      </c>
      <c r="D43" s="13" t="s">
        <v>1266</v>
      </c>
      <c r="E43" s="32" t="s">
        <v>1033</v>
      </c>
      <c r="F43" s="32" t="s">
        <v>1033</v>
      </c>
      <c r="G43" s="32" t="s">
        <v>1033</v>
      </c>
      <c r="H43" s="32" t="s">
        <v>1033</v>
      </c>
      <c r="I43" s="32" t="s">
        <v>1033</v>
      </c>
      <c r="J43" s="32" t="s">
        <v>1033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ht="14.25" customHeight="1">
      <c r="A44" s="60" t="s">
        <v>1349</v>
      </c>
      <c r="B44" s="62" t="s">
        <v>1350</v>
      </c>
      <c r="C44" s="61">
        <v>50.0</v>
      </c>
      <c r="D44" s="13" t="s">
        <v>1266</v>
      </c>
      <c r="E44" s="32" t="s">
        <v>1033</v>
      </c>
      <c r="F44" s="32" t="s">
        <v>1033</v>
      </c>
      <c r="G44" s="32" t="s">
        <v>1033</v>
      </c>
      <c r="H44" s="32" t="s">
        <v>1033</v>
      </c>
      <c r="I44" s="32" t="s">
        <v>1033</v>
      </c>
      <c r="J44" s="32" t="s">
        <v>1033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ht="14.25" customHeight="1">
      <c r="A45" s="60" t="s">
        <v>1351</v>
      </c>
      <c r="B45" s="62" t="s">
        <v>1352</v>
      </c>
      <c r="C45" s="61">
        <v>50.0</v>
      </c>
      <c r="D45" s="13" t="s">
        <v>1266</v>
      </c>
      <c r="E45" s="32" t="s">
        <v>1033</v>
      </c>
      <c r="F45" s="32" t="s">
        <v>1033</v>
      </c>
      <c r="G45" s="32" t="s">
        <v>1033</v>
      </c>
      <c r="H45" s="32" t="s">
        <v>1033</v>
      </c>
      <c r="I45" s="32" t="s">
        <v>1033</v>
      </c>
      <c r="J45" s="32" t="s">
        <v>1033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ht="14.25" customHeight="1">
      <c r="A46" s="60" t="s">
        <v>1353</v>
      </c>
      <c r="B46" s="62" t="s">
        <v>1354</v>
      </c>
      <c r="C46" s="61">
        <v>50.0</v>
      </c>
      <c r="D46" s="13" t="s">
        <v>1266</v>
      </c>
      <c r="E46" s="32" t="s">
        <v>1033</v>
      </c>
      <c r="F46" s="32" t="s">
        <v>1033</v>
      </c>
      <c r="G46" s="32" t="s">
        <v>1033</v>
      </c>
      <c r="H46" s="32" t="s">
        <v>1033</v>
      </c>
      <c r="I46" s="32" t="s">
        <v>1033</v>
      </c>
      <c r="J46" s="32" t="s">
        <v>1033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ht="14.25" customHeight="1">
      <c r="A47" s="60" t="s">
        <v>1355</v>
      </c>
      <c r="B47" s="62" t="s">
        <v>1356</v>
      </c>
      <c r="C47" s="61">
        <v>50.0</v>
      </c>
      <c r="D47" s="13" t="s">
        <v>1266</v>
      </c>
      <c r="E47" s="32" t="s">
        <v>1033</v>
      </c>
      <c r="F47" s="32" t="s">
        <v>1033</v>
      </c>
      <c r="G47" s="32" t="s">
        <v>1033</v>
      </c>
      <c r="H47" s="32" t="s">
        <v>1033</v>
      </c>
      <c r="I47" s="32" t="s">
        <v>1033</v>
      </c>
      <c r="J47" s="32" t="s">
        <v>1033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ht="14.25" customHeight="1">
      <c r="A48" s="60" t="s">
        <v>1357</v>
      </c>
      <c r="B48" s="62" t="s">
        <v>1358</v>
      </c>
      <c r="C48" s="61">
        <v>50.0</v>
      </c>
      <c r="D48" s="13" t="s">
        <v>1266</v>
      </c>
      <c r="E48" s="32" t="s">
        <v>1033</v>
      </c>
      <c r="F48" s="32" t="s">
        <v>1033</v>
      </c>
      <c r="G48" s="32" t="s">
        <v>1033</v>
      </c>
      <c r="H48" s="32" t="s">
        <v>1033</v>
      </c>
      <c r="I48" s="32" t="s">
        <v>1033</v>
      </c>
      <c r="J48" s="32" t="s">
        <v>1033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ht="14.25" customHeight="1">
      <c r="A49" s="60" t="s">
        <v>1359</v>
      </c>
      <c r="B49" s="62" t="s">
        <v>1360</v>
      </c>
      <c r="C49" s="61">
        <v>50.0</v>
      </c>
      <c r="D49" s="13" t="s">
        <v>1266</v>
      </c>
      <c r="E49" s="32" t="s">
        <v>1033</v>
      </c>
      <c r="F49" s="32" t="s">
        <v>1033</v>
      </c>
      <c r="G49" s="32" t="s">
        <v>1033</v>
      </c>
      <c r="H49" s="32" t="s">
        <v>1033</v>
      </c>
      <c r="I49" s="32" t="s">
        <v>1033</v>
      </c>
      <c r="J49" s="32" t="s">
        <v>1033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ht="14.25" customHeight="1">
      <c r="A50" s="60" t="s">
        <v>1361</v>
      </c>
      <c r="B50" s="62" t="s">
        <v>1362</v>
      </c>
      <c r="C50" s="61">
        <v>50.0</v>
      </c>
      <c r="D50" s="13" t="s">
        <v>1266</v>
      </c>
      <c r="E50" s="32" t="s">
        <v>1033</v>
      </c>
      <c r="F50" s="32" t="s">
        <v>1033</v>
      </c>
      <c r="G50" s="32" t="s">
        <v>1033</v>
      </c>
      <c r="H50" s="32" t="s">
        <v>1033</v>
      </c>
      <c r="I50" s="32" t="s">
        <v>1033</v>
      </c>
      <c r="J50" s="32" t="s">
        <v>1033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ht="14.25" customHeight="1">
      <c r="A51" s="60" t="s">
        <v>1363</v>
      </c>
      <c r="B51" s="62" t="s">
        <v>1364</v>
      </c>
      <c r="C51" s="61">
        <v>50.0</v>
      </c>
      <c r="D51" s="13" t="s">
        <v>1266</v>
      </c>
      <c r="E51" s="32" t="s">
        <v>1033</v>
      </c>
      <c r="F51" s="32" t="s">
        <v>1033</v>
      </c>
      <c r="G51" s="32" t="s">
        <v>1033</v>
      </c>
      <c r="H51" s="32" t="s">
        <v>1033</v>
      </c>
      <c r="I51" s="32" t="s">
        <v>1033</v>
      </c>
      <c r="J51" s="32" t="s">
        <v>1033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 ht="14.25" customHeight="1">
      <c r="A52" s="60" t="s">
        <v>1365</v>
      </c>
      <c r="B52" s="62" t="s">
        <v>1366</v>
      </c>
      <c r="C52" s="61">
        <v>50.0</v>
      </c>
      <c r="D52" s="13" t="s">
        <v>1266</v>
      </c>
      <c r="E52" s="32" t="s">
        <v>1033</v>
      </c>
      <c r="F52" s="32" t="s">
        <v>1033</v>
      </c>
      <c r="G52" s="32" t="s">
        <v>1033</v>
      </c>
      <c r="H52" s="32" t="s">
        <v>1033</v>
      </c>
      <c r="I52" s="32" t="s">
        <v>1033</v>
      </c>
      <c r="J52" s="32" t="s">
        <v>1033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 ht="14.25" customHeight="1">
      <c r="A53" s="62" t="s">
        <v>1367</v>
      </c>
      <c r="B53" s="62" t="s">
        <v>1368</v>
      </c>
      <c r="C53" s="61">
        <v>30.0</v>
      </c>
      <c r="D53" s="56" t="s">
        <v>1369</v>
      </c>
      <c r="E53" s="32" t="s">
        <v>1033</v>
      </c>
      <c r="F53" s="32" t="s">
        <v>1033</v>
      </c>
      <c r="G53" s="32" t="s">
        <v>1033</v>
      </c>
      <c r="H53" s="32" t="s">
        <v>1033</v>
      </c>
      <c r="I53" s="32" t="s">
        <v>1033</v>
      </c>
      <c r="J53" s="32" t="s">
        <v>1033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 ht="14.25" customHeight="1">
      <c r="A54" s="62" t="s">
        <v>1370</v>
      </c>
      <c r="B54" s="62" t="s">
        <v>1371</v>
      </c>
      <c r="C54" s="61">
        <v>30.0</v>
      </c>
      <c r="D54" s="56" t="s">
        <v>1369</v>
      </c>
      <c r="E54" s="32" t="s">
        <v>1033</v>
      </c>
      <c r="F54" s="32" t="s">
        <v>1033</v>
      </c>
      <c r="G54" s="32" t="s">
        <v>1033</v>
      </c>
      <c r="H54" s="32" t="s">
        <v>1033</v>
      </c>
      <c r="I54" s="32" t="s">
        <v>1033</v>
      </c>
      <c r="J54" s="32" t="s">
        <v>1033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ht="14.25" customHeight="1">
      <c r="A55" s="62" t="s">
        <v>1372</v>
      </c>
      <c r="B55" s="62" t="s">
        <v>1373</v>
      </c>
      <c r="C55" s="61">
        <v>30.0</v>
      </c>
      <c r="D55" s="56" t="s">
        <v>1369</v>
      </c>
      <c r="E55" s="32" t="s">
        <v>1033</v>
      </c>
      <c r="F55" s="32" t="s">
        <v>1033</v>
      </c>
      <c r="G55" s="32" t="s">
        <v>1033</v>
      </c>
      <c r="H55" s="32" t="s">
        <v>1033</v>
      </c>
      <c r="I55" s="32" t="s">
        <v>1033</v>
      </c>
      <c r="J55" s="32" t="s">
        <v>1033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ht="14.25" customHeight="1">
      <c r="A56" s="62" t="s">
        <v>1374</v>
      </c>
      <c r="B56" s="62" t="s">
        <v>1375</v>
      </c>
      <c r="C56" s="61">
        <v>30.0</v>
      </c>
      <c r="D56" s="56" t="s">
        <v>1369</v>
      </c>
      <c r="E56" s="32" t="s">
        <v>1033</v>
      </c>
      <c r="F56" s="32" t="s">
        <v>1033</v>
      </c>
      <c r="G56" s="32" t="s">
        <v>1033</v>
      </c>
      <c r="H56" s="32" t="s">
        <v>1033</v>
      </c>
      <c r="I56" s="32" t="s">
        <v>1033</v>
      </c>
      <c r="J56" s="32" t="s">
        <v>1033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ht="14.25" customHeight="1">
      <c r="A57" s="62" t="s">
        <v>1376</v>
      </c>
      <c r="B57" s="62" t="s">
        <v>1377</v>
      </c>
      <c r="C57" s="61">
        <v>30.0</v>
      </c>
      <c r="D57" s="56" t="s">
        <v>1369</v>
      </c>
      <c r="E57" s="32" t="s">
        <v>1033</v>
      </c>
      <c r="F57" s="32" t="s">
        <v>1033</v>
      </c>
      <c r="G57" s="32" t="s">
        <v>1033</v>
      </c>
      <c r="H57" s="32" t="s">
        <v>1033</v>
      </c>
      <c r="I57" s="32" t="s">
        <v>1033</v>
      </c>
      <c r="J57" s="32" t="s">
        <v>1033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ht="14.25" customHeight="1">
      <c r="A58" s="62" t="s">
        <v>1378</v>
      </c>
      <c r="B58" s="62" t="s">
        <v>1379</v>
      </c>
      <c r="C58" s="61">
        <v>30.0</v>
      </c>
      <c r="D58" s="56" t="s">
        <v>1369</v>
      </c>
      <c r="E58" s="32" t="s">
        <v>1033</v>
      </c>
      <c r="F58" s="32" t="s">
        <v>1033</v>
      </c>
      <c r="G58" s="32" t="s">
        <v>1033</v>
      </c>
      <c r="H58" s="32" t="s">
        <v>1033</v>
      </c>
      <c r="I58" s="32" t="s">
        <v>1033</v>
      </c>
      <c r="J58" s="32" t="s">
        <v>1033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ht="14.25" customHeight="1">
      <c r="A59" s="62" t="s">
        <v>1380</v>
      </c>
      <c r="B59" s="62" t="s">
        <v>1381</v>
      </c>
      <c r="C59" s="61">
        <v>30.0</v>
      </c>
      <c r="D59" s="56" t="s">
        <v>1369</v>
      </c>
      <c r="E59" s="32" t="s">
        <v>1033</v>
      </c>
      <c r="F59" s="32" t="s">
        <v>1033</v>
      </c>
      <c r="G59" s="32" t="s">
        <v>1033</v>
      </c>
      <c r="H59" s="32" t="s">
        <v>1033</v>
      </c>
      <c r="I59" s="32" t="s">
        <v>1033</v>
      </c>
      <c r="J59" s="32" t="s">
        <v>1033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ht="14.25" customHeight="1">
      <c r="A60" s="62" t="s">
        <v>1382</v>
      </c>
      <c r="B60" s="62" t="s">
        <v>1383</v>
      </c>
      <c r="C60" s="61">
        <v>10.0</v>
      </c>
      <c r="D60" s="56" t="s">
        <v>1369</v>
      </c>
      <c r="E60" s="32" t="s">
        <v>1033</v>
      </c>
      <c r="F60" s="32" t="s">
        <v>1033</v>
      </c>
      <c r="G60" s="32" t="s">
        <v>1033</v>
      </c>
      <c r="H60" s="32" t="s">
        <v>1033</v>
      </c>
      <c r="I60" s="32" t="s">
        <v>1033</v>
      </c>
      <c r="J60" s="32" t="s">
        <v>1033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ht="14.25" customHeight="1">
      <c r="A61" s="62"/>
      <c r="C61" s="61"/>
      <c r="D61" s="62"/>
      <c r="E61" s="32"/>
      <c r="F61" s="32"/>
      <c r="G61" s="32"/>
      <c r="H61" s="32"/>
      <c r="I61" s="32"/>
      <c r="J61" s="32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ht="14.25" customHeight="1">
      <c r="A62" s="62"/>
      <c r="B62" s="62"/>
      <c r="C62" s="61"/>
      <c r="D62" s="62"/>
      <c r="E62" s="32"/>
      <c r="F62" s="32"/>
      <c r="G62" s="32"/>
      <c r="H62" s="32"/>
      <c r="I62" s="32"/>
      <c r="J62" s="32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ht="14.25" customHeight="1">
      <c r="A63" s="62"/>
      <c r="B63" s="62"/>
      <c r="C63" s="61"/>
      <c r="D63" s="62"/>
      <c r="E63" s="32"/>
      <c r="F63" s="32"/>
      <c r="G63" s="32"/>
      <c r="H63" s="32"/>
      <c r="I63" s="32"/>
      <c r="J63" s="32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 ht="14.25" customHeight="1">
      <c r="A64" s="62"/>
      <c r="B64" s="62"/>
      <c r="C64" s="61"/>
      <c r="D64" s="62"/>
      <c r="E64" s="32"/>
      <c r="F64" s="32"/>
      <c r="G64" s="32"/>
      <c r="H64" s="32"/>
      <c r="I64" s="32"/>
      <c r="J64" s="32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 ht="14.25" customHeight="1">
      <c r="A65" s="62"/>
      <c r="B65" s="62"/>
      <c r="C65" s="61"/>
      <c r="D65" s="62"/>
      <c r="E65" s="32"/>
      <c r="F65" s="32"/>
      <c r="G65" s="32"/>
      <c r="H65" s="32"/>
      <c r="I65" s="32"/>
      <c r="J65" s="32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 ht="14.25" customHeight="1">
      <c r="A66" s="62"/>
      <c r="B66" s="62"/>
      <c r="C66" s="61"/>
      <c r="D66" s="62"/>
      <c r="E66" s="32"/>
      <c r="F66" s="32"/>
      <c r="G66" s="32"/>
      <c r="H66" s="32"/>
      <c r="I66" s="32"/>
      <c r="J66" s="32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 ht="14.25" customHeight="1">
      <c r="A67" s="62"/>
      <c r="B67" s="62"/>
      <c r="C67" s="61"/>
      <c r="D67" s="62"/>
      <c r="E67" s="32"/>
      <c r="F67" s="32"/>
      <c r="G67" s="32"/>
      <c r="H67" s="32"/>
      <c r="I67" s="32"/>
      <c r="J67" s="32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 ht="14.25" customHeight="1">
      <c r="A68" s="62"/>
      <c r="B68" s="62"/>
      <c r="C68" s="61"/>
      <c r="D68" s="62"/>
      <c r="E68" s="32"/>
      <c r="F68" s="32"/>
      <c r="G68" s="32"/>
      <c r="H68" s="32"/>
      <c r="I68" s="32"/>
      <c r="J68" s="32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 ht="14.25" customHeight="1">
      <c r="A69" s="62"/>
      <c r="B69" s="62"/>
      <c r="C69" s="61"/>
      <c r="D69" s="62"/>
      <c r="E69" s="32"/>
      <c r="F69" s="32"/>
      <c r="G69" s="32"/>
      <c r="H69" s="32"/>
      <c r="I69" s="32"/>
      <c r="J69" s="32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 ht="14.25" customHeight="1">
      <c r="A70" s="62"/>
      <c r="B70" s="62"/>
      <c r="C70" s="61"/>
      <c r="D70" s="62"/>
      <c r="E70" s="32"/>
      <c r="F70" s="32"/>
      <c r="G70" s="32"/>
      <c r="H70" s="32"/>
      <c r="I70" s="32"/>
      <c r="J70" s="32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 ht="14.25" customHeight="1">
      <c r="A71" s="62"/>
      <c r="B71" s="62"/>
      <c r="C71" s="61"/>
      <c r="D71" s="62"/>
      <c r="E71" s="32"/>
      <c r="F71" s="32"/>
      <c r="G71" s="32"/>
      <c r="H71" s="32"/>
      <c r="I71" s="32"/>
      <c r="J71" s="32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 ht="14.25" customHeight="1">
      <c r="A72" s="62"/>
      <c r="B72" s="62"/>
      <c r="C72" s="61"/>
      <c r="D72" s="62"/>
      <c r="E72" s="32"/>
      <c r="F72" s="32"/>
      <c r="G72" s="32"/>
      <c r="H72" s="32"/>
      <c r="I72" s="32"/>
      <c r="J72" s="32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 ht="14.25" customHeight="1">
      <c r="A73" s="62"/>
      <c r="B73" s="62"/>
      <c r="C73" s="61"/>
      <c r="D73" s="62"/>
      <c r="E73" s="32"/>
      <c r="F73" s="32"/>
      <c r="G73" s="32"/>
      <c r="H73" s="32"/>
      <c r="I73" s="32"/>
      <c r="J73" s="32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 ht="14.25" customHeight="1">
      <c r="A74" s="62"/>
      <c r="B74" s="62"/>
      <c r="C74" s="61"/>
      <c r="D74" s="62"/>
      <c r="E74" s="32"/>
      <c r="F74" s="32"/>
      <c r="G74" s="32"/>
      <c r="H74" s="32"/>
      <c r="I74" s="32"/>
      <c r="J74" s="32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 ht="14.25" customHeight="1">
      <c r="A75" s="62"/>
      <c r="B75" s="62"/>
      <c r="C75" s="61"/>
      <c r="D75" s="62"/>
      <c r="E75" s="32"/>
      <c r="F75" s="32"/>
      <c r="G75" s="32"/>
      <c r="H75" s="32"/>
      <c r="I75" s="32"/>
      <c r="J75" s="32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ht="14.25" customHeight="1">
      <c r="A76" s="62"/>
      <c r="B76" s="62"/>
      <c r="C76" s="61"/>
      <c r="D76" s="62"/>
      <c r="E76" s="32"/>
      <c r="F76" s="32"/>
      <c r="G76" s="32"/>
      <c r="H76" s="32"/>
      <c r="I76" s="32"/>
      <c r="J76" s="32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ht="14.25" customHeight="1">
      <c r="A77" s="62"/>
      <c r="B77" s="62"/>
      <c r="C77" s="61"/>
      <c r="D77" s="62"/>
      <c r="E77" s="32"/>
      <c r="F77" s="32"/>
      <c r="G77" s="32"/>
      <c r="H77" s="32"/>
      <c r="I77" s="32"/>
      <c r="J77" s="32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 ht="14.25" customHeight="1">
      <c r="A78" s="62"/>
      <c r="B78" s="62"/>
      <c r="C78" s="61"/>
      <c r="D78" s="62"/>
      <c r="E78" s="32"/>
      <c r="F78" s="32"/>
      <c r="G78" s="32"/>
      <c r="H78" s="32"/>
      <c r="I78" s="32"/>
      <c r="J78" s="32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 ht="14.25" customHeight="1">
      <c r="A79" s="62"/>
      <c r="B79" s="62"/>
      <c r="C79" s="61"/>
      <c r="D79" s="62"/>
      <c r="E79" s="32"/>
      <c r="F79" s="32"/>
      <c r="G79" s="32"/>
      <c r="H79" s="32"/>
      <c r="I79" s="32"/>
      <c r="J79" s="32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 ht="14.25" customHeight="1">
      <c r="A80" s="62"/>
      <c r="B80" s="62"/>
      <c r="C80" s="61"/>
      <c r="D80" s="62"/>
      <c r="E80" s="32"/>
      <c r="F80" s="32"/>
      <c r="G80" s="32"/>
      <c r="H80" s="32"/>
      <c r="I80" s="32"/>
      <c r="J80" s="32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 ht="14.25" customHeight="1">
      <c r="A81" s="62"/>
      <c r="B81" s="62"/>
      <c r="C81" s="61"/>
      <c r="D81" s="62"/>
      <c r="E81" s="32"/>
      <c r="F81" s="32"/>
      <c r="G81" s="32"/>
      <c r="H81" s="32"/>
      <c r="I81" s="32"/>
      <c r="J81" s="32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 ht="14.25" customHeight="1">
      <c r="A82" s="62"/>
      <c r="B82" s="62"/>
      <c r="C82" s="61"/>
      <c r="D82" s="62"/>
      <c r="E82" s="32"/>
      <c r="F82" s="32"/>
      <c r="G82" s="32"/>
      <c r="H82" s="32"/>
      <c r="I82" s="32"/>
      <c r="J82" s="32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 ht="14.25" customHeight="1">
      <c r="A83" s="62"/>
      <c r="B83" s="62"/>
      <c r="C83" s="61"/>
      <c r="D83" s="62"/>
      <c r="E83" s="32"/>
      <c r="F83" s="32"/>
      <c r="G83" s="32"/>
      <c r="H83" s="32"/>
      <c r="I83" s="32"/>
      <c r="J83" s="32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 ht="14.25" customHeight="1">
      <c r="A84" s="62"/>
      <c r="B84" s="62"/>
      <c r="C84" s="61"/>
      <c r="D84" s="62"/>
      <c r="E84" s="32"/>
      <c r="F84" s="32"/>
      <c r="G84" s="32"/>
      <c r="H84" s="32"/>
      <c r="I84" s="32"/>
      <c r="J84" s="32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 ht="14.25" customHeight="1">
      <c r="A85" s="62"/>
      <c r="B85" s="62"/>
      <c r="C85" s="61"/>
      <c r="D85" s="62"/>
      <c r="E85" s="32"/>
      <c r="F85" s="32"/>
      <c r="G85" s="32"/>
      <c r="H85" s="32"/>
      <c r="I85" s="32"/>
      <c r="J85" s="32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 ht="14.25" customHeight="1">
      <c r="A86" s="62"/>
      <c r="B86" s="62"/>
      <c r="C86" s="61"/>
      <c r="D86" s="62"/>
      <c r="E86" s="32"/>
      <c r="F86" s="32"/>
      <c r="G86" s="32"/>
      <c r="H86" s="32"/>
      <c r="I86" s="32"/>
      <c r="J86" s="32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 ht="14.25" customHeight="1">
      <c r="A87" s="62"/>
      <c r="B87" s="62"/>
      <c r="C87" s="61"/>
      <c r="D87" s="62"/>
      <c r="E87" s="32"/>
      <c r="F87" s="32"/>
      <c r="G87" s="32"/>
      <c r="H87" s="32"/>
      <c r="I87" s="32"/>
      <c r="J87" s="32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 ht="14.25" customHeight="1">
      <c r="A88" s="62"/>
      <c r="B88" s="62"/>
      <c r="C88" s="61"/>
      <c r="D88" s="62"/>
      <c r="E88" s="32"/>
      <c r="F88" s="32"/>
      <c r="G88" s="32"/>
      <c r="H88" s="32"/>
      <c r="I88" s="32"/>
      <c r="J88" s="32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  <row r="89" ht="14.25" customHeight="1">
      <c r="A89" s="62"/>
      <c r="B89" s="62"/>
      <c r="C89" s="61"/>
      <c r="D89" s="62"/>
      <c r="E89" s="32"/>
      <c r="F89" s="32"/>
      <c r="G89" s="32"/>
      <c r="H89" s="32"/>
      <c r="I89" s="32"/>
      <c r="J89" s="32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</row>
    <row r="90" ht="14.25" customHeight="1">
      <c r="A90" s="62"/>
      <c r="B90" s="62"/>
      <c r="C90" s="61"/>
      <c r="D90" s="62"/>
      <c r="E90" s="32"/>
      <c r="F90" s="32"/>
      <c r="G90" s="32"/>
      <c r="H90" s="32"/>
      <c r="I90" s="32"/>
      <c r="J90" s="32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</row>
    <row r="91" ht="14.25" customHeight="1">
      <c r="A91" s="62"/>
      <c r="B91" s="62"/>
      <c r="C91" s="61"/>
      <c r="D91" s="62"/>
      <c r="E91" s="32"/>
      <c r="F91" s="32"/>
      <c r="G91" s="32"/>
      <c r="H91" s="32"/>
      <c r="I91" s="32"/>
      <c r="J91" s="32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</row>
    <row r="92" ht="14.25" customHeight="1">
      <c r="A92" s="62"/>
      <c r="B92" s="62"/>
      <c r="C92" s="61"/>
      <c r="D92" s="62"/>
      <c r="E92" s="32"/>
      <c r="F92" s="32"/>
      <c r="G92" s="32"/>
      <c r="H92" s="32"/>
      <c r="I92" s="32"/>
      <c r="J92" s="32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</row>
    <row r="93" ht="14.25" customHeight="1">
      <c r="A93" s="62"/>
      <c r="B93" s="62"/>
      <c r="C93" s="61"/>
      <c r="D93" s="62"/>
      <c r="E93" s="32"/>
      <c r="F93" s="32"/>
      <c r="G93" s="32"/>
      <c r="H93" s="32"/>
      <c r="I93" s="32"/>
      <c r="J93" s="32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</row>
    <row r="94" ht="14.25" customHeight="1">
      <c r="A94" s="62"/>
      <c r="B94" s="62"/>
      <c r="C94" s="61"/>
      <c r="D94" s="62"/>
      <c r="E94" s="32"/>
      <c r="F94" s="32"/>
      <c r="G94" s="32"/>
      <c r="H94" s="32"/>
      <c r="I94" s="32"/>
      <c r="J94" s="32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</row>
    <row r="95" ht="14.25" customHeight="1">
      <c r="A95" s="62"/>
      <c r="B95" s="62"/>
      <c r="C95" s="61"/>
      <c r="D95" s="62"/>
      <c r="E95" s="32"/>
      <c r="F95" s="32"/>
      <c r="G95" s="32"/>
      <c r="H95" s="32"/>
      <c r="I95" s="32"/>
      <c r="J95" s="32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</row>
    <row r="96" ht="14.25" customHeight="1">
      <c r="A96" s="62"/>
      <c r="B96" s="62"/>
      <c r="C96" s="61"/>
      <c r="D96" s="62"/>
      <c r="E96" s="32"/>
      <c r="F96" s="32"/>
      <c r="G96" s="32"/>
      <c r="H96" s="32"/>
      <c r="I96" s="32"/>
      <c r="J96" s="32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</row>
    <row r="97" ht="14.25" customHeight="1">
      <c r="A97" s="62"/>
      <c r="B97" s="62"/>
      <c r="C97" s="61"/>
      <c r="D97" s="62"/>
      <c r="E97" s="32"/>
      <c r="F97" s="32"/>
      <c r="G97" s="32"/>
      <c r="H97" s="32"/>
      <c r="I97" s="32"/>
      <c r="J97" s="32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</row>
    <row r="98" ht="14.25" customHeight="1">
      <c r="A98" s="62"/>
      <c r="B98" s="62"/>
      <c r="C98" s="61"/>
      <c r="D98" s="62"/>
      <c r="E98" s="32"/>
      <c r="F98" s="32"/>
      <c r="G98" s="32"/>
      <c r="H98" s="32"/>
      <c r="I98" s="32"/>
      <c r="J98" s="32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</row>
    <row r="99" ht="14.25" customHeight="1">
      <c r="A99" s="62"/>
      <c r="B99" s="62"/>
      <c r="C99" s="61"/>
      <c r="D99" s="62"/>
      <c r="E99" s="32"/>
      <c r="F99" s="32"/>
      <c r="G99" s="32"/>
      <c r="H99" s="32"/>
      <c r="I99" s="32"/>
      <c r="J99" s="32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</row>
    <row r="100" ht="14.25" customHeight="1">
      <c r="A100" s="62"/>
      <c r="B100" s="62"/>
      <c r="C100" s="61"/>
      <c r="D100" s="62"/>
      <c r="E100" s="32"/>
      <c r="F100" s="32"/>
      <c r="G100" s="32"/>
      <c r="H100" s="32"/>
      <c r="I100" s="32"/>
      <c r="J100" s="32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</row>
    <row r="101" ht="14.25" customHeight="1">
      <c r="A101" s="62"/>
      <c r="B101" s="62"/>
      <c r="C101" s="61"/>
      <c r="D101" s="62"/>
      <c r="E101" s="32"/>
      <c r="F101" s="32"/>
      <c r="G101" s="32"/>
      <c r="H101" s="32"/>
      <c r="I101" s="32"/>
      <c r="J101" s="32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</row>
    <row r="102" ht="14.25" customHeight="1">
      <c r="A102" s="62"/>
      <c r="B102" s="62"/>
      <c r="C102" s="61"/>
      <c r="D102" s="62"/>
      <c r="E102" s="32"/>
      <c r="F102" s="32"/>
      <c r="G102" s="32"/>
      <c r="H102" s="32"/>
      <c r="I102" s="32"/>
      <c r="J102" s="32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</row>
    <row r="103" ht="14.25" customHeight="1">
      <c r="A103" s="62"/>
      <c r="B103" s="62"/>
      <c r="C103" s="61"/>
      <c r="D103" s="62"/>
      <c r="E103" s="32"/>
      <c r="F103" s="32"/>
      <c r="G103" s="32"/>
      <c r="H103" s="32"/>
      <c r="I103" s="32"/>
      <c r="J103" s="32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</row>
    <row r="104" ht="14.25" customHeight="1">
      <c r="A104" s="62"/>
      <c r="B104" s="62"/>
      <c r="C104" s="61"/>
      <c r="D104" s="62"/>
      <c r="E104" s="32"/>
      <c r="F104" s="32"/>
      <c r="G104" s="32"/>
      <c r="H104" s="32"/>
      <c r="I104" s="32"/>
      <c r="J104" s="32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</row>
    <row r="105" ht="14.25" customHeight="1">
      <c r="A105" s="62"/>
      <c r="B105" s="62"/>
      <c r="C105" s="61"/>
      <c r="D105" s="62"/>
      <c r="E105" s="32"/>
      <c r="F105" s="32"/>
      <c r="G105" s="32"/>
      <c r="H105" s="32"/>
      <c r="I105" s="32"/>
      <c r="J105" s="32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</row>
    <row r="106" ht="14.25" customHeight="1">
      <c r="A106" s="62"/>
      <c r="B106" s="62"/>
      <c r="C106" s="61"/>
      <c r="D106" s="62"/>
      <c r="E106" s="32"/>
      <c r="F106" s="32"/>
      <c r="G106" s="32"/>
      <c r="H106" s="32"/>
      <c r="I106" s="32"/>
      <c r="J106" s="32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</row>
    <row r="107" ht="14.25" customHeight="1">
      <c r="A107" s="62"/>
      <c r="B107" s="62"/>
      <c r="C107" s="61"/>
      <c r="D107" s="62"/>
      <c r="E107" s="32"/>
      <c r="F107" s="32"/>
      <c r="G107" s="32"/>
      <c r="H107" s="32"/>
      <c r="I107" s="32"/>
      <c r="J107" s="32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</row>
    <row r="108" ht="14.25" customHeight="1">
      <c r="A108" s="62"/>
      <c r="B108" s="62"/>
      <c r="C108" s="61"/>
      <c r="D108" s="62"/>
      <c r="E108" s="32"/>
      <c r="F108" s="32"/>
      <c r="G108" s="32"/>
      <c r="H108" s="32"/>
      <c r="I108" s="32"/>
      <c r="J108" s="32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</row>
    <row r="109" ht="14.25" customHeight="1">
      <c r="A109" s="62"/>
      <c r="B109" s="62"/>
      <c r="C109" s="61"/>
      <c r="D109" s="62"/>
      <c r="E109" s="32"/>
      <c r="F109" s="32"/>
      <c r="G109" s="32"/>
      <c r="H109" s="32"/>
      <c r="I109" s="32"/>
      <c r="J109" s="32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</row>
    <row r="110" ht="14.25" customHeight="1">
      <c r="A110" s="62"/>
      <c r="B110" s="62"/>
      <c r="C110" s="61"/>
      <c r="D110" s="62"/>
      <c r="E110" s="32"/>
      <c r="F110" s="32"/>
      <c r="G110" s="32"/>
      <c r="H110" s="32"/>
      <c r="I110" s="32"/>
      <c r="J110" s="32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</row>
    <row r="111" ht="14.25" customHeight="1">
      <c r="A111" s="62"/>
      <c r="B111" s="62"/>
      <c r="C111" s="61"/>
      <c r="D111" s="62"/>
      <c r="E111" s="32"/>
      <c r="F111" s="32"/>
      <c r="G111" s="32"/>
      <c r="H111" s="32"/>
      <c r="I111" s="32"/>
      <c r="J111" s="32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</row>
    <row r="112" ht="14.25" customHeight="1">
      <c r="A112" s="62"/>
      <c r="B112" s="62"/>
      <c r="C112" s="61"/>
      <c r="D112" s="62"/>
      <c r="E112" s="32"/>
      <c r="F112" s="32"/>
      <c r="G112" s="32"/>
      <c r="H112" s="32"/>
      <c r="I112" s="32"/>
      <c r="J112" s="32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</row>
    <row r="113" ht="14.25" customHeight="1">
      <c r="A113" s="62"/>
      <c r="B113" s="62"/>
      <c r="C113" s="61"/>
      <c r="D113" s="62"/>
      <c r="E113" s="32"/>
      <c r="F113" s="32"/>
      <c r="G113" s="32"/>
      <c r="H113" s="32"/>
      <c r="I113" s="32"/>
      <c r="J113" s="32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ht="14.25" customHeight="1">
      <c r="A114" s="62"/>
      <c r="B114" s="62"/>
      <c r="C114" s="61"/>
      <c r="D114" s="62"/>
      <c r="E114" s="32"/>
      <c r="F114" s="32"/>
      <c r="G114" s="32"/>
      <c r="H114" s="32"/>
      <c r="I114" s="32"/>
      <c r="J114" s="32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</row>
    <row r="115" ht="14.25" customHeight="1">
      <c r="A115" s="62"/>
      <c r="B115" s="62"/>
      <c r="C115" s="61"/>
      <c r="D115" s="62"/>
      <c r="E115" s="32"/>
      <c r="F115" s="32"/>
      <c r="G115" s="32"/>
      <c r="H115" s="32"/>
      <c r="I115" s="32"/>
      <c r="J115" s="32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</row>
    <row r="116" ht="14.25" customHeight="1">
      <c r="A116" s="62"/>
      <c r="B116" s="62"/>
      <c r="C116" s="61"/>
      <c r="D116" s="62"/>
      <c r="E116" s="32"/>
      <c r="F116" s="32"/>
      <c r="G116" s="32"/>
      <c r="H116" s="32"/>
      <c r="I116" s="32"/>
      <c r="J116" s="32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</row>
    <row r="117" ht="14.25" customHeight="1">
      <c r="A117" s="62"/>
      <c r="B117" s="62"/>
      <c r="C117" s="61"/>
      <c r="D117" s="62"/>
      <c r="E117" s="32"/>
      <c r="F117" s="32"/>
      <c r="G117" s="32"/>
      <c r="H117" s="32"/>
      <c r="I117" s="32"/>
      <c r="J117" s="32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</row>
    <row r="118" ht="14.25" customHeight="1">
      <c r="A118" s="62"/>
      <c r="B118" s="62"/>
      <c r="C118" s="61"/>
      <c r="D118" s="62"/>
      <c r="E118" s="32"/>
      <c r="F118" s="32"/>
      <c r="G118" s="32"/>
      <c r="H118" s="32"/>
      <c r="I118" s="32"/>
      <c r="J118" s="32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</row>
    <row r="119" ht="14.25" customHeight="1">
      <c r="A119" s="62"/>
      <c r="B119" s="62"/>
      <c r="C119" s="61"/>
      <c r="D119" s="62"/>
      <c r="E119" s="32"/>
      <c r="F119" s="32"/>
      <c r="G119" s="32"/>
      <c r="H119" s="32"/>
      <c r="I119" s="32"/>
      <c r="J119" s="32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</row>
    <row r="120" ht="14.25" customHeight="1">
      <c r="A120" s="62"/>
      <c r="B120" s="62"/>
      <c r="C120" s="61"/>
      <c r="D120" s="62"/>
      <c r="E120" s="32"/>
      <c r="F120" s="32"/>
      <c r="G120" s="32"/>
      <c r="H120" s="32"/>
      <c r="I120" s="32"/>
      <c r="J120" s="32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</row>
    <row r="121" ht="14.25" customHeight="1">
      <c r="A121" s="62"/>
      <c r="B121" s="62"/>
      <c r="C121" s="61"/>
      <c r="D121" s="62"/>
      <c r="E121" s="32"/>
      <c r="F121" s="32"/>
      <c r="G121" s="32"/>
      <c r="H121" s="32"/>
      <c r="I121" s="32"/>
      <c r="J121" s="32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</row>
    <row r="122" ht="14.25" customHeight="1">
      <c r="A122" s="62"/>
      <c r="B122" s="62"/>
      <c r="C122" s="61"/>
      <c r="D122" s="62"/>
      <c r="E122" s="32"/>
      <c r="F122" s="32"/>
      <c r="G122" s="32"/>
      <c r="H122" s="32"/>
      <c r="I122" s="32"/>
      <c r="J122" s="32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</row>
    <row r="123" ht="14.25" customHeight="1">
      <c r="A123" s="62"/>
      <c r="B123" s="62"/>
      <c r="C123" s="61"/>
      <c r="D123" s="62"/>
      <c r="E123" s="32"/>
      <c r="F123" s="32"/>
      <c r="G123" s="32"/>
      <c r="H123" s="32"/>
      <c r="I123" s="32"/>
      <c r="J123" s="32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</row>
    <row r="124" ht="14.25" customHeight="1">
      <c r="A124" s="62"/>
      <c r="B124" s="62"/>
      <c r="C124" s="61"/>
      <c r="D124" s="62"/>
      <c r="E124" s="32"/>
      <c r="F124" s="32"/>
      <c r="G124" s="32"/>
      <c r="H124" s="32"/>
      <c r="I124" s="32"/>
      <c r="J124" s="32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</row>
    <row r="125" ht="14.25" customHeight="1">
      <c r="A125" s="62"/>
      <c r="B125" s="62"/>
      <c r="C125" s="61"/>
      <c r="D125" s="62"/>
      <c r="E125" s="32"/>
      <c r="F125" s="32"/>
      <c r="G125" s="32"/>
      <c r="H125" s="32"/>
      <c r="I125" s="32"/>
      <c r="J125" s="32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</row>
    <row r="126" ht="14.25" customHeight="1">
      <c r="A126" s="62"/>
      <c r="B126" s="62"/>
      <c r="C126" s="61"/>
      <c r="D126" s="62"/>
      <c r="E126" s="32"/>
      <c r="F126" s="32"/>
      <c r="G126" s="32"/>
      <c r="H126" s="32"/>
      <c r="I126" s="32"/>
      <c r="J126" s="32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</row>
    <row r="127" ht="14.25" customHeight="1">
      <c r="A127" s="62"/>
      <c r="B127" s="62"/>
      <c r="C127" s="61"/>
      <c r="D127" s="62"/>
      <c r="E127" s="32"/>
      <c r="F127" s="32"/>
      <c r="G127" s="32"/>
      <c r="H127" s="32"/>
      <c r="I127" s="32"/>
      <c r="J127" s="32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</row>
    <row r="128" ht="14.25" customHeight="1">
      <c r="A128" s="62"/>
      <c r="B128" s="62"/>
      <c r="C128" s="61"/>
      <c r="D128" s="62"/>
      <c r="E128" s="32"/>
      <c r="F128" s="32"/>
      <c r="G128" s="32"/>
      <c r="H128" s="32"/>
      <c r="I128" s="32"/>
      <c r="J128" s="32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</row>
    <row r="129" ht="14.25" customHeight="1">
      <c r="A129" s="62"/>
      <c r="B129" s="62"/>
      <c r="C129" s="61"/>
      <c r="D129" s="62"/>
      <c r="E129" s="32"/>
      <c r="F129" s="32"/>
      <c r="G129" s="32"/>
      <c r="H129" s="32"/>
      <c r="I129" s="32"/>
      <c r="J129" s="32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</row>
    <row r="130" ht="14.25" customHeight="1">
      <c r="A130" s="62"/>
      <c r="B130" s="62"/>
      <c r="C130" s="61"/>
      <c r="D130" s="62"/>
      <c r="E130" s="32"/>
      <c r="F130" s="32"/>
      <c r="G130" s="32"/>
      <c r="H130" s="32"/>
      <c r="I130" s="32"/>
      <c r="J130" s="32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</row>
    <row r="131" ht="14.25" customHeight="1">
      <c r="A131" s="62"/>
      <c r="B131" s="62"/>
      <c r="C131" s="61"/>
      <c r="D131" s="62"/>
      <c r="E131" s="32"/>
      <c r="F131" s="32"/>
      <c r="G131" s="32"/>
      <c r="H131" s="32"/>
      <c r="I131" s="32"/>
      <c r="J131" s="32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</row>
    <row r="132" ht="14.25" customHeight="1">
      <c r="A132" s="62"/>
      <c r="B132" s="62"/>
      <c r="C132" s="61"/>
      <c r="D132" s="62"/>
      <c r="E132" s="32"/>
      <c r="F132" s="32"/>
      <c r="G132" s="32"/>
      <c r="H132" s="32"/>
      <c r="I132" s="32"/>
      <c r="J132" s="32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</row>
    <row r="133" ht="14.25" customHeight="1">
      <c r="A133" s="62"/>
      <c r="B133" s="62"/>
      <c r="C133" s="61"/>
      <c r="D133" s="62"/>
      <c r="E133" s="32"/>
      <c r="F133" s="32"/>
      <c r="G133" s="32"/>
      <c r="H133" s="32"/>
      <c r="I133" s="32"/>
      <c r="J133" s="32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</row>
    <row r="134" ht="14.25" customHeight="1">
      <c r="A134" s="62"/>
      <c r="B134" s="62"/>
      <c r="C134" s="61"/>
      <c r="D134" s="62"/>
      <c r="E134" s="32"/>
      <c r="F134" s="32"/>
      <c r="G134" s="32"/>
      <c r="H134" s="32"/>
      <c r="I134" s="32"/>
      <c r="J134" s="32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</row>
    <row r="135" ht="14.25" customHeight="1">
      <c r="A135" s="62"/>
      <c r="B135" s="62"/>
      <c r="C135" s="61"/>
      <c r="D135" s="62"/>
      <c r="E135" s="32"/>
      <c r="F135" s="32"/>
      <c r="G135" s="32"/>
      <c r="H135" s="32"/>
      <c r="I135" s="32"/>
      <c r="J135" s="32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</row>
    <row r="136" ht="14.25" customHeight="1">
      <c r="A136" s="62"/>
      <c r="B136" s="62"/>
      <c r="C136" s="61"/>
      <c r="D136" s="62"/>
      <c r="E136" s="32"/>
      <c r="F136" s="32"/>
      <c r="G136" s="32"/>
      <c r="H136" s="32"/>
      <c r="I136" s="32"/>
      <c r="J136" s="32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</row>
    <row r="137" ht="14.25" customHeight="1">
      <c r="A137" s="62"/>
      <c r="B137" s="62"/>
      <c r="C137" s="61"/>
      <c r="D137" s="62"/>
      <c r="E137" s="32"/>
      <c r="F137" s="32"/>
      <c r="G137" s="32"/>
      <c r="H137" s="32"/>
      <c r="I137" s="32"/>
      <c r="J137" s="32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</row>
    <row r="138" ht="14.25" customHeight="1">
      <c r="A138" s="62"/>
      <c r="B138" s="62"/>
      <c r="C138" s="61"/>
      <c r="D138" s="62"/>
      <c r="E138" s="32"/>
      <c r="F138" s="32"/>
      <c r="G138" s="32"/>
      <c r="H138" s="32"/>
      <c r="I138" s="32"/>
      <c r="J138" s="32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</row>
    <row r="139" ht="14.25" customHeight="1">
      <c r="A139" s="62"/>
      <c r="B139" s="62"/>
      <c r="C139" s="61"/>
      <c r="D139" s="62"/>
      <c r="E139" s="32"/>
      <c r="F139" s="32"/>
      <c r="G139" s="32"/>
      <c r="H139" s="32"/>
      <c r="I139" s="32"/>
      <c r="J139" s="32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</row>
    <row r="140" ht="14.25" customHeight="1">
      <c r="A140" s="62"/>
      <c r="B140" s="62"/>
      <c r="C140" s="61"/>
      <c r="D140" s="62"/>
      <c r="E140" s="32"/>
      <c r="F140" s="32"/>
      <c r="G140" s="32"/>
      <c r="H140" s="32"/>
      <c r="I140" s="32"/>
      <c r="J140" s="32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</row>
    <row r="141" ht="14.25" customHeight="1">
      <c r="A141" s="62"/>
      <c r="B141" s="62"/>
      <c r="C141" s="61"/>
      <c r="D141" s="62"/>
      <c r="E141" s="32"/>
      <c r="F141" s="32"/>
      <c r="G141" s="32"/>
      <c r="H141" s="32"/>
      <c r="I141" s="32"/>
      <c r="J141" s="32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</row>
    <row r="142" ht="14.25" customHeight="1">
      <c r="A142" s="62"/>
      <c r="B142" s="62"/>
      <c r="C142" s="61"/>
      <c r="D142" s="62"/>
      <c r="E142" s="32"/>
      <c r="F142" s="32"/>
      <c r="G142" s="32"/>
      <c r="H142" s="32"/>
      <c r="I142" s="32"/>
      <c r="J142" s="32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</row>
    <row r="143" ht="14.25" customHeight="1">
      <c r="A143" s="62"/>
      <c r="B143" s="62"/>
      <c r="C143" s="61"/>
      <c r="D143" s="62"/>
      <c r="E143" s="32"/>
      <c r="F143" s="32"/>
      <c r="G143" s="32"/>
      <c r="H143" s="32"/>
      <c r="I143" s="32"/>
      <c r="J143" s="32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</row>
    <row r="144" ht="14.25" customHeight="1">
      <c r="A144" s="62"/>
      <c r="B144" s="62"/>
      <c r="C144" s="61"/>
      <c r="D144" s="62"/>
      <c r="E144" s="32"/>
      <c r="F144" s="32"/>
      <c r="G144" s="32"/>
      <c r="H144" s="32"/>
      <c r="I144" s="32"/>
      <c r="J144" s="32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</row>
    <row r="145" ht="14.25" customHeight="1">
      <c r="A145" s="62"/>
      <c r="B145" s="62"/>
      <c r="C145" s="61"/>
      <c r="D145" s="62"/>
      <c r="E145" s="32"/>
      <c r="F145" s="32"/>
      <c r="G145" s="32"/>
      <c r="H145" s="32"/>
      <c r="I145" s="32"/>
      <c r="J145" s="32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</row>
    <row r="146" ht="14.25" customHeight="1">
      <c r="A146" s="62"/>
      <c r="B146" s="62"/>
      <c r="C146" s="61"/>
      <c r="D146" s="62"/>
      <c r="E146" s="32"/>
      <c r="F146" s="32"/>
      <c r="G146" s="32"/>
      <c r="H146" s="32"/>
      <c r="I146" s="32"/>
      <c r="J146" s="32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</row>
    <row r="147" ht="14.25" customHeight="1">
      <c r="A147" s="62"/>
      <c r="B147" s="62"/>
      <c r="C147" s="61"/>
      <c r="D147" s="62"/>
      <c r="E147" s="32"/>
      <c r="F147" s="32"/>
      <c r="G147" s="32"/>
      <c r="H147" s="32"/>
      <c r="I147" s="32"/>
      <c r="J147" s="32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</row>
    <row r="148" ht="14.25" customHeight="1">
      <c r="A148" s="62"/>
      <c r="B148" s="62"/>
      <c r="C148" s="61"/>
      <c r="D148" s="62"/>
      <c r="E148" s="32"/>
      <c r="F148" s="32"/>
      <c r="G148" s="32"/>
      <c r="H148" s="32"/>
      <c r="I148" s="32"/>
      <c r="J148" s="32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</row>
    <row r="149" ht="14.25" customHeight="1">
      <c r="A149" s="62"/>
      <c r="B149" s="62"/>
      <c r="C149" s="61"/>
      <c r="D149" s="62"/>
      <c r="E149" s="32"/>
      <c r="F149" s="32"/>
      <c r="G149" s="32"/>
      <c r="H149" s="32"/>
      <c r="I149" s="32"/>
      <c r="J149" s="32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</row>
    <row r="150" ht="14.25" customHeight="1">
      <c r="A150" s="62"/>
      <c r="B150" s="62"/>
      <c r="C150" s="61"/>
      <c r="D150" s="62"/>
      <c r="E150" s="32"/>
      <c r="F150" s="32"/>
      <c r="G150" s="32"/>
      <c r="H150" s="32"/>
      <c r="I150" s="32"/>
      <c r="J150" s="32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</row>
    <row r="151" ht="14.25" customHeight="1">
      <c r="A151" s="62"/>
      <c r="B151" s="62"/>
      <c r="C151" s="61"/>
      <c r="D151" s="62"/>
      <c r="E151" s="32"/>
      <c r="F151" s="32"/>
      <c r="G151" s="32"/>
      <c r="H151" s="32"/>
      <c r="I151" s="32"/>
      <c r="J151" s="32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</row>
    <row r="152" ht="14.25" customHeight="1">
      <c r="A152" s="62"/>
      <c r="B152" s="62"/>
      <c r="C152" s="61"/>
      <c r="D152" s="62"/>
      <c r="E152" s="32"/>
      <c r="F152" s="32"/>
      <c r="G152" s="32"/>
      <c r="H152" s="32"/>
      <c r="I152" s="32"/>
      <c r="J152" s="32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</row>
    <row r="153" ht="14.25" customHeight="1">
      <c r="A153" s="62"/>
      <c r="B153" s="62"/>
      <c r="C153" s="61"/>
      <c r="D153" s="62"/>
      <c r="E153" s="32"/>
      <c r="F153" s="32"/>
      <c r="G153" s="32"/>
      <c r="H153" s="32"/>
      <c r="I153" s="32"/>
      <c r="J153" s="32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</row>
    <row r="154" ht="14.25" customHeight="1">
      <c r="A154" s="62"/>
      <c r="B154" s="62"/>
      <c r="C154" s="61"/>
      <c r="D154" s="62"/>
      <c r="E154" s="32"/>
      <c r="F154" s="32"/>
      <c r="G154" s="32"/>
      <c r="H154" s="32"/>
      <c r="I154" s="32"/>
      <c r="J154" s="32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</row>
    <row r="155" ht="14.25" customHeight="1">
      <c r="A155" s="62"/>
      <c r="B155" s="62"/>
      <c r="C155" s="61"/>
      <c r="D155" s="62"/>
      <c r="E155" s="32"/>
      <c r="F155" s="32"/>
      <c r="G155" s="32"/>
      <c r="H155" s="32"/>
      <c r="I155" s="32"/>
      <c r="J155" s="32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</row>
    <row r="156" ht="14.25" customHeight="1">
      <c r="A156" s="62"/>
      <c r="B156" s="62"/>
      <c r="C156" s="61"/>
      <c r="D156" s="62"/>
      <c r="E156" s="32"/>
      <c r="F156" s="32"/>
      <c r="G156" s="32"/>
      <c r="H156" s="32"/>
      <c r="I156" s="32"/>
      <c r="J156" s="32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</row>
    <row r="157" ht="14.25" customHeight="1">
      <c r="A157" s="62"/>
      <c r="B157" s="62"/>
      <c r="C157" s="61"/>
      <c r="D157" s="62"/>
      <c r="E157" s="32"/>
      <c r="F157" s="32"/>
      <c r="G157" s="32"/>
      <c r="H157" s="32"/>
      <c r="I157" s="32"/>
      <c r="J157" s="32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</row>
    <row r="158" ht="14.25" customHeight="1">
      <c r="A158" s="62"/>
      <c r="B158" s="62"/>
      <c r="C158" s="61"/>
      <c r="D158" s="62"/>
      <c r="E158" s="32"/>
      <c r="F158" s="32"/>
      <c r="G158" s="32"/>
      <c r="H158" s="32"/>
      <c r="I158" s="32"/>
      <c r="J158" s="32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</row>
    <row r="159" ht="14.25" customHeight="1">
      <c r="A159" s="62"/>
      <c r="B159" s="62"/>
      <c r="C159" s="61"/>
      <c r="D159" s="62"/>
      <c r="E159" s="32"/>
      <c r="F159" s="32"/>
      <c r="G159" s="32"/>
      <c r="H159" s="32"/>
      <c r="I159" s="32"/>
      <c r="J159" s="32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</row>
    <row r="160" ht="14.25" customHeight="1">
      <c r="A160" s="62"/>
      <c r="B160" s="62"/>
      <c r="C160" s="61"/>
      <c r="D160" s="62"/>
      <c r="E160" s="32"/>
      <c r="F160" s="32"/>
      <c r="G160" s="32"/>
      <c r="H160" s="32"/>
      <c r="I160" s="32"/>
      <c r="J160" s="32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</row>
    <row r="161" ht="14.25" customHeight="1">
      <c r="A161" s="62"/>
      <c r="B161" s="62"/>
      <c r="C161" s="61"/>
      <c r="D161" s="62"/>
      <c r="E161" s="32"/>
      <c r="F161" s="32"/>
      <c r="G161" s="32"/>
      <c r="H161" s="32"/>
      <c r="I161" s="32"/>
      <c r="J161" s="32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</row>
    <row r="162" ht="14.25" customHeight="1">
      <c r="A162" s="62"/>
      <c r="B162" s="62"/>
      <c r="C162" s="61"/>
      <c r="D162" s="62"/>
      <c r="E162" s="32"/>
      <c r="F162" s="32"/>
      <c r="G162" s="32"/>
      <c r="H162" s="32"/>
      <c r="I162" s="32"/>
      <c r="J162" s="32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</row>
    <row r="163" ht="14.25" customHeight="1">
      <c r="A163" s="62"/>
      <c r="B163" s="62"/>
      <c r="C163" s="61"/>
      <c r="D163" s="62"/>
      <c r="E163" s="32"/>
      <c r="F163" s="32"/>
      <c r="G163" s="32"/>
      <c r="H163" s="32"/>
      <c r="I163" s="32"/>
      <c r="J163" s="32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</row>
    <row r="164" ht="14.25" customHeight="1">
      <c r="A164" s="62"/>
      <c r="B164" s="62"/>
      <c r="C164" s="61"/>
      <c r="D164" s="62"/>
      <c r="E164" s="32"/>
      <c r="F164" s="32"/>
      <c r="G164" s="32"/>
      <c r="H164" s="32"/>
      <c r="I164" s="32"/>
      <c r="J164" s="32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</row>
    <row r="165" ht="14.25" customHeight="1">
      <c r="A165" s="62"/>
      <c r="B165" s="62"/>
      <c r="C165" s="61"/>
      <c r="D165" s="62"/>
      <c r="E165" s="32"/>
      <c r="F165" s="32"/>
      <c r="G165" s="32"/>
      <c r="H165" s="32"/>
      <c r="I165" s="32"/>
      <c r="J165" s="32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</row>
    <row r="166" ht="14.25" customHeight="1">
      <c r="A166" s="62"/>
      <c r="B166" s="62"/>
      <c r="C166" s="61"/>
      <c r="D166" s="62"/>
      <c r="E166" s="32"/>
      <c r="F166" s="32"/>
      <c r="G166" s="32"/>
      <c r="H166" s="32"/>
      <c r="I166" s="32"/>
      <c r="J166" s="32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</row>
    <row r="167" ht="14.25" customHeight="1">
      <c r="A167" s="62"/>
      <c r="B167" s="62"/>
      <c r="C167" s="61"/>
      <c r="D167" s="62"/>
      <c r="E167" s="32"/>
      <c r="F167" s="32"/>
      <c r="G167" s="32"/>
      <c r="H167" s="32"/>
      <c r="I167" s="32"/>
      <c r="J167" s="32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</row>
    <row r="168" ht="14.25" customHeight="1">
      <c r="A168" s="62"/>
      <c r="B168" s="62"/>
      <c r="C168" s="61"/>
      <c r="D168" s="62"/>
      <c r="E168" s="32"/>
      <c r="F168" s="32"/>
      <c r="G168" s="32"/>
      <c r="H168" s="32"/>
      <c r="I168" s="32"/>
      <c r="J168" s="32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</row>
    <row r="169" ht="14.25" customHeight="1">
      <c r="A169" s="62"/>
      <c r="B169" s="62"/>
      <c r="C169" s="61"/>
      <c r="D169" s="62"/>
      <c r="E169" s="32"/>
      <c r="F169" s="32"/>
      <c r="G169" s="32"/>
      <c r="H169" s="32"/>
      <c r="I169" s="32"/>
      <c r="J169" s="32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</row>
    <row r="170" ht="14.25" customHeight="1">
      <c r="A170" s="62"/>
      <c r="B170" s="62"/>
      <c r="C170" s="61"/>
      <c r="D170" s="62"/>
      <c r="E170" s="32"/>
      <c r="F170" s="32"/>
      <c r="G170" s="32"/>
      <c r="H170" s="32"/>
      <c r="I170" s="32"/>
      <c r="J170" s="32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</row>
    <row r="171" ht="14.25" customHeight="1">
      <c r="A171" s="62"/>
      <c r="B171" s="62"/>
      <c r="C171" s="61"/>
      <c r="D171" s="62"/>
      <c r="E171" s="32"/>
      <c r="F171" s="32"/>
      <c r="G171" s="32"/>
      <c r="H171" s="32"/>
      <c r="I171" s="32"/>
      <c r="J171" s="32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</row>
    <row r="172" ht="14.25" customHeight="1">
      <c r="A172" s="62"/>
      <c r="B172" s="62"/>
      <c r="C172" s="61"/>
      <c r="D172" s="62"/>
      <c r="E172" s="32"/>
      <c r="F172" s="32"/>
      <c r="G172" s="32"/>
      <c r="H172" s="32"/>
      <c r="I172" s="32"/>
      <c r="J172" s="32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</row>
    <row r="173" ht="14.25" customHeight="1">
      <c r="A173" s="62"/>
      <c r="B173" s="62"/>
      <c r="C173" s="61"/>
      <c r="D173" s="62"/>
      <c r="E173" s="32"/>
      <c r="F173" s="32"/>
      <c r="G173" s="32"/>
      <c r="H173" s="32"/>
      <c r="I173" s="32"/>
      <c r="J173" s="32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</row>
    <row r="174" ht="14.25" customHeight="1">
      <c r="A174" s="62"/>
      <c r="B174" s="62"/>
      <c r="C174" s="61"/>
      <c r="D174" s="62"/>
      <c r="E174" s="32"/>
      <c r="F174" s="32"/>
      <c r="G174" s="32"/>
      <c r="H174" s="32"/>
      <c r="I174" s="32"/>
      <c r="J174" s="32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</row>
    <row r="175" ht="14.25" customHeight="1">
      <c r="A175" s="62"/>
      <c r="B175" s="62"/>
      <c r="C175" s="61"/>
      <c r="D175" s="62"/>
      <c r="E175" s="32"/>
      <c r="F175" s="32"/>
      <c r="G175" s="32"/>
      <c r="H175" s="32"/>
      <c r="I175" s="32"/>
      <c r="J175" s="32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</row>
    <row r="176" ht="14.25" customHeight="1">
      <c r="A176" s="62"/>
      <c r="B176" s="62"/>
      <c r="C176" s="61"/>
      <c r="D176" s="62"/>
      <c r="E176" s="32"/>
      <c r="F176" s="32"/>
      <c r="G176" s="32"/>
      <c r="H176" s="32"/>
      <c r="I176" s="32"/>
      <c r="J176" s="32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</row>
    <row r="177" ht="14.25" customHeight="1">
      <c r="A177" s="62"/>
      <c r="B177" s="62"/>
      <c r="C177" s="61"/>
      <c r="D177" s="62"/>
      <c r="E177" s="32"/>
      <c r="F177" s="32"/>
      <c r="G177" s="32"/>
      <c r="H177" s="32"/>
      <c r="I177" s="32"/>
      <c r="J177" s="32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</row>
    <row r="178" ht="14.25" customHeight="1">
      <c r="A178" s="62"/>
      <c r="B178" s="62"/>
      <c r="C178" s="61"/>
      <c r="D178" s="62"/>
      <c r="E178" s="32"/>
      <c r="F178" s="32"/>
      <c r="G178" s="32"/>
      <c r="H178" s="32"/>
      <c r="I178" s="32"/>
      <c r="J178" s="32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</row>
    <row r="179" ht="14.25" customHeight="1">
      <c r="A179" s="62"/>
      <c r="B179" s="62"/>
      <c r="C179" s="61"/>
      <c r="D179" s="62"/>
      <c r="E179" s="32"/>
      <c r="F179" s="32"/>
      <c r="G179" s="32"/>
      <c r="H179" s="32"/>
      <c r="I179" s="32"/>
      <c r="J179" s="32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</row>
    <row r="180" ht="14.25" customHeight="1">
      <c r="A180" s="62"/>
      <c r="B180" s="62"/>
      <c r="C180" s="61"/>
      <c r="D180" s="62"/>
      <c r="E180" s="32"/>
      <c r="F180" s="32"/>
      <c r="G180" s="32"/>
      <c r="H180" s="32"/>
      <c r="I180" s="32"/>
      <c r="J180" s="32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</row>
    <row r="181" ht="14.25" customHeight="1">
      <c r="A181" s="62"/>
      <c r="B181" s="62"/>
      <c r="C181" s="61"/>
      <c r="D181" s="62"/>
      <c r="E181" s="32"/>
      <c r="F181" s="32"/>
      <c r="G181" s="32"/>
      <c r="H181" s="32"/>
      <c r="I181" s="32"/>
      <c r="J181" s="32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</row>
    <row r="182" ht="14.25" customHeight="1">
      <c r="A182" s="62"/>
      <c r="B182" s="62"/>
      <c r="C182" s="61"/>
      <c r="D182" s="62"/>
      <c r="E182" s="32"/>
      <c r="F182" s="32"/>
      <c r="G182" s="32"/>
      <c r="H182" s="32"/>
      <c r="I182" s="32"/>
      <c r="J182" s="32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</row>
    <row r="183" ht="14.25" customHeight="1">
      <c r="A183" s="62"/>
      <c r="B183" s="62"/>
      <c r="C183" s="61"/>
      <c r="D183" s="62"/>
      <c r="E183" s="32"/>
      <c r="F183" s="32"/>
      <c r="G183" s="32"/>
      <c r="H183" s="32"/>
      <c r="I183" s="32"/>
      <c r="J183" s="32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</row>
    <row r="184" ht="14.25" customHeight="1">
      <c r="A184" s="62"/>
      <c r="B184" s="62"/>
      <c r="C184" s="61"/>
      <c r="D184" s="62"/>
      <c r="E184" s="32"/>
      <c r="F184" s="32"/>
      <c r="G184" s="32"/>
      <c r="H184" s="32"/>
      <c r="I184" s="32"/>
      <c r="J184" s="32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</row>
    <row r="185" ht="14.25" customHeight="1">
      <c r="A185" s="62"/>
      <c r="B185" s="62"/>
      <c r="C185" s="61"/>
      <c r="D185" s="62"/>
      <c r="E185" s="32"/>
      <c r="F185" s="32"/>
      <c r="G185" s="32"/>
      <c r="H185" s="32"/>
      <c r="I185" s="32"/>
      <c r="J185" s="32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</row>
    <row r="186" ht="14.25" customHeight="1">
      <c r="A186" s="62"/>
      <c r="B186" s="62"/>
      <c r="C186" s="61"/>
      <c r="D186" s="62"/>
      <c r="E186" s="32"/>
      <c r="F186" s="32"/>
      <c r="G186" s="32"/>
      <c r="H186" s="32"/>
      <c r="I186" s="32"/>
      <c r="J186" s="32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</row>
    <row r="187" ht="14.25" customHeight="1">
      <c r="A187" s="62"/>
      <c r="B187" s="62"/>
      <c r="C187" s="61"/>
      <c r="D187" s="62"/>
      <c r="E187" s="32"/>
      <c r="F187" s="32"/>
      <c r="G187" s="32"/>
      <c r="H187" s="32"/>
      <c r="I187" s="32"/>
      <c r="J187" s="32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</row>
    <row r="188" ht="14.25" customHeight="1">
      <c r="A188" s="62"/>
      <c r="B188" s="62"/>
      <c r="C188" s="61"/>
      <c r="D188" s="62"/>
      <c r="E188" s="32"/>
      <c r="F188" s="32"/>
      <c r="G188" s="32"/>
      <c r="H188" s="32"/>
      <c r="I188" s="32"/>
      <c r="J188" s="32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</row>
    <row r="189" ht="14.25" customHeight="1">
      <c r="A189" s="62"/>
      <c r="B189" s="62"/>
      <c r="C189" s="61"/>
      <c r="D189" s="62"/>
      <c r="E189" s="32"/>
      <c r="F189" s="32"/>
      <c r="G189" s="32"/>
      <c r="H189" s="32"/>
      <c r="I189" s="32"/>
      <c r="J189" s="32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</row>
    <row r="190" ht="14.25" customHeight="1">
      <c r="A190" s="62"/>
      <c r="B190" s="62"/>
      <c r="C190" s="61"/>
      <c r="D190" s="62"/>
      <c r="E190" s="32"/>
      <c r="F190" s="32"/>
      <c r="G190" s="32"/>
      <c r="H190" s="32"/>
      <c r="I190" s="32"/>
      <c r="J190" s="32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</row>
    <row r="191" ht="14.25" customHeight="1">
      <c r="A191" s="62"/>
      <c r="B191" s="62"/>
      <c r="C191" s="61"/>
      <c r="D191" s="62"/>
      <c r="E191" s="32"/>
      <c r="F191" s="32"/>
      <c r="G191" s="32"/>
      <c r="H191" s="32"/>
      <c r="I191" s="32"/>
      <c r="J191" s="32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</row>
    <row r="192" ht="14.25" customHeight="1">
      <c r="A192" s="62"/>
      <c r="B192" s="62"/>
      <c r="C192" s="61"/>
      <c r="D192" s="62"/>
      <c r="E192" s="32"/>
      <c r="F192" s="32"/>
      <c r="G192" s="32"/>
      <c r="H192" s="32"/>
      <c r="I192" s="32"/>
      <c r="J192" s="32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</row>
    <row r="193" ht="14.25" customHeight="1">
      <c r="A193" s="62"/>
      <c r="B193" s="62"/>
      <c r="C193" s="61"/>
      <c r="D193" s="62"/>
      <c r="E193" s="32"/>
      <c r="F193" s="32"/>
      <c r="G193" s="32"/>
      <c r="H193" s="32"/>
      <c r="I193" s="32"/>
      <c r="J193" s="32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</row>
    <row r="194" ht="14.25" customHeight="1">
      <c r="A194" s="62"/>
      <c r="B194" s="62"/>
      <c r="C194" s="61"/>
      <c r="D194" s="62"/>
      <c r="E194" s="32"/>
      <c r="F194" s="32"/>
      <c r="G194" s="32"/>
      <c r="H194" s="32"/>
      <c r="I194" s="32"/>
      <c r="J194" s="32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</row>
    <row r="195" ht="14.25" customHeight="1">
      <c r="A195" s="62"/>
      <c r="B195" s="62"/>
      <c r="C195" s="61"/>
      <c r="D195" s="62"/>
      <c r="E195" s="32"/>
      <c r="F195" s="32"/>
      <c r="G195" s="32"/>
      <c r="H195" s="32"/>
      <c r="I195" s="32"/>
      <c r="J195" s="32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</row>
    <row r="196" ht="14.25" customHeight="1">
      <c r="A196" s="62"/>
      <c r="B196" s="62"/>
      <c r="C196" s="61"/>
      <c r="D196" s="62"/>
      <c r="E196" s="32"/>
      <c r="F196" s="32"/>
      <c r="G196" s="32"/>
      <c r="H196" s="32"/>
      <c r="I196" s="32"/>
      <c r="J196" s="32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</row>
    <row r="197" ht="14.25" customHeight="1">
      <c r="A197" s="62"/>
      <c r="B197" s="62"/>
      <c r="C197" s="61"/>
      <c r="D197" s="62"/>
      <c r="E197" s="32"/>
      <c r="F197" s="32"/>
      <c r="G197" s="32"/>
      <c r="H197" s="32"/>
      <c r="I197" s="32"/>
      <c r="J197" s="32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</row>
    <row r="198" ht="14.25" customHeight="1">
      <c r="A198" s="62"/>
      <c r="B198" s="62"/>
      <c r="C198" s="61"/>
      <c r="D198" s="62"/>
      <c r="E198" s="32"/>
      <c r="F198" s="32"/>
      <c r="G198" s="32"/>
      <c r="H198" s="32"/>
      <c r="I198" s="32"/>
      <c r="J198" s="32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</row>
    <row r="199" ht="14.25" customHeight="1">
      <c r="A199" s="62"/>
      <c r="B199" s="62"/>
      <c r="C199" s="61"/>
      <c r="D199" s="62"/>
      <c r="E199" s="32"/>
      <c r="F199" s="32"/>
      <c r="G199" s="32"/>
      <c r="H199" s="32"/>
      <c r="I199" s="32"/>
      <c r="J199" s="32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</row>
    <row r="200" ht="14.25" customHeight="1">
      <c r="A200" s="62"/>
      <c r="B200" s="62"/>
      <c r="C200" s="61"/>
      <c r="D200" s="62"/>
      <c r="E200" s="32"/>
      <c r="F200" s="32"/>
      <c r="G200" s="32"/>
      <c r="H200" s="32"/>
      <c r="I200" s="32"/>
      <c r="J200" s="32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</row>
    <row r="201" ht="14.25" customHeight="1">
      <c r="A201" s="62"/>
      <c r="B201" s="62"/>
      <c r="C201" s="61"/>
      <c r="D201" s="62"/>
      <c r="E201" s="32"/>
      <c r="F201" s="32"/>
      <c r="G201" s="32"/>
      <c r="H201" s="32"/>
      <c r="I201" s="32"/>
      <c r="J201" s="32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</row>
    <row r="202" ht="14.25" customHeight="1">
      <c r="A202" s="62"/>
      <c r="B202" s="62"/>
      <c r="C202" s="61"/>
      <c r="D202" s="62"/>
      <c r="E202" s="32"/>
      <c r="F202" s="32"/>
      <c r="G202" s="32"/>
      <c r="H202" s="32"/>
      <c r="I202" s="32"/>
      <c r="J202" s="32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</row>
    <row r="203" ht="14.25" customHeight="1">
      <c r="A203" s="62"/>
      <c r="B203" s="62"/>
      <c r="C203" s="61"/>
      <c r="D203" s="62"/>
      <c r="E203" s="32"/>
      <c r="F203" s="32"/>
      <c r="G203" s="32"/>
      <c r="H203" s="32"/>
      <c r="I203" s="32"/>
      <c r="J203" s="32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</row>
    <row r="204" ht="14.25" customHeight="1">
      <c r="A204" s="62"/>
      <c r="B204" s="62"/>
      <c r="C204" s="61"/>
      <c r="D204" s="62"/>
      <c r="E204" s="32"/>
      <c r="F204" s="32"/>
      <c r="G204" s="32"/>
      <c r="H204" s="32"/>
      <c r="I204" s="32"/>
      <c r="J204" s="32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</row>
    <row r="205" ht="14.25" customHeight="1">
      <c r="A205" s="62"/>
      <c r="B205" s="62"/>
      <c r="C205" s="61"/>
      <c r="D205" s="62"/>
      <c r="E205" s="32"/>
      <c r="F205" s="32"/>
      <c r="G205" s="32"/>
      <c r="H205" s="32"/>
      <c r="I205" s="32"/>
      <c r="J205" s="32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</row>
    <row r="206" ht="14.25" customHeight="1">
      <c r="A206" s="62"/>
      <c r="B206" s="62"/>
      <c r="C206" s="61"/>
      <c r="D206" s="62"/>
      <c r="E206" s="32"/>
      <c r="F206" s="32"/>
      <c r="G206" s="32"/>
      <c r="H206" s="32"/>
      <c r="I206" s="32"/>
      <c r="J206" s="32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</row>
    <row r="207" ht="14.25" customHeight="1">
      <c r="A207" s="62"/>
      <c r="B207" s="62"/>
      <c r="C207" s="61"/>
      <c r="D207" s="62"/>
      <c r="E207" s="32"/>
      <c r="F207" s="32"/>
      <c r="G207" s="32"/>
      <c r="H207" s="32"/>
      <c r="I207" s="32"/>
      <c r="J207" s="32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</row>
    <row r="208" ht="14.25" customHeight="1">
      <c r="A208" s="62"/>
      <c r="B208" s="62"/>
      <c r="C208" s="61"/>
      <c r="D208" s="62"/>
      <c r="E208" s="32"/>
      <c r="F208" s="32"/>
      <c r="G208" s="32"/>
      <c r="H208" s="32"/>
      <c r="I208" s="32"/>
      <c r="J208" s="32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</row>
    <row r="209" ht="14.25" customHeight="1">
      <c r="A209" s="62"/>
      <c r="B209" s="62"/>
      <c r="C209" s="61"/>
      <c r="D209" s="62"/>
      <c r="E209" s="32"/>
      <c r="F209" s="32"/>
      <c r="G209" s="32"/>
      <c r="H209" s="32"/>
      <c r="I209" s="32"/>
      <c r="J209" s="32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</row>
    <row r="210" ht="14.25" customHeight="1">
      <c r="A210" s="62"/>
      <c r="B210" s="62"/>
      <c r="C210" s="61"/>
      <c r="D210" s="62"/>
      <c r="E210" s="32"/>
      <c r="F210" s="32"/>
      <c r="G210" s="32"/>
      <c r="H210" s="32"/>
      <c r="I210" s="32"/>
      <c r="J210" s="32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</row>
    <row r="211" ht="14.25" customHeight="1">
      <c r="A211" s="62"/>
      <c r="B211" s="62"/>
      <c r="C211" s="61"/>
      <c r="D211" s="62"/>
      <c r="E211" s="32"/>
      <c r="F211" s="32"/>
      <c r="G211" s="32"/>
      <c r="H211" s="32"/>
      <c r="I211" s="32"/>
      <c r="J211" s="32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</row>
    <row r="212" ht="14.25" customHeight="1">
      <c r="A212" s="62"/>
      <c r="B212" s="62"/>
      <c r="C212" s="61"/>
      <c r="D212" s="62"/>
      <c r="E212" s="32"/>
      <c r="F212" s="32"/>
      <c r="G212" s="32"/>
      <c r="H212" s="32"/>
      <c r="I212" s="32"/>
      <c r="J212" s="32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</row>
    <row r="213" ht="14.25" customHeight="1">
      <c r="A213" s="62"/>
      <c r="B213" s="62"/>
      <c r="C213" s="61"/>
      <c r="D213" s="62"/>
      <c r="E213" s="32"/>
      <c r="F213" s="32"/>
      <c r="G213" s="32"/>
      <c r="H213" s="32"/>
      <c r="I213" s="32"/>
      <c r="J213" s="32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</row>
    <row r="214" ht="14.25" customHeight="1">
      <c r="A214" s="62"/>
      <c r="B214" s="62"/>
      <c r="C214" s="61"/>
      <c r="D214" s="62"/>
      <c r="E214" s="32"/>
      <c r="F214" s="32"/>
      <c r="G214" s="32"/>
      <c r="H214" s="32"/>
      <c r="I214" s="32"/>
      <c r="J214" s="32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</row>
    <row r="215" ht="14.25" customHeight="1">
      <c r="A215" s="62"/>
      <c r="B215" s="62"/>
      <c r="C215" s="61"/>
      <c r="D215" s="62"/>
      <c r="E215" s="32"/>
      <c r="F215" s="32"/>
      <c r="G215" s="32"/>
      <c r="H215" s="32"/>
      <c r="I215" s="32"/>
      <c r="J215" s="32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</row>
    <row r="216" ht="14.25" customHeight="1">
      <c r="A216" s="62"/>
      <c r="B216" s="62"/>
      <c r="C216" s="61"/>
      <c r="D216" s="62"/>
      <c r="E216" s="32"/>
      <c r="F216" s="32"/>
      <c r="G216" s="32"/>
      <c r="H216" s="32"/>
      <c r="I216" s="32"/>
      <c r="J216" s="32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</row>
    <row r="217" ht="14.25" customHeight="1">
      <c r="A217" s="62"/>
      <c r="B217" s="62"/>
      <c r="C217" s="61"/>
      <c r="D217" s="62"/>
      <c r="E217" s="32"/>
      <c r="F217" s="32"/>
      <c r="G217" s="32"/>
      <c r="H217" s="32"/>
      <c r="I217" s="32"/>
      <c r="J217" s="32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</row>
    <row r="218" ht="14.25" customHeight="1">
      <c r="A218" s="62"/>
      <c r="B218" s="62"/>
      <c r="C218" s="61"/>
      <c r="D218" s="62"/>
      <c r="E218" s="32"/>
      <c r="F218" s="32"/>
      <c r="G218" s="32"/>
      <c r="H218" s="32"/>
      <c r="I218" s="32"/>
      <c r="J218" s="32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</row>
    <row r="219" ht="14.25" customHeight="1">
      <c r="A219" s="62"/>
      <c r="B219" s="62"/>
      <c r="C219" s="61"/>
      <c r="D219" s="62"/>
      <c r="E219" s="32"/>
      <c r="F219" s="32"/>
      <c r="G219" s="32"/>
      <c r="H219" s="32"/>
      <c r="I219" s="32"/>
      <c r="J219" s="32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</row>
    <row r="220" ht="14.25" customHeight="1">
      <c r="A220" s="62"/>
      <c r="B220" s="62"/>
      <c r="C220" s="61"/>
      <c r="D220" s="62"/>
      <c r="E220" s="32"/>
      <c r="F220" s="32"/>
      <c r="G220" s="32"/>
      <c r="H220" s="32"/>
      <c r="I220" s="32"/>
      <c r="J220" s="32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</row>
    <row r="221" ht="14.25" customHeight="1">
      <c r="A221" s="62"/>
      <c r="B221" s="62"/>
      <c r="C221" s="61"/>
      <c r="D221" s="62"/>
      <c r="E221" s="32"/>
      <c r="F221" s="32"/>
      <c r="G221" s="32"/>
      <c r="H221" s="32"/>
      <c r="I221" s="32"/>
      <c r="J221" s="32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</row>
    <row r="222" ht="14.25" customHeight="1">
      <c r="A222" s="62"/>
      <c r="B222" s="62"/>
      <c r="C222" s="61"/>
      <c r="D222" s="62"/>
      <c r="E222" s="32"/>
      <c r="F222" s="32"/>
      <c r="G222" s="32"/>
      <c r="H222" s="32"/>
      <c r="I222" s="32"/>
      <c r="J222" s="32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</row>
    <row r="223" ht="14.25" customHeight="1">
      <c r="A223" s="62"/>
      <c r="B223" s="62"/>
      <c r="C223" s="61"/>
      <c r="D223" s="62"/>
      <c r="E223" s="32"/>
      <c r="F223" s="32"/>
      <c r="G223" s="32"/>
      <c r="H223" s="32"/>
      <c r="I223" s="32"/>
      <c r="J223" s="32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</row>
    <row r="224" ht="14.25" customHeight="1">
      <c r="A224" s="62"/>
      <c r="B224" s="62"/>
      <c r="C224" s="61"/>
      <c r="D224" s="62"/>
      <c r="E224" s="32"/>
      <c r="F224" s="32"/>
      <c r="G224" s="32"/>
      <c r="H224" s="32"/>
      <c r="I224" s="32"/>
      <c r="J224" s="32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</row>
    <row r="225" ht="14.25" customHeight="1">
      <c r="A225" s="62"/>
      <c r="B225" s="62"/>
      <c r="C225" s="61"/>
      <c r="D225" s="62"/>
      <c r="E225" s="32"/>
      <c r="F225" s="32"/>
      <c r="G225" s="32"/>
      <c r="H225" s="32"/>
      <c r="I225" s="32"/>
      <c r="J225" s="32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</row>
    <row r="226" ht="14.25" customHeight="1">
      <c r="A226" s="62"/>
      <c r="B226" s="62"/>
      <c r="C226" s="61"/>
      <c r="D226" s="62"/>
      <c r="E226" s="32"/>
      <c r="F226" s="32"/>
      <c r="G226" s="32"/>
      <c r="H226" s="32"/>
      <c r="I226" s="32"/>
      <c r="J226" s="32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</row>
    <row r="227" ht="14.25" customHeight="1">
      <c r="A227" s="62"/>
      <c r="B227" s="62"/>
      <c r="C227" s="61"/>
      <c r="D227" s="62"/>
      <c r="E227" s="32"/>
      <c r="F227" s="32"/>
      <c r="G227" s="32"/>
      <c r="H227" s="32"/>
      <c r="I227" s="32"/>
      <c r="J227" s="32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</row>
    <row r="228" ht="14.25" customHeight="1">
      <c r="A228" s="62"/>
      <c r="B228" s="62"/>
      <c r="C228" s="61"/>
      <c r="D228" s="62"/>
      <c r="E228" s="32"/>
      <c r="F228" s="32"/>
      <c r="G228" s="32"/>
      <c r="H228" s="32"/>
      <c r="I228" s="32"/>
      <c r="J228" s="32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</row>
    <row r="229" ht="14.25" customHeight="1">
      <c r="A229" s="62"/>
      <c r="B229" s="62"/>
      <c r="C229" s="61"/>
      <c r="D229" s="62"/>
      <c r="E229" s="32"/>
      <c r="F229" s="32"/>
      <c r="G229" s="32"/>
      <c r="H229" s="32"/>
      <c r="I229" s="32"/>
      <c r="J229" s="32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</row>
    <row r="230" ht="14.25" customHeight="1">
      <c r="A230" s="62"/>
      <c r="B230" s="62"/>
      <c r="C230" s="61"/>
      <c r="D230" s="62"/>
      <c r="E230" s="32"/>
      <c r="F230" s="32"/>
      <c r="G230" s="32"/>
      <c r="H230" s="32"/>
      <c r="I230" s="32"/>
      <c r="J230" s="32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ht="14.25" customHeight="1">
      <c r="A231" s="62"/>
      <c r="B231" s="62"/>
      <c r="C231" s="61"/>
      <c r="D231" s="62"/>
      <c r="E231" s="32"/>
      <c r="F231" s="32"/>
      <c r="G231" s="32"/>
      <c r="H231" s="32"/>
      <c r="I231" s="32"/>
      <c r="J231" s="32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</row>
    <row r="232" ht="14.25" customHeight="1">
      <c r="A232" s="62"/>
      <c r="B232" s="62"/>
      <c r="C232" s="61"/>
      <c r="D232" s="62"/>
      <c r="E232" s="32"/>
      <c r="F232" s="32"/>
      <c r="G232" s="32"/>
      <c r="H232" s="32"/>
      <c r="I232" s="32"/>
      <c r="J232" s="32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</row>
    <row r="233" ht="14.25" customHeight="1">
      <c r="A233" s="62"/>
      <c r="B233" s="62"/>
      <c r="C233" s="61"/>
      <c r="D233" s="62"/>
      <c r="E233" s="32"/>
      <c r="F233" s="32"/>
      <c r="G233" s="32"/>
      <c r="H233" s="32"/>
      <c r="I233" s="32"/>
      <c r="J233" s="32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</row>
    <row r="234" ht="14.25" customHeight="1">
      <c r="A234" s="62"/>
      <c r="B234" s="62"/>
      <c r="C234" s="61"/>
      <c r="D234" s="62"/>
      <c r="E234" s="32"/>
      <c r="F234" s="32"/>
      <c r="G234" s="32"/>
      <c r="H234" s="32"/>
      <c r="I234" s="32"/>
      <c r="J234" s="32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</row>
    <row r="235" ht="14.25" customHeight="1">
      <c r="A235" s="62"/>
      <c r="B235" s="62"/>
      <c r="C235" s="61"/>
      <c r="D235" s="62"/>
      <c r="E235" s="32"/>
      <c r="F235" s="32"/>
      <c r="G235" s="32"/>
      <c r="H235" s="32"/>
      <c r="I235" s="32"/>
      <c r="J235" s="32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</row>
    <row r="236" ht="14.25" customHeight="1">
      <c r="A236" s="62"/>
      <c r="B236" s="62"/>
      <c r="C236" s="61"/>
      <c r="D236" s="62"/>
      <c r="E236" s="32"/>
      <c r="F236" s="32"/>
      <c r="G236" s="32"/>
      <c r="H236" s="32"/>
      <c r="I236" s="32"/>
      <c r="J236" s="32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</row>
    <row r="237" ht="14.25" customHeight="1">
      <c r="A237" s="62"/>
      <c r="B237" s="62"/>
      <c r="C237" s="61"/>
      <c r="D237" s="62"/>
      <c r="E237" s="32"/>
      <c r="F237" s="32"/>
      <c r="G237" s="32"/>
      <c r="H237" s="32"/>
      <c r="I237" s="32"/>
      <c r="J237" s="32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</row>
    <row r="238" ht="14.25" customHeight="1">
      <c r="A238" s="62"/>
      <c r="B238" s="62"/>
      <c r="C238" s="61"/>
      <c r="D238" s="62"/>
      <c r="E238" s="32"/>
      <c r="F238" s="32"/>
      <c r="G238" s="32"/>
      <c r="H238" s="32"/>
      <c r="I238" s="32"/>
      <c r="J238" s="32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</row>
    <row r="239" ht="14.25" customHeight="1">
      <c r="A239" s="62"/>
      <c r="B239" s="62"/>
      <c r="C239" s="61"/>
      <c r="D239" s="62"/>
      <c r="E239" s="32"/>
      <c r="F239" s="32"/>
      <c r="G239" s="32"/>
      <c r="H239" s="32"/>
      <c r="I239" s="32"/>
      <c r="J239" s="32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</row>
    <row r="240" ht="14.25" customHeight="1">
      <c r="A240" s="62"/>
      <c r="B240" s="62"/>
      <c r="C240" s="61"/>
      <c r="D240" s="62"/>
      <c r="E240" s="32"/>
      <c r="F240" s="32"/>
      <c r="G240" s="32"/>
      <c r="H240" s="32"/>
      <c r="I240" s="32"/>
      <c r="J240" s="32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</row>
    <row r="241" ht="14.25" customHeight="1">
      <c r="A241" s="62"/>
      <c r="B241" s="62"/>
      <c r="C241" s="61"/>
      <c r="D241" s="62"/>
      <c r="E241" s="32"/>
      <c r="F241" s="32"/>
      <c r="G241" s="32"/>
      <c r="H241" s="32"/>
      <c r="I241" s="32"/>
      <c r="J241" s="32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</row>
    <row r="242" ht="14.25" customHeight="1">
      <c r="A242" s="62"/>
      <c r="B242" s="62"/>
      <c r="C242" s="61"/>
      <c r="D242" s="62"/>
      <c r="E242" s="32"/>
      <c r="F242" s="32"/>
      <c r="G242" s="32"/>
      <c r="H242" s="32"/>
      <c r="I242" s="32"/>
      <c r="J242" s="32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</row>
    <row r="243" ht="14.25" customHeight="1">
      <c r="A243" s="62"/>
      <c r="B243" s="62"/>
      <c r="C243" s="61"/>
      <c r="D243" s="62"/>
      <c r="E243" s="32"/>
      <c r="F243" s="32"/>
      <c r="G243" s="32"/>
      <c r="H243" s="32"/>
      <c r="I243" s="32"/>
      <c r="J243" s="32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</row>
    <row r="244" ht="14.25" customHeight="1">
      <c r="A244" s="62"/>
      <c r="B244" s="62"/>
      <c r="C244" s="61"/>
      <c r="D244" s="62"/>
      <c r="E244" s="32"/>
      <c r="F244" s="32"/>
      <c r="G244" s="32"/>
      <c r="H244" s="32"/>
      <c r="I244" s="32"/>
      <c r="J244" s="32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</row>
    <row r="245" ht="14.25" customHeight="1">
      <c r="A245" s="62"/>
      <c r="B245" s="62"/>
      <c r="C245" s="61"/>
      <c r="D245" s="62"/>
      <c r="E245" s="32"/>
      <c r="F245" s="32"/>
      <c r="G245" s="32"/>
      <c r="H245" s="32"/>
      <c r="I245" s="32"/>
      <c r="J245" s="32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</row>
    <row r="246" ht="14.25" customHeight="1">
      <c r="A246" s="62"/>
      <c r="B246" s="62"/>
      <c r="C246" s="61"/>
      <c r="D246" s="62"/>
      <c r="E246" s="32"/>
      <c r="F246" s="32"/>
      <c r="G246" s="32"/>
      <c r="H246" s="32"/>
      <c r="I246" s="32"/>
      <c r="J246" s="32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</row>
    <row r="247" ht="14.25" customHeight="1">
      <c r="A247" s="62"/>
      <c r="B247" s="62"/>
      <c r="C247" s="61"/>
      <c r="D247" s="62"/>
      <c r="E247" s="32"/>
      <c r="F247" s="32"/>
      <c r="G247" s="32"/>
      <c r="H247" s="32"/>
      <c r="I247" s="32"/>
      <c r="J247" s="32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</row>
    <row r="248" ht="14.25" customHeight="1">
      <c r="A248" s="62"/>
      <c r="B248" s="62"/>
      <c r="C248" s="61"/>
      <c r="D248" s="62"/>
      <c r="E248" s="32"/>
      <c r="F248" s="32"/>
      <c r="G248" s="32"/>
      <c r="H248" s="32"/>
      <c r="I248" s="32"/>
      <c r="J248" s="32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</row>
    <row r="249" ht="14.25" customHeight="1">
      <c r="A249" s="62"/>
      <c r="B249" s="62"/>
      <c r="C249" s="61"/>
      <c r="D249" s="62"/>
      <c r="E249" s="32"/>
      <c r="F249" s="32"/>
      <c r="G249" s="32"/>
      <c r="H249" s="32"/>
      <c r="I249" s="32"/>
      <c r="J249" s="32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</row>
    <row r="250" ht="14.25" customHeight="1">
      <c r="A250" s="62"/>
      <c r="B250" s="62"/>
      <c r="C250" s="61"/>
      <c r="D250" s="62"/>
      <c r="E250" s="32"/>
      <c r="F250" s="32"/>
      <c r="G250" s="32"/>
      <c r="H250" s="32"/>
      <c r="I250" s="32"/>
      <c r="J250" s="32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</row>
    <row r="251" ht="14.25" customHeight="1">
      <c r="A251" s="62"/>
      <c r="B251" s="62"/>
      <c r="C251" s="61"/>
      <c r="D251" s="62"/>
      <c r="E251" s="32"/>
      <c r="F251" s="32"/>
      <c r="G251" s="32"/>
      <c r="H251" s="32"/>
      <c r="I251" s="32"/>
      <c r="J251" s="32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</row>
    <row r="252" ht="14.25" customHeight="1">
      <c r="A252" s="62"/>
      <c r="B252" s="62"/>
      <c r="C252" s="61"/>
      <c r="D252" s="62"/>
      <c r="E252" s="32"/>
      <c r="F252" s="32"/>
      <c r="G252" s="32"/>
      <c r="H252" s="32"/>
      <c r="I252" s="32"/>
      <c r="J252" s="32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</row>
    <row r="253" ht="14.25" customHeight="1">
      <c r="A253" s="62"/>
      <c r="B253" s="62"/>
      <c r="C253" s="61"/>
      <c r="D253" s="62"/>
      <c r="E253" s="32"/>
      <c r="F253" s="32"/>
      <c r="G253" s="32"/>
      <c r="H253" s="32"/>
      <c r="I253" s="32"/>
      <c r="J253" s="32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</row>
    <row r="254" ht="14.25" customHeight="1">
      <c r="A254" s="62"/>
      <c r="B254" s="62"/>
      <c r="C254" s="61"/>
      <c r="D254" s="62"/>
      <c r="E254" s="32"/>
      <c r="F254" s="32"/>
      <c r="G254" s="32"/>
      <c r="H254" s="32"/>
      <c r="I254" s="32"/>
      <c r="J254" s="32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</row>
    <row r="255" ht="14.25" customHeight="1">
      <c r="A255" s="62"/>
      <c r="B255" s="62"/>
      <c r="C255" s="61"/>
      <c r="D255" s="62"/>
      <c r="E255" s="32"/>
      <c r="F255" s="32"/>
      <c r="G255" s="32"/>
      <c r="H255" s="32"/>
      <c r="I255" s="32"/>
      <c r="J255" s="32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</row>
    <row r="256" ht="14.25" customHeight="1">
      <c r="A256" s="62"/>
      <c r="B256" s="62"/>
      <c r="C256" s="61"/>
      <c r="D256" s="62"/>
      <c r="E256" s="32"/>
      <c r="F256" s="32"/>
      <c r="G256" s="32"/>
      <c r="H256" s="32"/>
      <c r="I256" s="32"/>
      <c r="J256" s="32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</row>
    <row r="257" ht="14.25" customHeight="1">
      <c r="A257" s="62"/>
      <c r="B257" s="62"/>
      <c r="C257" s="61"/>
      <c r="D257" s="62"/>
      <c r="E257" s="32"/>
      <c r="F257" s="32"/>
      <c r="G257" s="32"/>
      <c r="H257" s="32"/>
      <c r="I257" s="32"/>
      <c r="J257" s="32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</row>
    <row r="258" ht="14.25" customHeight="1">
      <c r="A258" s="62"/>
      <c r="B258" s="62"/>
      <c r="C258" s="61"/>
      <c r="D258" s="62"/>
      <c r="E258" s="32"/>
      <c r="F258" s="32"/>
      <c r="G258" s="32"/>
      <c r="H258" s="32"/>
      <c r="I258" s="32"/>
      <c r="J258" s="32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</row>
    <row r="259" ht="14.25" customHeight="1">
      <c r="A259" s="62"/>
      <c r="B259" s="62"/>
      <c r="C259" s="61"/>
      <c r="D259" s="62"/>
      <c r="E259" s="32"/>
      <c r="F259" s="32"/>
      <c r="G259" s="32"/>
      <c r="H259" s="32"/>
      <c r="I259" s="32"/>
      <c r="J259" s="32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</row>
    <row r="260" ht="14.25" customHeight="1">
      <c r="A260" s="62"/>
      <c r="B260" s="62"/>
      <c r="C260" s="61"/>
      <c r="D260" s="62"/>
      <c r="E260" s="32"/>
      <c r="F260" s="32"/>
      <c r="G260" s="32"/>
      <c r="H260" s="32"/>
      <c r="I260" s="32"/>
      <c r="J260" s="32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