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epicenter" sheetId="1" r:id="rId4"/>
    <sheet state="visible" name="WS_May18th_Stock" sheetId="2" r:id="rId5"/>
    <sheet state="visible" name="bill_counter" sheetId="3" r:id="rId6"/>
    <sheet state="visible" name="WE_May24th_Stock_Live" sheetId="4" r:id="rId7"/>
    <sheet state="visible" name="Transactions" sheetId="5" r:id="rId8"/>
    <sheet state="visible" name="Trans_Pivot" sheetId="6" r:id="rId9"/>
    <sheet state="visible" name="Daily_Sales_Revenue_wise" sheetId="7" r:id="rId10"/>
    <sheet state="visible" name="Daily_Sales_Quantity_wise" sheetId="8" r:id="rId11"/>
    <sheet state="visible" name="Working_sheet" sheetId="9" r:id="rId12"/>
  </sheets>
  <definedNames>
    <definedName hidden="1" localSheetId="2" name="_xlnm._FilterDatabase">bill_counter!$A$1:$Z$1105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<sst xmlns="http://schemas.openxmlformats.org/spreadsheetml/2006/main" count="8730" uniqueCount="1548">
  <si>
    <t>Poduct ID</t>
  </si>
  <si>
    <t>Product</t>
  </si>
  <si>
    <t>Price(₹)</t>
  </si>
  <si>
    <t>P001</t>
  </si>
  <si>
    <t xml:space="preserve">Rice 1kg </t>
  </si>
  <si>
    <t>P002</t>
  </si>
  <si>
    <t xml:space="preserve">Dal (Lentils) 1kg </t>
  </si>
  <si>
    <t>P003</t>
  </si>
  <si>
    <t xml:space="preserve">Sugar 1kg </t>
  </si>
  <si>
    <t>P004</t>
  </si>
  <si>
    <t xml:space="preserve">Aata (Wheat Flour) 1kg </t>
  </si>
  <si>
    <t>P005</t>
  </si>
  <si>
    <t xml:space="preserve">Turmeric 100g </t>
  </si>
  <si>
    <t>P006</t>
  </si>
  <si>
    <t xml:space="preserve">Coffee 100g </t>
  </si>
  <si>
    <t>P007</t>
  </si>
  <si>
    <t xml:space="preserve">Tea 250g </t>
  </si>
  <si>
    <t>P008</t>
  </si>
  <si>
    <t xml:space="preserve">Dry Fruits Mix 1kg </t>
  </si>
  <si>
    <t>P009</t>
  </si>
  <si>
    <t xml:space="preserve">Green Peas 1kg </t>
  </si>
  <si>
    <t>P010</t>
  </si>
  <si>
    <t xml:space="preserve">Salt 1kg </t>
  </si>
  <si>
    <t>P011</t>
  </si>
  <si>
    <t xml:space="preserve">Milk 1 litre </t>
  </si>
  <si>
    <t>P012</t>
  </si>
  <si>
    <t xml:space="preserve">Bread 500g </t>
  </si>
  <si>
    <t>P013</t>
  </si>
  <si>
    <t xml:space="preserve">Butter 500g </t>
  </si>
  <si>
    <t>P014</t>
  </si>
  <si>
    <t xml:space="preserve">Cheese 200g </t>
  </si>
  <si>
    <t>P015</t>
  </si>
  <si>
    <t xml:space="preserve">Eggs 12 pcs </t>
  </si>
  <si>
    <t>P016</t>
  </si>
  <si>
    <t xml:space="preserve">Chicken 1kg </t>
  </si>
  <si>
    <t>P017</t>
  </si>
  <si>
    <t xml:space="preserve">Fish 1kg </t>
  </si>
  <si>
    <t>P018</t>
  </si>
  <si>
    <t xml:space="preserve">Apples 1kg </t>
  </si>
  <si>
    <t>P019</t>
  </si>
  <si>
    <t xml:space="preserve">Bananas 1 dozen </t>
  </si>
  <si>
    <t>P020</t>
  </si>
  <si>
    <t xml:space="preserve">Oranges 1kg </t>
  </si>
  <si>
    <t>P021</t>
  </si>
  <si>
    <t xml:space="preserve">Potatoes 1kg </t>
  </si>
  <si>
    <t>P022</t>
  </si>
  <si>
    <t xml:space="preserve">Onions 1kg </t>
  </si>
  <si>
    <t>P023</t>
  </si>
  <si>
    <t xml:space="preserve">Tomatoes 1kg </t>
  </si>
  <si>
    <t>P024</t>
  </si>
  <si>
    <t xml:space="preserve">Green Chillies 250g </t>
  </si>
  <si>
    <t>P025</t>
  </si>
  <si>
    <t xml:space="preserve">Garlic 250g </t>
  </si>
  <si>
    <t>P026</t>
  </si>
  <si>
    <t xml:space="preserve">Ginger 250g </t>
  </si>
  <si>
    <t>P027</t>
  </si>
  <si>
    <t xml:space="preserve">Biscuits 1 pack </t>
  </si>
  <si>
    <t>P028</t>
  </si>
  <si>
    <t xml:space="preserve">Chocolates 1 bar </t>
  </si>
  <si>
    <t>P029</t>
  </si>
  <si>
    <t xml:space="preserve">Cold Drink 1 litre </t>
  </si>
  <si>
    <t>P030</t>
  </si>
  <si>
    <t xml:space="preserve">Ice Cream 1 litre </t>
  </si>
  <si>
    <t>P031</t>
  </si>
  <si>
    <t xml:space="preserve">Shampoo 1 bottle </t>
  </si>
  <si>
    <t>P032</t>
  </si>
  <si>
    <t xml:space="preserve">Soap 1 bar </t>
  </si>
  <si>
    <t>P033</t>
  </si>
  <si>
    <t xml:space="preserve">Toothpaste 1 tube </t>
  </si>
  <si>
    <t>P034</t>
  </si>
  <si>
    <t xml:space="preserve">Detergent Powder 1kg </t>
  </si>
  <si>
    <t>P035</t>
  </si>
  <si>
    <t xml:space="preserve">Dishwashing Liquid 500ml </t>
  </si>
  <si>
    <t>P036</t>
  </si>
  <si>
    <t xml:space="preserve">Floor Cleaner 1 litre </t>
  </si>
  <si>
    <t>P037</t>
  </si>
  <si>
    <t xml:space="preserve">Toilet Cleaner 1 litre </t>
  </si>
  <si>
    <t>P038</t>
  </si>
  <si>
    <t xml:space="preserve">Mosquito Repellent 1 pack </t>
  </si>
  <si>
    <t>P039</t>
  </si>
  <si>
    <t xml:space="preserve">Tissue Roll 1 pack </t>
  </si>
  <si>
    <t>P040</t>
  </si>
  <si>
    <t xml:space="preserve">Cooking Oil 1 litre </t>
  </si>
  <si>
    <t>P041</t>
  </si>
  <si>
    <t xml:space="preserve">Mustard Seeds 100g </t>
  </si>
  <si>
    <t>P042</t>
  </si>
  <si>
    <t xml:space="preserve">Cumin Seeds 100g </t>
  </si>
  <si>
    <t>P043</t>
  </si>
  <si>
    <t xml:space="preserve">Coriander Powder 100g </t>
  </si>
  <si>
    <t>P044</t>
  </si>
  <si>
    <t xml:space="preserve">Chili Powder 100g </t>
  </si>
  <si>
    <t>P045</t>
  </si>
  <si>
    <t xml:space="preserve">Vinegar 500ml </t>
  </si>
  <si>
    <t>P046</t>
  </si>
  <si>
    <t xml:space="preserve">Soy Sauce 500ml </t>
  </si>
  <si>
    <t>P047</t>
  </si>
  <si>
    <t xml:space="preserve">Pasta 500g </t>
  </si>
  <si>
    <t>P048</t>
  </si>
  <si>
    <t xml:space="preserve">Noodles 500g </t>
  </si>
  <si>
    <t>P049</t>
  </si>
  <si>
    <t xml:space="preserve">Oats 1kg </t>
  </si>
  <si>
    <t>P050</t>
  </si>
  <si>
    <t xml:space="preserve">Cornflakes 500g </t>
  </si>
  <si>
    <t>P051</t>
  </si>
  <si>
    <t xml:space="preserve">Honey 500g </t>
  </si>
  <si>
    <t>P052</t>
  </si>
  <si>
    <t xml:space="preserve">Jam 500g </t>
  </si>
  <si>
    <t>P053</t>
  </si>
  <si>
    <t xml:space="preserve">Peanut Butter 500g </t>
  </si>
  <si>
    <t>P054</t>
  </si>
  <si>
    <t xml:space="preserve">Cashews 500g </t>
  </si>
  <si>
    <t>P055</t>
  </si>
  <si>
    <t xml:space="preserve">Almonds 500g </t>
  </si>
  <si>
    <t>P056</t>
  </si>
  <si>
    <t xml:space="preserve">Walnuts 500g </t>
  </si>
  <si>
    <t>P057</t>
  </si>
  <si>
    <t xml:space="preserve">Raisins 500g </t>
  </si>
  <si>
    <t>P058</t>
  </si>
  <si>
    <t xml:space="preserve">Green Tea 250g </t>
  </si>
  <si>
    <t>P059</t>
  </si>
  <si>
    <t xml:space="preserve">Black Tea 250g </t>
  </si>
  <si>
    <t>P060</t>
  </si>
  <si>
    <t xml:space="preserve">Lemon 1kg </t>
  </si>
  <si>
    <t>P061</t>
  </si>
  <si>
    <t xml:space="preserve">Grapes 1kg </t>
  </si>
  <si>
    <t>P062</t>
  </si>
  <si>
    <t xml:space="preserve">Mangoes 1kg </t>
  </si>
  <si>
    <t>P063</t>
  </si>
  <si>
    <t xml:space="preserve">Pomegranate 1kg </t>
  </si>
  <si>
    <t>P064</t>
  </si>
  <si>
    <t xml:space="preserve">Coconut 1 piece </t>
  </si>
  <si>
    <t>P065</t>
  </si>
  <si>
    <t xml:space="preserve">Yogurt 500g </t>
  </si>
  <si>
    <t>P066</t>
  </si>
  <si>
    <t xml:space="preserve">Paneer 1kg </t>
  </si>
  <si>
    <t>P067</t>
  </si>
  <si>
    <t xml:space="preserve">Ice Cubes 1 pack </t>
  </si>
  <si>
    <t>P068</t>
  </si>
  <si>
    <t xml:space="preserve">Peanut 1kg </t>
  </si>
  <si>
    <t>P069</t>
  </si>
  <si>
    <t xml:space="preserve">Pickles 500g </t>
  </si>
  <si>
    <t>P070</t>
  </si>
  <si>
    <t xml:space="preserve">Basmati Rice 1kg </t>
  </si>
  <si>
    <t>P071</t>
  </si>
  <si>
    <t xml:space="preserve">Brown Rice 1kg </t>
  </si>
  <si>
    <t>P072</t>
  </si>
  <si>
    <t xml:space="preserve">Quinoa 500g </t>
  </si>
  <si>
    <t>P073</t>
  </si>
  <si>
    <t xml:space="preserve">Baking Soda 500g </t>
  </si>
  <si>
    <t>P074</t>
  </si>
  <si>
    <t xml:space="preserve">Baking Powder 250g </t>
  </si>
  <si>
    <t>P075</t>
  </si>
  <si>
    <t xml:space="preserve">Cake Mix 1 box </t>
  </si>
  <si>
    <t>P076</t>
  </si>
  <si>
    <t xml:space="preserve">Bread Crumbs 500g </t>
  </si>
  <si>
    <t>P077</t>
  </si>
  <si>
    <t xml:space="preserve">Whipped Cream 500ml </t>
  </si>
  <si>
    <t>P078</t>
  </si>
  <si>
    <t xml:space="preserve">Butter Paper 1 roll </t>
  </si>
  <si>
    <t>P079</t>
  </si>
  <si>
    <t xml:space="preserve">Plastic Wrap 1 roll </t>
  </si>
  <si>
    <t>P080</t>
  </si>
  <si>
    <t xml:space="preserve">Aluminium Foil 1 roll </t>
  </si>
  <si>
    <t>P081</t>
  </si>
  <si>
    <t xml:space="preserve">Matchsticks 1 pack </t>
  </si>
  <si>
    <t>P082</t>
  </si>
  <si>
    <t xml:space="preserve">Candles 1 pack </t>
  </si>
  <si>
    <t>P083</t>
  </si>
  <si>
    <t xml:space="preserve">Batteries 1 pack </t>
  </si>
  <si>
    <t>P084</t>
  </si>
  <si>
    <t xml:space="preserve">Energy Drink 1 can </t>
  </si>
  <si>
    <t>P085</t>
  </si>
  <si>
    <t xml:space="preserve">Mineral Water 1 litre </t>
  </si>
  <si>
    <t>P086</t>
  </si>
  <si>
    <t xml:space="preserve">Coconut Water 1 litre </t>
  </si>
  <si>
    <t>P087</t>
  </si>
  <si>
    <t xml:space="preserve">Ice Tea 1 litre </t>
  </si>
  <si>
    <t>P088</t>
  </si>
  <si>
    <t xml:space="preserve">Juice 1 litre </t>
  </si>
  <si>
    <t>P089</t>
  </si>
  <si>
    <t xml:space="preserve">Sports Drink 1 litre </t>
  </si>
  <si>
    <t>P090</t>
  </si>
  <si>
    <t xml:space="preserve">Hand Wash 500ml </t>
  </si>
  <si>
    <t>P091</t>
  </si>
  <si>
    <t xml:space="preserve">Body Lotion 500ml </t>
  </si>
  <si>
    <t>P092</t>
  </si>
  <si>
    <t xml:space="preserve">Hair Conditioner 500ml </t>
  </si>
  <si>
    <t>P093</t>
  </si>
  <si>
    <t xml:space="preserve">Shaving Cream 100g </t>
  </si>
  <si>
    <t>P094</t>
  </si>
  <si>
    <t xml:space="preserve">Razor 1 pack </t>
  </si>
  <si>
    <t>P095</t>
  </si>
  <si>
    <t xml:space="preserve">Nail Polish 1 bottle </t>
  </si>
  <si>
    <t>P096</t>
  </si>
  <si>
    <t xml:space="preserve">Lip Balm 1 tube </t>
  </si>
  <si>
    <t>P097</t>
  </si>
  <si>
    <t xml:space="preserve">Face Wash 250ml </t>
  </si>
  <si>
    <t>P098</t>
  </si>
  <si>
    <t xml:space="preserve">Hand Sanitizer 500ml </t>
  </si>
  <si>
    <t>P099</t>
  </si>
  <si>
    <t xml:space="preserve">Face Mask 1 pack </t>
  </si>
  <si>
    <t>P100</t>
  </si>
  <si>
    <t xml:space="preserve">Cooking Vinegar 500ml </t>
  </si>
  <si>
    <t>Quantity</t>
  </si>
  <si>
    <t>Total Products in Stock</t>
  </si>
  <si>
    <t>Week Ending</t>
  </si>
  <si>
    <t>Date</t>
  </si>
  <si>
    <t>Transaction Time</t>
  </si>
  <si>
    <t>Transaction ID</t>
  </si>
  <si>
    <t>Product ID</t>
  </si>
  <si>
    <t>Total Cost</t>
  </si>
  <si>
    <t>05/18/2025 09:04:18</t>
  </si>
  <si>
    <t>T001</t>
  </si>
  <si>
    <t>05/18/2025 09:16:19</t>
  </si>
  <si>
    <t>T002</t>
  </si>
  <si>
    <t>05/18/2025 09:41:48</t>
  </si>
  <si>
    <t>T003</t>
  </si>
  <si>
    <t>05/18/2025 10:17:38</t>
  </si>
  <si>
    <t>T004</t>
  </si>
  <si>
    <t>05/18/2025 10:39:38</t>
  </si>
  <si>
    <t>T005</t>
  </si>
  <si>
    <t>05/18/2025 10:58:58</t>
  </si>
  <si>
    <t>T006</t>
  </si>
  <si>
    <t>05/18/2025 11:20:20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</si>
  <si>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</si>
  <si>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</si>
  <si>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</si>
  <si>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</si>
  <si>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</si>
  <si>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</si>
  <si>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</si>
  <si>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</si>
  <si>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</si>
  <si>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</si>
  <si>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</si>
  <si>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</si>
  <si>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</si>
  <si>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</si>
  <si>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</si>
  <si>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</si>
  <si>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</si>
  <si>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</si>
  <si>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</si>
  <si>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</si>
  <si>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</si>
  <si>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</si>
  <si>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</si>
  <si>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</si>
  <si>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</si>
  <si>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</si>
  <si>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</si>
  <si>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</si>
  <si>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</si>
  <si>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</si>
  <si>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</si>
  <si>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</si>
  <si>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05/19/2025 9:04:18</t>
  </si>
  <si>
    <t>T039</t>
  </si>
  <si>
    <t>05/19/2025 9:16:19</t>
  </si>
  <si>
    <t>T040</t>
  </si>
  <si>
    <t>05/19/2025 9:41:48</t>
  </si>
  <si>
    <t>T041</t>
  </si>
  <si>
    <t>05/19/2025 10:17:38</t>
  </si>
  <si>
    <t>T042</t>
  </si>
  <si>
    <t>05/19/2025 10:39:38</t>
  </si>
  <si>
    <t>T043</t>
  </si>
  <si>
    <t>05/19/2025 10:58:58</t>
  </si>
  <si>
    <t>T044</t>
  </si>
  <si>
    <t>05/19/2025 11:20:20</t>
  </si>
  <si>
    <t>T045</t>
  </si>
  <si>
    <t>05/19/2025 11:30:18</t>
  </si>
  <si>
    <t>T046</t>
  </si>
  <si>
    <t>05/19/2025 11:45:18</t>
  </si>
  <si>
    <t>T047</t>
  </si>
  <si>
    <t>05/19/2025 11:56:18</t>
  </si>
  <si>
    <t>T048</t>
  </si>
  <si>
    <t>05/19/2025 12:10:18</t>
  </si>
  <si>
    <t>T049</t>
  </si>
  <si>
    <t>05/19/2025 12:24:18</t>
  </si>
  <si>
    <t>T050</t>
  </si>
  <si>
    <t>05/19/2025 12:34:18</t>
  </si>
  <si>
    <t>T051</t>
  </si>
  <si>
    <t>05/19/2025 12:47:18</t>
  </si>
  <si>
    <t>T052</t>
  </si>
  <si>
    <t>05/19/2025 12:57:18</t>
  </si>
  <si>
    <t>T053</t>
  </si>
  <si>
    <t>05/19/2025 13:12:18</t>
  </si>
  <si>
    <t>T054</t>
  </si>
  <si>
    <t>05/19/2025 13:25:18</t>
  </si>
  <si>
    <t>T055</t>
  </si>
  <si>
    <t>05/19/2025 13:38:18</t>
  </si>
  <si>
    <t>T056</t>
  </si>
  <si>
    <t>05/19/2025 13:52:18</t>
  </si>
  <si>
    <t>T057</t>
  </si>
  <si>
    <t>05/19/2025 14:06:18</t>
  </si>
  <si>
    <t>T058</t>
  </si>
  <si>
    <t>05/19/2025 14:16:18</t>
  </si>
  <si>
    <t>T059</t>
  </si>
  <si>
    <t>05/19/2025 14:27:18</t>
  </si>
  <si>
    <t>T060</t>
  </si>
  <si>
    <t>05/19/2025 14:42:18</t>
  </si>
  <si>
    <t>T061</t>
  </si>
  <si>
    <t>05/19/2025 14:53:18</t>
  </si>
  <si>
    <t>T062</t>
  </si>
  <si>
    <t>05/19/2025 15:06:18</t>
  </si>
  <si>
    <t>T063</t>
  </si>
  <si>
    <t>05/19/2025 15:18:18</t>
  </si>
  <si>
    <t>T064</t>
  </si>
  <si>
    <t>05/19/2025 15:30:18</t>
  </si>
  <si>
    <t>T065</t>
  </si>
  <si>
    <t>05/19/2025 15:45:18</t>
  </si>
  <si>
    <t>T066</t>
  </si>
  <si>
    <t>05/19/2025 15:58:18</t>
  </si>
  <si>
    <t>T067</t>
  </si>
  <si>
    <t>05/19/2025 16:09:18</t>
  </si>
  <si>
    <t>T068</t>
  </si>
  <si>
    <t>05/19/2025 16:24:18</t>
  </si>
  <si>
    <t>T069</t>
  </si>
  <si>
    <t>05/19/2025 16:35:18</t>
  </si>
  <si>
    <t>T070</t>
  </si>
  <si>
    <t>05/19/2025 16:49:18</t>
  </si>
  <si>
    <t>T071</t>
  </si>
  <si>
    <t>05/19/2025 17:02:18</t>
  </si>
  <si>
    <t>T072</t>
  </si>
  <si>
    <t>05/19/2025 17:15:18</t>
  </si>
  <si>
    <t>T073</t>
  </si>
  <si>
    <t>05/19/2025 17:29:18</t>
  </si>
  <si>
    <t>T074</t>
  </si>
  <si>
    <t>05/19/2025 17:42:18</t>
  </si>
  <si>
    <t>T075</t>
  </si>
  <si>
    <t>05/19/2025 17:52:18</t>
  </si>
  <si>
    <t>T076</t>
  </si>
  <si>
    <t>05/20/2025 9:04:18</t>
  </si>
  <si>
    <t>T077</t>
  </si>
  <si>
    <t>05/20/2025 9:16:19</t>
  </si>
  <si>
    <t>T078</t>
  </si>
  <si>
    <t>05/20/2025 9:41:48</t>
  </si>
  <si>
    <t>T079</t>
  </si>
  <si>
    <t>05/20/2025 10:17:38</t>
  </si>
  <si>
    <t>T080</t>
  </si>
  <si>
    <t>05/20/2025 10:39:38</t>
  </si>
  <si>
    <t>T081</t>
  </si>
  <si>
    <t>05/20/2025 10:58:58</t>
  </si>
  <si>
    <t>T082</t>
  </si>
  <si>
    <t>05/20/2025 11:20:20</t>
  </si>
  <si>
    <t>T083</t>
  </si>
  <si>
    <t>05/20/2025 11:30:18</t>
  </si>
  <si>
    <t>T084</t>
  </si>
  <si>
    <t>05/20/2025 11:45:18</t>
  </si>
  <si>
    <t>T085</t>
  </si>
  <si>
    <t>05/20/2025 11:56:18</t>
  </si>
  <si>
    <t>T086</t>
  </si>
  <si>
    <t>05/20/2025 12:10:18</t>
  </si>
  <si>
    <t>T087</t>
  </si>
  <si>
    <t>05/20/2025 12:24:18</t>
  </si>
  <si>
    <t>T088</t>
  </si>
  <si>
    <t>05/20/2025 12:34:18</t>
  </si>
  <si>
    <t>T089</t>
  </si>
  <si>
    <t>05/20/2025 12:47:18</t>
  </si>
  <si>
    <t>T090</t>
  </si>
  <si>
    <t>05/20/2025 12:57:18</t>
  </si>
  <si>
    <t>T091</t>
  </si>
  <si>
    <t>05/20/2025 13:12:18</t>
  </si>
  <si>
    <t>T092</t>
  </si>
  <si>
    <t>05/20/2025 13:25:18</t>
  </si>
  <si>
    <t>T093</t>
  </si>
  <si>
    <t>05/20/2025 13:38:18</t>
  </si>
  <si>
    <t>T094</t>
  </si>
  <si>
    <t>05/20/2025 13:52:18</t>
  </si>
  <si>
    <t>T095</t>
  </si>
  <si>
    <t>05/20/2025 14:06:18</t>
  </si>
  <si>
    <t>T096</t>
  </si>
  <si>
    <t>05/20/2025 14:16:18</t>
  </si>
  <si>
    <t>T097</t>
  </si>
  <si>
    <t>05/20/2025 14:27:18</t>
  </si>
  <si>
    <t>T098</t>
  </si>
  <si>
    <t>05/20/2025 14:42:18</t>
  </si>
  <si>
    <t>T099</t>
  </si>
  <si>
    <t>05/20/2025 14:53:18</t>
  </si>
  <si>
    <t>T100</t>
  </si>
  <si>
    <t>05/20/2025 15:06:18</t>
  </si>
  <si>
    <t>T101</t>
  </si>
  <si>
    <t>05/20/2025 15:18:18</t>
  </si>
  <si>
    <t>T102</t>
  </si>
  <si>
    <t>05/20/2025 15:30:18</t>
  </si>
  <si>
    <t>T103</t>
  </si>
  <si>
    <t>05/20/2025 15:45:18</t>
  </si>
  <si>
    <t>T104</t>
  </si>
  <si>
    <t>05/20/2025 15:58:18</t>
  </si>
  <si>
    <t>T105</t>
  </si>
  <si>
    <t>05/20/2025 16:09:18</t>
  </si>
  <si>
    <t>T106</t>
  </si>
  <si>
    <t>05/20/2025 16:24:18</t>
  </si>
  <si>
    <t>T107</t>
  </si>
  <si>
    <t>05/20/2025 16:35:18</t>
  </si>
  <si>
    <t>T108</t>
  </si>
  <si>
    <t>05/20/2025 16:49:18</t>
  </si>
  <si>
    <t>T109</t>
  </si>
  <si>
    <t>05/20/2025 17:02:18</t>
  </si>
  <si>
    <t>T110</t>
  </si>
  <si>
    <t>05/20/2025 17:15:18</t>
  </si>
  <si>
    <t>T111</t>
  </si>
  <si>
    <t>05/20/2025 17:29:18</t>
  </si>
  <si>
    <t>T112</t>
  </si>
  <si>
    <t>05/20/2025 17:42:18</t>
  </si>
  <si>
    <t>T113</t>
  </si>
  <si>
    <t>05/20/2025 17:52:18</t>
  </si>
  <si>
    <t>T114</t>
  </si>
  <si>
    <t>05/21/2025 9:04:18</t>
  </si>
  <si>
    <t>T115</t>
  </si>
  <si>
    <t>05/21/2025 9:16:19</t>
  </si>
  <si>
    <t>T116</t>
  </si>
  <si>
    <t>05/21/2025 9:41:48</t>
  </si>
  <si>
    <t>T117</t>
  </si>
  <si>
    <t>05/21/2025 10:17:38</t>
  </si>
  <si>
    <t>T118</t>
  </si>
  <si>
    <t>05/21/2025 10:39:38</t>
  </si>
  <si>
    <t>T119</t>
  </si>
  <si>
    <t>05/21/2025 10:58:58</t>
  </si>
  <si>
    <t>T120</t>
  </si>
  <si>
    <t>05/21/2025 11:20:20</t>
  </si>
  <si>
    <t>T121</t>
  </si>
  <si>
    <t>05/21/2025 11:30:18</t>
  </si>
  <si>
    <t>T122</t>
  </si>
  <si>
    <t>05/21/2025 11:45:18</t>
  </si>
  <si>
    <t>T123</t>
  </si>
  <si>
    <t>05/21/2025 11:56:18</t>
  </si>
  <si>
    <t>T124</t>
  </si>
  <si>
    <t>05/21/2025 12:10:18</t>
  </si>
  <si>
    <t>T125</t>
  </si>
  <si>
    <t>05/21/2025 12:24:18</t>
  </si>
  <si>
    <t>T126</t>
  </si>
  <si>
    <t>05/21/2025 12:34:18</t>
  </si>
  <si>
    <t>T127</t>
  </si>
  <si>
    <t>05/21/2025 12:47:18</t>
  </si>
  <si>
    <t>T128</t>
  </si>
  <si>
    <t>05/21/2025 12:57:18</t>
  </si>
  <si>
    <t>T129</t>
  </si>
  <si>
    <t>05/21/2025 13:12:18</t>
  </si>
  <si>
    <t>T130</t>
  </si>
  <si>
    <t>05/21/2025 13:25:18</t>
  </si>
  <si>
    <t>T131</t>
  </si>
  <si>
    <t>05/21/2025 13:38:18</t>
  </si>
  <si>
    <t>T132</t>
  </si>
  <si>
    <t>05/21/2025 13:52:18</t>
  </si>
  <si>
    <t>T133</t>
  </si>
  <si>
    <t>05/21/2025 14:06:18</t>
  </si>
  <si>
    <t>T134</t>
  </si>
  <si>
    <t>05/21/2025 14:16:18</t>
  </si>
  <si>
    <t>T135</t>
  </si>
  <si>
    <t>05/21/2025 14:27:18</t>
  </si>
  <si>
    <t>T136</t>
  </si>
  <si>
    <t>05/21/2025 14:42:18</t>
  </si>
  <si>
    <t>T137</t>
  </si>
  <si>
    <t>05/21/2025 14:53:18</t>
  </si>
  <si>
    <t>T138</t>
  </si>
  <si>
    <t>05/21/2025 15:06:18</t>
  </si>
  <si>
    <t>T139</t>
  </si>
  <si>
    <t>05/21/2025 15:18:18</t>
  </si>
  <si>
    <t>T140</t>
  </si>
  <si>
    <t>05/21/2025 15:30:18</t>
  </si>
  <si>
    <t>T141</t>
  </si>
  <si>
    <t>05/21/2025 15:45:18</t>
  </si>
  <si>
    <t>T142</t>
  </si>
  <si>
    <t>05/21/2025 15:58:18</t>
  </si>
  <si>
    <t>T143</t>
  </si>
  <si>
    <t>05/21/2025 16:09:18</t>
  </si>
  <si>
    <t>T144</t>
  </si>
  <si>
    <t>05/21/2025 16:24:18</t>
  </si>
  <si>
    <t>T145</t>
  </si>
  <si>
    <t>05/21/2025 16:35:18</t>
  </si>
  <si>
    <t>T146</t>
  </si>
  <si>
    <t>05/21/2025 16:49:18</t>
  </si>
  <si>
    <t>T147</t>
  </si>
  <si>
    <t>05/21/2025 17:02:18</t>
  </si>
  <si>
    <t>T148</t>
  </si>
  <si>
    <t>05/21/2025 17:15:18</t>
  </si>
  <si>
    <t>T149</t>
  </si>
  <si>
    <t>05/21/2025 17:29:18</t>
  </si>
  <si>
    <t>T150</t>
  </si>
  <si>
    <t>05/21/2025 17:42:18</t>
  </si>
  <si>
    <t>T151</t>
  </si>
  <si>
    <t>05/21/2025 17:52:18</t>
  </si>
  <si>
    <t>T152</t>
  </si>
  <si>
    <t>05/22/2025 9:04:18</t>
  </si>
  <si>
    <t>T153</t>
  </si>
  <si>
    <t>05/22/2025 9:16:19</t>
  </si>
  <si>
    <t>T154</t>
  </si>
  <si>
    <t>05/22/2025 9:41:48</t>
  </si>
  <si>
    <t>T155</t>
  </si>
  <si>
    <t>05/22/2025 10:17:38</t>
  </si>
  <si>
    <t>T156</t>
  </si>
  <si>
    <t>05/22/2025 10:39:38</t>
  </si>
  <si>
    <t>T157</t>
  </si>
  <si>
    <t>05/22/2025 10:58:58</t>
  </si>
  <si>
    <t>T158</t>
  </si>
  <si>
    <t>05/22/2025 11:20:20</t>
  </si>
  <si>
    <t>T159</t>
  </si>
  <si>
    <t>05/22/2025 11:30:18</t>
  </si>
  <si>
    <t>T160</t>
  </si>
  <si>
    <t>05/22/2025 11:45:18</t>
  </si>
  <si>
    <t>T161</t>
  </si>
  <si>
    <t>05/22/2025 11:56:18</t>
  </si>
  <si>
    <t>T162</t>
  </si>
  <si>
    <t>05/22/2025 12:10:18</t>
  </si>
  <si>
    <t>T163</t>
  </si>
  <si>
    <t>05/22/2025 12:24:18</t>
  </si>
  <si>
    <t>T164</t>
  </si>
  <si>
    <t>05/22/2025 12:34:18</t>
  </si>
  <si>
    <t>T165</t>
  </si>
  <si>
    <t>05/22/2025 12:47:18</t>
  </si>
  <si>
    <t>T166</t>
  </si>
  <si>
    <t>05/22/2025 12:57:18</t>
  </si>
  <si>
    <t>T167</t>
  </si>
  <si>
    <t>05/22/2025 13:12:18</t>
  </si>
  <si>
    <t>T168</t>
  </si>
  <si>
    <t>05/22/2025 13:25:18</t>
  </si>
  <si>
    <t>T169</t>
  </si>
  <si>
    <t>05/22/2025 13:38:18</t>
  </si>
  <si>
    <t>T170</t>
  </si>
  <si>
    <t>05/22/2025 13:52:18</t>
  </si>
  <si>
    <t>T171</t>
  </si>
  <si>
    <t>05/22/2025 14:06:18</t>
  </si>
  <si>
    <t>T172</t>
  </si>
  <si>
    <t>05/22/2025 14:16:18</t>
  </si>
  <si>
    <t>T173</t>
  </si>
  <si>
    <t>05/22/2025 14:27:18</t>
  </si>
  <si>
    <t>T174</t>
  </si>
  <si>
    <t>05/22/2025 14:42:18</t>
  </si>
  <si>
    <t>T175</t>
  </si>
  <si>
    <t>05/22/2025 14:53:18</t>
  </si>
  <si>
    <t>T176</t>
  </si>
  <si>
    <t>05/22/2025 15:06:18</t>
  </si>
  <si>
    <t>T177</t>
  </si>
  <si>
    <t>05/22/2025 15:18:18</t>
  </si>
  <si>
    <t>T178</t>
  </si>
  <si>
    <t>05/22/2025 15:30:18</t>
  </si>
  <si>
    <t>T179</t>
  </si>
  <si>
    <t>05/22/2025 15:45:18</t>
  </si>
  <si>
    <t>T180</t>
  </si>
  <si>
    <t>05/22/2025 15:58:18</t>
  </si>
  <si>
    <t>T181</t>
  </si>
  <si>
    <t>05/22/2025 16:09:18</t>
  </si>
  <si>
    <t>T182</t>
  </si>
  <si>
    <t>05/22/2025 16:24:18</t>
  </si>
  <si>
    <t>T183</t>
  </si>
  <si>
    <t>05/22/2025 16:35:18</t>
  </si>
  <si>
    <t>T184</t>
  </si>
  <si>
    <t>05/22/2025 16:49:18</t>
  </si>
  <si>
    <t>T185</t>
  </si>
  <si>
    <t>05/22/2025 17:02:18</t>
  </si>
  <si>
    <t>T186</t>
  </si>
  <si>
    <t>05/22/2025 17:15:18</t>
  </si>
  <si>
    <t>T187</t>
  </si>
  <si>
    <t>05/22/2025 17:29:18</t>
  </si>
  <si>
    <t>T188</t>
  </si>
  <si>
    <t>05/22/2025 17:42:18</t>
  </si>
  <si>
    <t>T189</t>
  </si>
  <si>
    <t>05/22/2025 17:52:18</t>
  </si>
  <si>
    <t>T190</t>
  </si>
  <si>
    <t>05/23/2025 9:04:18</t>
  </si>
  <si>
    <t>T191</t>
  </si>
  <si>
    <t>05/23/2025 9:16:19</t>
  </si>
  <si>
    <t>T192</t>
  </si>
  <si>
    <t>05/23/2025 9:41:48</t>
  </si>
  <si>
    <t>T193</t>
  </si>
  <si>
    <t>05/23/2025 10:17:38</t>
  </si>
  <si>
    <t>T194</t>
  </si>
  <si>
    <t>05/23/2025 10:39:38</t>
  </si>
  <si>
    <t>T195</t>
  </si>
  <si>
    <t>05/23/2025 10:58:58</t>
  </si>
  <si>
    <t>T196</t>
  </si>
  <si>
    <t>05/23/2025 11:20:20</t>
  </si>
  <si>
    <t>T197</t>
  </si>
  <si>
    <t>05/23/2025 11:30:18</t>
  </si>
  <si>
    <t>T198</t>
  </si>
  <si>
    <t>05/23/2025 11:45:18</t>
  </si>
  <si>
    <t>T199</t>
  </si>
  <si>
    <t>05/23/2025 11:56:18</t>
  </si>
  <si>
    <t>T200</t>
  </si>
  <si>
    <t>05/23/2025 12:10:18</t>
  </si>
  <si>
    <t>T201</t>
  </si>
  <si>
    <t>05/23/2025 12:24:18</t>
  </si>
  <si>
    <t>T202</t>
  </si>
  <si>
    <t>05/23/2025 12:34:18</t>
  </si>
  <si>
    <t>T203</t>
  </si>
  <si>
    <t>05/23/2025 12:47:18</t>
  </si>
  <si>
    <t>T204</t>
  </si>
  <si>
    <t>05/23/2025 12:57:18</t>
  </si>
  <si>
    <t>T205</t>
  </si>
  <si>
    <t>05/23/2025 13:12:18</t>
  </si>
  <si>
    <t>T206</t>
  </si>
  <si>
    <t>05/23/2025 13:25:18</t>
  </si>
  <si>
    <t>T207</t>
  </si>
  <si>
    <t>05/23/2025 13:38:18</t>
  </si>
  <si>
    <t>T208</t>
  </si>
  <si>
    <t>05/23/2025 13:52:18</t>
  </si>
  <si>
    <t>T209</t>
  </si>
  <si>
    <t>05/23/2025 14:06:18</t>
  </si>
  <si>
    <t>T210</t>
  </si>
  <si>
    <t>05/23/2025 14:16:18</t>
  </si>
  <si>
    <t>T211</t>
  </si>
  <si>
    <t>05/23/2025 14:27:18</t>
  </si>
  <si>
    <t>T212</t>
  </si>
  <si>
    <t>05/23/2025 14:42:18</t>
  </si>
  <si>
    <t>T213</t>
  </si>
  <si>
    <t>05/23/2025 14:53:18</t>
  </si>
  <si>
    <t>T214</t>
  </si>
  <si>
    <t>05/23/2025 15:06:18</t>
  </si>
  <si>
    <t>T215</t>
  </si>
  <si>
    <t>05/23/2025 15:18:18</t>
  </si>
  <si>
    <t>T216</t>
  </si>
  <si>
    <t>05/23/2025 15:30:18</t>
  </si>
  <si>
    <t>T217</t>
  </si>
  <si>
    <t>05/23/2025 15:45:18</t>
  </si>
  <si>
    <t>T218</t>
  </si>
  <si>
    <t>05/23/2025 15:58:18</t>
  </si>
  <si>
    <t>T219</t>
  </si>
  <si>
    <t>05/23/2025 16:09:18</t>
  </si>
  <si>
    <t>T220</t>
  </si>
  <si>
    <t>05/23/2025 16:24:18</t>
  </si>
  <si>
    <t>T221</t>
  </si>
  <si>
    <t>05/23/2025 16:35:18</t>
  </si>
  <si>
    <t>T222</t>
  </si>
  <si>
    <t>05/23/2025 16:49:18</t>
  </si>
  <si>
    <t>T223</t>
  </si>
  <si>
    <t>05/23/2025 17:02:18</t>
  </si>
  <si>
    <t>T224</t>
  </si>
  <si>
    <t>05/23/2025 17:15:18</t>
  </si>
  <si>
    <t>T225</t>
  </si>
  <si>
    <t>05/23/2025 17:29:18</t>
  </si>
  <si>
    <t>T226</t>
  </si>
  <si>
    <t>05/23/2025 17:42:18</t>
  </si>
  <si>
    <t>T227</t>
  </si>
  <si>
    <t>05/23/2025 17:52:18</t>
  </si>
  <si>
    <t>T228</t>
  </si>
  <si>
    <t>05/24/2025 9:04:18</t>
  </si>
  <si>
    <t>T229</t>
  </si>
  <si>
    <t>05/24/2025 9:16:19</t>
  </si>
  <si>
    <t>T230</t>
  </si>
  <si>
    <t>05/24/2025 9:41:48</t>
  </si>
  <si>
    <t>T231</t>
  </si>
  <si>
    <t>05/24/2025 10:17:38</t>
  </si>
  <si>
    <t>T232</t>
  </si>
  <si>
    <t>05/24/2025 10:39:38</t>
  </si>
  <si>
    <t>T233</t>
  </si>
  <si>
    <t>05/24/2025 10:58:58</t>
  </si>
  <si>
    <t>T234</t>
  </si>
  <si>
    <t>05/24/2025 11:20:20</t>
  </si>
  <si>
    <t>T235</t>
  </si>
  <si>
    <t>05/24/2025 11:30:18</t>
  </si>
  <si>
    <t>T236</t>
  </si>
  <si>
    <t>05/24/2025 11:45:18</t>
  </si>
  <si>
    <t>T237</t>
  </si>
  <si>
    <t>05/24/2025 11:56:18</t>
  </si>
  <si>
    <t>T238</t>
  </si>
  <si>
    <t>05/24/2025 12:10:18</t>
  </si>
  <si>
    <t>T239</t>
  </si>
  <si>
    <t>05/24/2025 12:24:18</t>
  </si>
  <si>
    <t>T240</t>
  </si>
  <si>
    <t>05/24/2025 12:34:18</t>
  </si>
  <si>
    <t>T241</t>
  </si>
  <si>
    <t>05/24/2025 12:47:18</t>
  </si>
  <si>
    <t>T242</t>
  </si>
  <si>
    <t>05/24/2025 12:57:18</t>
  </si>
  <si>
    <t>T243</t>
  </si>
  <si>
    <t>05/24/2025 13:12:18</t>
  </si>
  <si>
    <t>T244</t>
  </si>
  <si>
    <t>05/24/2025 13:25:18</t>
  </si>
  <si>
    <t>T245</t>
  </si>
  <si>
    <t>05/24/2025 13:38:18</t>
  </si>
  <si>
    <t>T246</t>
  </si>
  <si>
    <t>05/24/2025 13:52:18</t>
  </si>
  <si>
    <t>T247</t>
  </si>
  <si>
    <t>05/24/2025 14:06:18</t>
  </si>
  <si>
    <t>T248</t>
  </si>
  <si>
    <t>05/24/2025 14:16:18</t>
  </si>
  <si>
    <t>T249</t>
  </si>
  <si>
    <t>05/24/2025 14:27:18</t>
  </si>
  <si>
    <t>T250</t>
  </si>
  <si>
    <t>05/24/2025 14:42:18</t>
  </si>
  <si>
    <t>T251</t>
  </si>
  <si>
    <t>05/24/2025 14:53:18</t>
  </si>
  <si>
    <t>T252</t>
  </si>
  <si>
    <t>05/24/2025 15:06:18</t>
  </si>
  <si>
    <t>T253</t>
  </si>
  <si>
    <t>05/24/2025 15:18:18</t>
  </si>
  <si>
    <t>T254</t>
  </si>
  <si>
    <t>05/24/2025 15:30:18</t>
  </si>
  <si>
    <t>T255</t>
  </si>
  <si>
    <t>05/24/2025 15:45:18</t>
  </si>
  <si>
    <t>T256</t>
  </si>
  <si>
    <t>05/24/2025 15:58:18</t>
  </si>
  <si>
    <t>T257</t>
  </si>
  <si>
    <t>05/24/2025 16:09:18</t>
  </si>
  <si>
    <t>T258</t>
  </si>
  <si>
    <t>05/24/2025 16:24:18</t>
  </si>
  <si>
    <t>T259</t>
  </si>
  <si>
    <t>05/24/2025 16:35:18</t>
  </si>
  <si>
    <t>T260</t>
  </si>
  <si>
    <t>05/24/2025 16:49:18</t>
  </si>
  <si>
    <t>T261</t>
  </si>
  <si>
    <t>05/24/2025 17:02:18</t>
  </si>
  <si>
    <t>T262</t>
  </si>
  <si>
    <t>05/24/2025 17:15:18</t>
  </si>
  <si>
    <t>T263</t>
  </si>
  <si>
    <t>05/24/2025 17:29:18</t>
  </si>
  <si>
    <t>T264</t>
  </si>
  <si>
    <t>05/24/2025 17:42:18</t>
  </si>
  <si>
    <t>T265</t>
  </si>
  <si>
    <t>05/24/2025 17:52:18</t>
  </si>
  <si>
    <t>T266</t>
  </si>
  <si>
    <t>Remaining Quantity</t>
  </si>
  <si>
    <t>Refill?</t>
  </si>
  <si>
    <t>Total Products Count Status</t>
  </si>
  <si>
    <t>Transactions</t>
  </si>
  <si>
    <t>Time</t>
  </si>
  <si>
    <t>Cost</t>
  </si>
  <si>
    <t>SUM of Quantity</t>
  </si>
  <si>
    <t>SUM of Total Cost</t>
  </si>
  <si>
    <t>P001 Total</t>
  </si>
  <si>
    <t>P004 Total</t>
  </si>
  <si>
    <t>P020 Total</t>
  </si>
  <si>
    <t>05/18/2025 09:04:18 Total</t>
  </si>
  <si>
    <t>T001 Total</t>
  </si>
  <si>
    <t>P002 Total</t>
  </si>
  <si>
    <t>P064 Total</t>
  </si>
  <si>
    <t>P068 Total</t>
  </si>
  <si>
    <t>P076 Total</t>
  </si>
  <si>
    <t>P094 Total</t>
  </si>
  <si>
    <t>05/18/2025 09:16:19 Total</t>
  </si>
  <si>
    <t>T002 Total</t>
  </si>
  <si>
    <t>P014 Total</t>
  </si>
  <si>
    <t>P083 Total</t>
  </si>
  <si>
    <t>05/18/2025 09:41:48 Total</t>
  </si>
  <si>
    <t>T003 Total</t>
  </si>
  <si>
    <t>P031 Total</t>
  </si>
  <si>
    <t>P033 Total</t>
  </si>
  <si>
    <t>P047 Total</t>
  </si>
  <si>
    <t>05/18/2025 10:17:38 Total</t>
  </si>
  <si>
    <t>T004 Total</t>
  </si>
  <si>
    <t>P007 Total</t>
  </si>
  <si>
    <t>P049 Total</t>
  </si>
  <si>
    <t>P069 Total</t>
  </si>
  <si>
    <t>P073 Total</t>
  </si>
  <si>
    <t>P079 Total</t>
  </si>
  <si>
    <t>P099 Total</t>
  </si>
  <si>
    <t>05/18/2025 10:39:38 Total</t>
  </si>
  <si>
    <t>T005 Total</t>
  </si>
  <si>
    <t>P008 Total</t>
  </si>
  <si>
    <t>P018 Total</t>
  </si>
  <si>
    <t>P085 Total</t>
  </si>
  <si>
    <t>P092 Total</t>
  </si>
  <si>
    <t>05/18/2025 10:58:58 Total</t>
  </si>
  <si>
    <t>T006 Total</t>
  </si>
  <si>
    <t>P003 Total</t>
  </si>
  <si>
    <t>P025 Total</t>
  </si>
  <si>
    <t>P036 Total</t>
  </si>
  <si>
    <t>05/18/2025 11:20:20 Total</t>
  </si>
  <si>
    <t>T007 Total</t>
  </si>
  <si>
    <t>P006 Total</t>
  </si>
  <si>
    <t>P009 Total</t>
  </si>
  <si>
    <t>P048 Total</t>
  </si>
  <si>
    <t>P061 Total</t>
  </si>
  <si>
    <t>05/18/2025 11:30:18 Total</t>
  </si>
  <si>
    <t>T008 Total</t>
  </si>
  <si>
    <t>P065 Total</t>
  </si>
  <si>
    <t>P074 Total</t>
  </si>
  <si>
    <t>P090 Total</t>
  </si>
  <si>
    <t>05/18/2025 11:45:18 Total</t>
  </si>
  <si>
    <t>T009 Total</t>
  </si>
  <si>
    <t>P005 Total</t>
  </si>
  <si>
    <t>05/18/2025 11:56:18 Total</t>
  </si>
  <si>
    <t>T010 Total</t>
  </si>
  <si>
    <t>P011 Total</t>
  </si>
  <si>
    <t>P091 Total</t>
  </si>
  <si>
    <t>05/18/2025 12:10:18 Total</t>
  </si>
  <si>
    <t>T011 Total</t>
  </si>
  <si>
    <t>P037 Total</t>
  </si>
  <si>
    <t>P046 Total</t>
  </si>
  <si>
    <t>P098 Total</t>
  </si>
  <si>
    <t>05/18/2025 12:24:18 Total</t>
  </si>
  <si>
    <t>T012 Total</t>
  </si>
  <si>
    <t>P040 Total</t>
  </si>
  <si>
    <t>P042 Total</t>
  </si>
  <si>
    <t>P054 Total</t>
  </si>
  <si>
    <t>05/18/2025 12:34:18 Total</t>
  </si>
  <si>
    <t>T013 Total</t>
  </si>
  <si>
    <t>P015 Total</t>
  </si>
  <si>
    <t>P058 Total</t>
  </si>
  <si>
    <t>05/18/2025 12:47:18 Total</t>
  </si>
  <si>
    <t>T014 Total</t>
  </si>
  <si>
    <t>P044 Total</t>
  </si>
  <si>
    <t>P051 Total</t>
  </si>
  <si>
    <t>P071 Total</t>
  </si>
  <si>
    <t>05/18/2025 12:57:18 Total</t>
  </si>
  <si>
    <t>T015 Total</t>
  </si>
  <si>
    <t>05/18/2025 13:12:18 Total</t>
  </si>
  <si>
    <t>T016 Total</t>
  </si>
  <si>
    <t>P038 Total</t>
  </si>
  <si>
    <t>P082 Total</t>
  </si>
  <si>
    <t>P097 Total</t>
  </si>
  <si>
    <t>05/18/2025 13:25:18 Total</t>
  </si>
  <si>
    <t>T017 Total</t>
  </si>
  <si>
    <t>P024 Total</t>
  </si>
  <si>
    <t>P030 Total</t>
  </si>
  <si>
    <t>P050 Total</t>
  </si>
  <si>
    <t>05/18/2025 13:38:18 Total</t>
  </si>
  <si>
    <t>T018 Total</t>
  </si>
  <si>
    <t>P053 Total</t>
  </si>
  <si>
    <t>P080 Total</t>
  </si>
  <si>
    <t>05/18/2025 13:52:18 Total</t>
  </si>
  <si>
    <t>T019 Total</t>
  </si>
  <si>
    <t>P077 Total</t>
  </si>
  <si>
    <t>P086 Total</t>
  </si>
  <si>
    <t>05/18/2025 14:06:18 Total</t>
  </si>
  <si>
    <t>T020 Total</t>
  </si>
  <si>
    <t>P093 Total</t>
  </si>
  <si>
    <t>05/18/2025 14:16:18 Total</t>
  </si>
  <si>
    <t>T021 Total</t>
  </si>
  <si>
    <t>P022 Total</t>
  </si>
  <si>
    <t>P035 Total</t>
  </si>
  <si>
    <t>P039 Total</t>
  </si>
  <si>
    <t>P057 Total</t>
  </si>
  <si>
    <t>05/18/2025 14:27:18 Total</t>
  </si>
  <si>
    <t>T022 Total</t>
  </si>
  <si>
    <t>P052 Total</t>
  </si>
  <si>
    <t>P066 Total</t>
  </si>
  <si>
    <t>P075 Total</t>
  </si>
  <si>
    <t>05/18/2025 14:42:18 Total</t>
  </si>
  <si>
    <t>T023 Total</t>
  </si>
  <si>
    <t>P095 Total</t>
  </si>
  <si>
    <t>05/18/2025 14:53:18 Total</t>
  </si>
  <si>
    <t>T024 Total</t>
  </si>
  <si>
    <t>P021 Total</t>
  </si>
  <si>
    <t>P078 Total</t>
  </si>
  <si>
    <t>05/18/2025 15:06:18 Total</t>
  </si>
  <si>
    <t>T025 Total</t>
  </si>
  <si>
    <t>05/18/2025 15:18:18 Total</t>
  </si>
  <si>
    <t>T026 Total</t>
  </si>
  <si>
    <t>P012 Total</t>
  </si>
  <si>
    <t>05/18/2025 15:30:18 Total</t>
  </si>
  <si>
    <t>T027 Total</t>
  </si>
  <si>
    <t>05/18/2025 15:45:18 Total</t>
  </si>
  <si>
    <t>T028 Total</t>
  </si>
  <si>
    <t>P026 Total</t>
  </si>
  <si>
    <t>05/18/2025 15:58:18 Total</t>
  </si>
  <si>
    <t>T029 Total</t>
  </si>
  <si>
    <t>05/18/2025 16:09:18 Total</t>
  </si>
  <si>
    <t>T030 Total</t>
  </si>
  <si>
    <t>P016 Total</t>
  </si>
  <si>
    <t>P045 Total</t>
  </si>
  <si>
    <t>05/18/2025 16:24:18 Total</t>
  </si>
  <si>
    <t>T031 Total</t>
  </si>
  <si>
    <t>P060 Total</t>
  </si>
  <si>
    <t>05/18/2025 16:35:18 Total</t>
  </si>
  <si>
    <t>T032 Total</t>
  </si>
  <si>
    <t>P084 Total</t>
  </si>
  <si>
    <t>P088 Total</t>
  </si>
  <si>
    <t>05/18/2025 16:49:18 Total</t>
  </si>
  <si>
    <t>T033 Total</t>
  </si>
  <si>
    <t>P096 Total</t>
  </si>
  <si>
    <t>P100 Total</t>
  </si>
  <si>
    <t>05/18/2025 17:02:18 Total</t>
  </si>
  <si>
    <t>T034 Total</t>
  </si>
  <si>
    <t>P043 Total</t>
  </si>
  <si>
    <t>05/18/2025 17:15:18 Total</t>
  </si>
  <si>
    <t>T035 Total</t>
  </si>
  <si>
    <t>05/18/2025 17:29:18 Total</t>
  </si>
  <si>
    <t>T036 Total</t>
  </si>
  <si>
    <t>05/18/2025 17:42:18 Total</t>
  </si>
  <si>
    <t>T037 Total</t>
  </si>
  <si>
    <t>P063 Total</t>
  </si>
  <si>
    <t>05/18/2025 17:52:18 Total</t>
  </si>
  <si>
    <t>T038 Total</t>
  </si>
  <si>
    <t>P010 Total</t>
  </si>
  <si>
    <t>P081 Total</t>
  </si>
  <si>
    <t>P087 Total</t>
  </si>
  <si>
    <t>05/19/2025 9:04:18 Total</t>
  </si>
  <si>
    <t>T039 Total</t>
  </si>
  <si>
    <t>P023 Total</t>
  </si>
  <si>
    <t>05/19/2025 9:16:19 Total</t>
  </si>
  <si>
    <t>T040 Total</t>
  </si>
  <si>
    <t>P062 Total</t>
  </si>
  <si>
    <t>05/19/2025 9:41:48 Total</t>
  </si>
  <si>
    <t>T041 Total</t>
  </si>
  <si>
    <t>05/19/2025 10:17:38 Total</t>
  </si>
  <si>
    <t>T042 Total</t>
  </si>
  <si>
    <t>P056 Total</t>
  </si>
  <si>
    <t>05/19/2025 10:39:38 Total</t>
  </si>
  <si>
    <t>T043 Total</t>
  </si>
  <si>
    <t>P055 Total</t>
  </si>
  <si>
    <t>05/19/2025 10:58:58 Total</t>
  </si>
  <si>
    <t>T044 Total</t>
  </si>
  <si>
    <t>05/19/2025 11:20:20 Total</t>
  </si>
  <si>
    <t>T045 Total</t>
  </si>
  <si>
    <t>05/19/2025 11:30:18 Total</t>
  </si>
  <si>
    <t>T046 Total</t>
  </si>
  <si>
    <t>P027 Total</t>
  </si>
  <si>
    <t>05/19/2025 11:45:18 Total</t>
  </si>
  <si>
    <t>T047 Total</t>
  </si>
  <si>
    <t>05/19/2025 11:56:18 Total</t>
  </si>
  <si>
    <t>T048 Total</t>
  </si>
  <si>
    <t>P067 Total</t>
  </si>
  <si>
    <t>05/19/2025 12:10:18 Total</t>
  </si>
  <si>
    <t>T049 Total</t>
  </si>
  <si>
    <t>P070 Total</t>
  </si>
  <si>
    <t>05/19/2025 12:24:18 Total</t>
  </si>
  <si>
    <t>T050 Total</t>
  </si>
  <si>
    <t>05/19/2025 12:34:18 Total</t>
  </si>
  <si>
    <t>T051 Total</t>
  </si>
  <si>
    <t>05/19/2025 12:47:18 Total</t>
  </si>
  <si>
    <t>T052 Total</t>
  </si>
  <si>
    <t>05/19/2025 12:57:18 Total</t>
  </si>
  <si>
    <t>T053 Total</t>
  </si>
  <si>
    <t>P013 Total</t>
  </si>
  <si>
    <t>P072 Total</t>
  </si>
  <si>
    <t>05/19/2025 13:12:18 Total</t>
  </si>
  <si>
    <t>T054 Total</t>
  </si>
  <si>
    <t>05/19/2025 13:25:18 Total</t>
  </si>
  <si>
    <t>T055 Total</t>
  </si>
  <si>
    <t>05/19/2025 13:38:18 Total</t>
  </si>
  <si>
    <t>T056 Total</t>
  </si>
  <si>
    <t>05/19/2025 13:52:18 Total</t>
  </si>
  <si>
    <t>T057 Total</t>
  </si>
  <si>
    <t>05/19/2025 14:06:18 Total</t>
  </si>
  <si>
    <t>T058 Total</t>
  </si>
  <si>
    <t>P041 Total</t>
  </si>
  <si>
    <t>05/19/2025 14:16:18 Total</t>
  </si>
  <si>
    <t>T059 Total</t>
  </si>
  <si>
    <t>P089 Total</t>
  </si>
  <si>
    <t>05/19/2025 14:27:18 Total</t>
  </si>
  <si>
    <t>T060 Total</t>
  </si>
  <si>
    <t>05/19/2025 14:42:18 Total</t>
  </si>
  <si>
    <t>T061 Total</t>
  </si>
  <si>
    <t>P019 Total</t>
  </si>
  <si>
    <t>05/19/2025 14:53:18 Total</t>
  </si>
  <si>
    <t>T062 Total</t>
  </si>
  <si>
    <t>P034 Total</t>
  </si>
  <si>
    <t>05/19/2025 15:06:18 Total</t>
  </si>
  <si>
    <t>T063 Total</t>
  </si>
  <si>
    <t>05/19/2025 15:18:18 Total</t>
  </si>
  <si>
    <t>T064 Total</t>
  </si>
  <si>
    <t>05/19/2025 15:30:18 Total</t>
  </si>
  <si>
    <t>T065 Total</t>
  </si>
  <si>
    <t>05/19/2025 15:45:18 Total</t>
  </si>
  <si>
    <t>T066 Total</t>
  </si>
  <si>
    <t>P059 Total</t>
  </si>
  <si>
    <t>05/19/2025 15:58:18 Total</t>
  </si>
  <si>
    <t>T067 Total</t>
  </si>
  <si>
    <t>05/19/2025 16:09:18 Total</t>
  </si>
  <si>
    <t>T068 Total</t>
  </si>
  <si>
    <t>05/19/2025 16:24:18 Total</t>
  </si>
  <si>
    <t>T069 Total</t>
  </si>
  <si>
    <t>05/19/2025 16:35:18 Total</t>
  </si>
  <si>
    <t>T070 Total</t>
  </si>
  <si>
    <t>P032 Total</t>
  </si>
  <si>
    <t>05/19/2025 16:49:18 Total</t>
  </si>
  <si>
    <t>T071 Total</t>
  </si>
  <si>
    <t>05/19/2025 17:02:18 Total</t>
  </si>
  <si>
    <t>T072 Total</t>
  </si>
  <si>
    <t>05/19/2025 17:15:18 Total</t>
  </si>
  <si>
    <t>T073 Total</t>
  </si>
  <si>
    <t>05/19/2025 17:29:18 Total</t>
  </si>
  <si>
    <t>T074 Total</t>
  </si>
  <si>
    <t>05/19/2025 17:42:18 Total</t>
  </si>
  <si>
    <t>T075 Total</t>
  </si>
  <si>
    <t>05/19/2025 17:52:18 Total</t>
  </si>
  <si>
    <t>T076 Total</t>
  </si>
  <si>
    <t>05/20/2025 9:04:18 Total</t>
  </si>
  <si>
    <t>T077 Total</t>
  </si>
  <si>
    <t>P017 Total</t>
  </si>
  <si>
    <t>05/20/2025 9:16:19 Total</t>
  </si>
  <si>
    <t>T078 Total</t>
  </si>
  <si>
    <t>05/20/2025 9:41:48 Total</t>
  </si>
  <si>
    <t>T079 Total</t>
  </si>
  <si>
    <t>05/20/2025 10:17:38 Total</t>
  </si>
  <si>
    <t>T080 Total</t>
  </si>
  <si>
    <t>05/20/2025 10:39:38 Total</t>
  </si>
  <si>
    <t>T081 Total</t>
  </si>
  <si>
    <t>05/20/2025 10:58:58 Total</t>
  </si>
  <si>
    <t>T082 Total</t>
  </si>
  <si>
    <t>05/20/2025 11:20:20 Total</t>
  </si>
  <si>
    <t>T083 Total</t>
  </si>
  <si>
    <t>05/20/2025 11:30:18 Total</t>
  </si>
  <si>
    <t>T084 Total</t>
  </si>
  <si>
    <t>05/20/2025 11:45:18 Total</t>
  </si>
  <si>
    <t>T085 Total</t>
  </si>
  <si>
    <t>05/20/2025 11:56:18 Total</t>
  </si>
  <si>
    <t>T086 Total</t>
  </si>
  <si>
    <t>05/20/2025 12:10:18 Total</t>
  </si>
  <si>
    <t>T087 Total</t>
  </si>
  <si>
    <t>05/20/2025 12:24:18 Total</t>
  </si>
  <si>
    <t>T088 Total</t>
  </si>
  <si>
    <t>05/20/2025 12:34:18 Total</t>
  </si>
  <si>
    <t>T089 Total</t>
  </si>
  <si>
    <t>05/20/2025 12:47:18 Total</t>
  </si>
  <si>
    <t>T090 Total</t>
  </si>
  <si>
    <t>05/20/2025 12:57:18 Total</t>
  </si>
  <si>
    <t>T091 Total</t>
  </si>
  <si>
    <t>05/20/2025 13:12:18 Total</t>
  </si>
  <si>
    <t>T092 Total</t>
  </si>
  <si>
    <t>05/20/2025 13:25:18 Total</t>
  </si>
  <si>
    <t>T093 Total</t>
  </si>
  <si>
    <t>05/20/2025 13:38:18 Total</t>
  </si>
  <si>
    <t>T094 Total</t>
  </si>
  <si>
    <t>05/20/2025 13:52:18 Total</t>
  </si>
  <si>
    <t>T095 Total</t>
  </si>
  <si>
    <t>P029 Total</t>
  </si>
  <si>
    <t>05/20/2025 14:06:18 Total</t>
  </si>
  <si>
    <t>T096 Total</t>
  </si>
  <si>
    <t>05/20/2025 14:16:18 Total</t>
  </si>
  <si>
    <t>T097 Total</t>
  </si>
  <si>
    <t>05/20/2025 14:27:18 Total</t>
  </si>
  <si>
    <t>T098 Total</t>
  </si>
  <si>
    <t>05/20/2025 14:42:18 Total</t>
  </si>
  <si>
    <t>T099 Total</t>
  </si>
  <si>
    <t>05/20/2025 14:53:18 Total</t>
  </si>
  <si>
    <t>T100 Total</t>
  </si>
  <si>
    <t>05/20/2025 15:06:18 Total</t>
  </si>
  <si>
    <t>T101 Total</t>
  </si>
  <si>
    <t>05/20/2025 15:18:18 Total</t>
  </si>
  <si>
    <t>T102 Total</t>
  </si>
  <si>
    <t>05/20/2025 15:30:18 Total</t>
  </si>
  <si>
    <t>T103 Total</t>
  </si>
  <si>
    <t>05/20/2025 15:45:18 Total</t>
  </si>
  <si>
    <t>T104 Total</t>
  </si>
  <si>
    <t>P028 Total</t>
  </si>
  <si>
    <t>05/20/2025 15:58:18 Total</t>
  </si>
  <si>
    <t>T105 Total</t>
  </si>
  <si>
    <t>05/20/2025 16:09:18 Total</t>
  </si>
  <si>
    <t>T106 Total</t>
  </si>
  <si>
    <t>05/20/2025 16:24:18 Total</t>
  </si>
  <si>
    <t>T107 Total</t>
  </si>
  <si>
    <t>05/20/2025 16:35:18 Total</t>
  </si>
  <si>
    <t>T108 Total</t>
  </si>
  <si>
    <t>05/20/2025 16:49:18 Total</t>
  </si>
  <si>
    <t>T109 Total</t>
  </si>
  <si>
    <t>05/20/2025 17:02:18 Total</t>
  </si>
  <si>
    <t>T110 Total</t>
  </si>
  <si>
    <t>05/20/2025 17:15:18 Total</t>
  </si>
  <si>
    <t>T111 Total</t>
  </si>
  <si>
    <t>05/20/2025 17:29:18 Total</t>
  </si>
  <si>
    <t>T112 Total</t>
  </si>
  <si>
    <t>05/20/2025 17:42:18 Total</t>
  </si>
  <si>
    <t>T113 Total</t>
  </si>
  <si>
    <t>05/20/2025 17:52:18 Total</t>
  </si>
  <si>
    <t>T114 Total</t>
  </si>
  <si>
    <t>05/21/2025 9:04:18 Total</t>
  </si>
  <si>
    <t>T115 Total</t>
  </si>
  <si>
    <t>05/21/2025 9:16:19 Total</t>
  </si>
  <si>
    <t>T116 Total</t>
  </si>
  <si>
    <t>05/21/2025 9:41:48 Total</t>
  </si>
  <si>
    <t>T117 Total</t>
  </si>
  <si>
    <t>05/21/2025 10:17:38 Total</t>
  </si>
  <si>
    <t>T118 Total</t>
  </si>
  <si>
    <t>05/21/2025 10:39:38 Total</t>
  </si>
  <si>
    <t>T119 Total</t>
  </si>
  <si>
    <t>05/21/2025 10:58:58 Total</t>
  </si>
  <si>
    <t>T120 Total</t>
  </si>
  <si>
    <t>05/21/2025 11:20:20 Total</t>
  </si>
  <si>
    <t>T121 Total</t>
  </si>
  <si>
    <t>05/21/2025 11:30:18 Total</t>
  </si>
  <si>
    <t>T122 Total</t>
  </si>
  <si>
    <t>05/21/2025 11:45:18 Total</t>
  </si>
  <si>
    <t>T123 Total</t>
  </si>
  <si>
    <t>05/21/2025 11:56:18 Total</t>
  </si>
  <si>
    <t>T124 Total</t>
  </si>
  <si>
    <t>05/21/2025 12:10:18 Total</t>
  </si>
  <si>
    <t>T125 Total</t>
  </si>
  <si>
    <t>05/21/2025 12:24:18 Total</t>
  </si>
  <si>
    <t>T126 Total</t>
  </si>
  <si>
    <t>05/21/2025 12:34:18 Total</t>
  </si>
  <si>
    <t>T127 Total</t>
  </si>
  <si>
    <t>05/21/2025 12:47:18 Total</t>
  </si>
  <si>
    <t>T128 Total</t>
  </si>
  <si>
    <t>05/21/2025 12:57:18 Total</t>
  </si>
  <si>
    <t>T129 Total</t>
  </si>
  <si>
    <t>05/21/2025 13:12:18 Total</t>
  </si>
  <si>
    <t>T130 Total</t>
  </si>
  <si>
    <t>05/21/2025 13:25:18 Total</t>
  </si>
  <si>
    <t>T131 Total</t>
  </si>
  <si>
    <t>05/21/2025 13:38:18 Total</t>
  </si>
  <si>
    <t>T132 Total</t>
  </si>
  <si>
    <t>05/21/2025 13:52:18 Total</t>
  </si>
  <si>
    <t>T133 Total</t>
  </si>
  <si>
    <t>05/21/2025 14:06:18 Total</t>
  </si>
  <si>
    <t>T134 Total</t>
  </si>
  <si>
    <t>05/21/2025 14:16:18 Total</t>
  </si>
  <si>
    <t>T135 Total</t>
  </si>
  <si>
    <t>05/21/2025 14:27:18 Total</t>
  </si>
  <si>
    <t>T136 Total</t>
  </si>
  <si>
    <t>05/21/2025 14:42:18 Total</t>
  </si>
  <si>
    <t>T137 Total</t>
  </si>
  <si>
    <t>05/21/2025 14:53:18 Total</t>
  </si>
  <si>
    <t>T138 Total</t>
  </si>
  <si>
    <t>05/21/2025 15:06:18 Total</t>
  </si>
  <si>
    <t>T139 Total</t>
  </si>
  <si>
    <t>05/21/2025 15:18:18 Total</t>
  </si>
  <si>
    <t>T140 Total</t>
  </si>
  <si>
    <t>05/21/2025 15:30:18 Total</t>
  </si>
  <si>
    <t>T141 Total</t>
  </si>
  <si>
    <t>05/21/2025 15:45:18 Total</t>
  </si>
  <si>
    <t>T142 Total</t>
  </si>
  <si>
    <t>05/21/2025 15:58:18 Total</t>
  </si>
  <si>
    <t>T143 Total</t>
  </si>
  <si>
    <t>05/21/2025 16:09:18 Total</t>
  </si>
  <si>
    <t>T144 Total</t>
  </si>
  <si>
    <t>05/21/2025 16:24:18 Total</t>
  </si>
  <si>
    <t>T145 Total</t>
  </si>
  <si>
    <t>05/21/2025 16:35:18 Total</t>
  </si>
  <si>
    <t>T146 Total</t>
  </si>
  <si>
    <t>05/21/2025 16:49:18 Total</t>
  </si>
  <si>
    <t>T147 Total</t>
  </si>
  <si>
    <t>05/21/2025 17:02:18 Total</t>
  </si>
  <si>
    <t>T148 Total</t>
  </si>
  <si>
    <t>05/21/2025 17:15:18 Total</t>
  </si>
  <si>
    <t>T149 Total</t>
  </si>
  <si>
    <t>05/21/2025 17:29:18 Total</t>
  </si>
  <si>
    <t>T150 Total</t>
  </si>
  <si>
    <t>05/21/2025 17:42:18 Total</t>
  </si>
  <si>
    <t>T151 Total</t>
  </si>
  <si>
    <t>05/21/2025 17:52:18 Total</t>
  </si>
  <si>
    <t>T152 Total</t>
  </si>
  <si>
    <t>05/22/2025 9:04:18 Total</t>
  </si>
  <si>
    <t>T153 Total</t>
  </si>
  <si>
    <t>05/22/2025 9:16:19 Total</t>
  </si>
  <si>
    <t>T154 Total</t>
  </si>
  <si>
    <t>05/22/2025 9:41:48 Total</t>
  </si>
  <si>
    <t>T155 Total</t>
  </si>
  <si>
    <t>05/22/2025 10:17:38 Total</t>
  </si>
  <si>
    <t>T156 Total</t>
  </si>
  <si>
    <t>05/22/2025 10:39:38 Total</t>
  </si>
  <si>
    <t>T157 Total</t>
  </si>
  <si>
    <t>05/22/2025 10:58:58 Total</t>
  </si>
  <si>
    <t>T158 Total</t>
  </si>
  <si>
    <t>05/22/2025 11:20:20 Total</t>
  </si>
  <si>
    <t>T159 Total</t>
  </si>
  <si>
    <t>05/22/2025 11:30:18 Total</t>
  </si>
  <si>
    <t>T160 Total</t>
  </si>
  <si>
    <t>05/22/2025 11:45:18 Total</t>
  </si>
  <si>
    <t>T161 Total</t>
  </si>
  <si>
    <t>05/22/2025 11:56:18 Total</t>
  </si>
  <si>
    <t>T162 Total</t>
  </si>
  <si>
    <t>05/22/2025 12:10:18 Total</t>
  </si>
  <si>
    <t>T163 Total</t>
  </si>
  <si>
    <t>05/22/2025 12:24:18 Total</t>
  </si>
  <si>
    <t>T164 Total</t>
  </si>
  <si>
    <t>05/22/2025 12:34:18 Total</t>
  </si>
  <si>
    <t>T165 Total</t>
  </si>
  <si>
    <t>05/22/2025 12:47:18 Total</t>
  </si>
  <si>
    <t>T166 Total</t>
  </si>
  <si>
    <t>05/22/2025 12:57:18 Total</t>
  </si>
  <si>
    <t>T167 Total</t>
  </si>
  <si>
    <t>05/22/2025 13:12:18 Total</t>
  </si>
  <si>
    <t>T168 Total</t>
  </si>
  <si>
    <t>05/22/2025 13:25:18 Total</t>
  </si>
  <si>
    <t>T169 Total</t>
  </si>
  <si>
    <t>05/22/2025 13:38:18 Total</t>
  </si>
  <si>
    <t>T170 Total</t>
  </si>
  <si>
    <t>05/22/2025 13:52:18 Total</t>
  </si>
  <si>
    <t>T171 Total</t>
  </si>
  <si>
    <t>05/22/2025 14:06:18 Total</t>
  </si>
  <si>
    <t>T172 Total</t>
  </si>
  <si>
    <t>05/22/2025 14:16:18 Total</t>
  </si>
  <si>
    <t>T173 Total</t>
  </si>
  <si>
    <t>05/22/2025 14:27:18 Total</t>
  </si>
  <si>
    <t>T174 Total</t>
  </si>
  <si>
    <t>05/22/2025 14:42:18 Total</t>
  </si>
  <si>
    <t>T175 Total</t>
  </si>
  <si>
    <t>05/22/2025 14:53:18 Total</t>
  </si>
  <si>
    <t>T176 Total</t>
  </si>
  <si>
    <t>05/22/2025 15:06:18 Total</t>
  </si>
  <si>
    <t>T177 Total</t>
  </si>
  <si>
    <t>05/22/2025 15:18:18 Total</t>
  </si>
  <si>
    <t>T178 Total</t>
  </si>
  <si>
    <t>05/22/2025 15:30:18 Total</t>
  </si>
  <si>
    <t>T179 Total</t>
  </si>
  <si>
    <t>05/22/2025 15:45:18 Total</t>
  </si>
  <si>
    <t>T180 Total</t>
  </si>
  <si>
    <t>05/22/2025 15:58:18 Total</t>
  </si>
  <si>
    <t>T181 Total</t>
  </si>
  <si>
    <t>05/22/2025 16:09:18 Total</t>
  </si>
  <si>
    <t>T182 Total</t>
  </si>
  <si>
    <t>05/22/2025 16:24:18 Total</t>
  </si>
  <si>
    <t>T183 Total</t>
  </si>
  <si>
    <t>05/22/2025 16:35:18 Total</t>
  </si>
  <si>
    <t>T184 Total</t>
  </si>
  <si>
    <t>05/22/2025 16:49:18 Total</t>
  </si>
  <si>
    <t>T185 Total</t>
  </si>
  <si>
    <t>05/22/2025 17:02:18 Total</t>
  </si>
  <si>
    <t>T186 Total</t>
  </si>
  <si>
    <t>05/22/2025 17:15:18 Total</t>
  </si>
  <si>
    <t>T187 Total</t>
  </si>
  <si>
    <t>05/22/2025 17:29:18 Total</t>
  </si>
  <si>
    <t>T188 Total</t>
  </si>
  <si>
    <t>05/22/2025 17:42:18 Total</t>
  </si>
  <si>
    <t>T189 Total</t>
  </si>
  <si>
    <t>05/22/2025 17:52:18 Total</t>
  </si>
  <si>
    <t>T190 Total</t>
  </si>
  <si>
    <t>05/23/2025 9:04:18 Total</t>
  </si>
  <si>
    <t>T191 Total</t>
  </si>
  <si>
    <t>05/23/2025 9:16:19 Total</t>
  </si>
  <si>
    <t>T192 Total</t>
  </si>
  <si>
    <t>05/23/2025 9:41:48 Total</t>
  </si>
  <si>
    <t>T193 Total</t>
  </si>
  <si>
    <t>05/23/2025 10:17:38 Total</t>
  </si>
  <si>
    <t>T194 Total</t>
  </si>
  <si>
    <t>05/23/2025 10:39:38 Total</t>
  </si>
  <si>
    <t>T195 Total</t>
  </si>
  <si>
    <t>05/23/2025 10:58:58 Total</t>
  </si>
  <si>
    <t>T196 Total</t>
  </si>
  <si>
    <t>05/23/2025 11:20:20 Total</t>
  </si>
  <si>
    <t>T197 Total</t>
  </si>
  <si>
    <t>05/23/2025 11:30:18 Total</t>
  </si>
  <si>
    <t>T198 Total</t>
  </si>
  <si>
    <t>05/23/2025 11:45:18 Total</t>
  </si>
  <si>
    <t>T199 Total</t>
  </si>
  <si>
    <t>05/23/2025 11:56:18 Total</t>
  </si>
  <si>
    <t>T200 Total</t>
  </si>
  <si>
    <t>05/23/2025 12:10:18 Total</t>
  </si>
  <si>
    <t>T201 Total</t>
  </si>
  <si>
    <t>05/23/2025 12:24:18 Total</t>
  </si>
  <si>
    <t>T202 Total</t>
  </si>
  <si>
    <t>05/23/2025 12:34:18 Total</t>
  </si>
  <si>
    <t>T203 Total</t>
  </si>
  <si>
    <t>05/23/2025 12:47:18 Total</t>
  </si>
  <si>
    <t>T204 Total</t>
  </si>
  <si>
    <t>05/23/2025 12:57:18 Total</t>
  </si>
  <si>
    <t>T205 Total</t>
  </si>
  <si>
    <t>05/23/2025 13:12:18 Total</t>
  </si>
  <si>
    <t>T206 Total</t>
  </si>
  <si>
    <t>05/23/2025 13:25:18 Total</t>
  </si>
  <si>
    <t>T207 Total</t>
  </si>
  <si>
    <t>05/23/2025 13:38:18 Total</t>
  </si>
  <si>
    <t>T208 Total</t>
  </si>
  <si>
    <t>05/23/2025 13:52:18 Total</t>
  </si>
  <si>
    <t>T209 Total</t>
  </si>
  <si>
    <t>05/23/2025 14:06:18 Total</t>
  </si>
  <si>
    <t>T210 Total</t>
  </si>
  <si>
    <t>05/23/2025 14:16:18 Total</t>
  </si>
  <si>
    <t>T211 Total</t>
  </si>
  <si>
    <t>05/23/2025 14:27:18 Total</t>
  </si>
  <si>
    <t>T212 Total</t>
  </si>
  <si>
    <t>05/23/2025 14:42:18 Total</t>
  </si>
  <si>
    <t>T213 Total</t>
  </si>
  <si>
    <t>05/23/2025 14:53:18 Total</t>
  </si>
  <si>
    <t>T214 Total</t>
  </si>
  <si>
    <t>05/23/2025 15:06:18 Total</t>
  </si>
  <si>
    <t>T215 Total</t>
  </si>
  <si>
    <t>05/23/2025 15:18:18 Total</t>
  </si>
  <si>
    <t>T216 Total</t>
  </si>
  <si>
    <t>05/23/2025 15:30:18 Total</t>
  </si>
  <si>
    <t>T217 Total</t>
  </si>
  <si>
    <t>05/23/2025 15:45:18 Total</t>
  </si>
  <si>
    <t>T218 Total</t>
  </si>
  <si>
    <t>05/23/2025 15:58:18 Total</t>
  </si>
  <si>
    <t>T219 Total</t>
  </si>
  <si>
    <t>05/23/2025 16:09:18 Total</t>
  </si>
  <si>
    <t>T220 Total</t>
  </si>
  <si>
    <t>05/23/2025 16:24:18 Total</t>
  </si>
  <si>
    <t>T221 Total</t>
  </si>
  <si>
    <t>05/23/2025 16:35:18 Total</t>
  </si>
  <si>
    <t>T222 Total</t>
  </si>
  <si>
    <t>05/23/2025 16:49:18 Total</t>
  </si>
  <si>
    <t>T223 Total</t>
  </si>
  <si>
    <t>05/23/2025 17:02:18 Total</t>
  </si>
  <si>
    <t>T224 Total</t>
  </si>
  <si>
    <t>05/23/2025 17:15:18 Total</t>
  </si>
  <si>
    <t>T225 Total</t>
  </si>
  <si>
    <t>05/23/2025 17:29:18 Total</t>
  </si>
  <si>
    <t>T226 Total</t>
  </si>
  <si>
    <t>05/23/2025 17:42:18 Total</t>
  </si>
  <si>
    <t>T227 Total</t>
  </si>
  <si>
    <t>05/23/2025 17:52:18 Total</t>
  </si>
  <si>
    <t>T228 Total</t>
  </si>
  <si>
    <t>05/24/2025 9:04:18 Total</t>
  </si>
  <si>
    <t>T229 Total</t>
  </si>
  <si>
    <t>05/24/2025 9:16:19 Total</t>
  </si>
  <si>
    <t>T230 Total</t>
  </si>
  <si>
    <t>05/24/2025 9:41:48 Total</t>
  </si>
  <si>
    <t>T231 Total</t>
  </si>
  <si>
    <t>05/24/2025 10:17:38 Total</t>
  </si>
  <si>
    <t>T232 Total</t>
  </si>
  <si>
    <t>05/24/2025 10:39:38 Total</t>
  </si>
  <si>
    <t>T233 Total</t>
  </si>
  <si>
    <t>05/24/2025 10:58:58 Total</t>
  </si>
  <si>
    <t>T234 Total</t>
  </si>
  <si>
    <t>05/24/2025 11:20:20 Total</t>
  </si>
  <si>
    <t>T235 Total</t>
  </si>
  <si>
    <t>05/24/2025 11:30:18 Total</t>
  </si>
  <si>
    <t>T236 Total</t>
  </si>
  <si>
    <t>05/24/2025 11:45:18 Total</t>
  </si>
  <si>
    <t>T237 Total</t>
  </si>
  <si>
    <t>05/24/2025 11:56:18 Total</t>
  </si>
  <si>
    <t>T238 Total</t>
  </si>
  <si>
    <t>05/24/2025 12:10:18 Total</t>
  </si>
  <si>
    <t>T239 Total</t>
  </si>
  <si>
    <t>05/24/2025 12:24:18 Total</t>
  </si>
  <si>
    <t>T240 Total</t>
  </si>
  <si>
    <t>05/24/2025 12:34:18 Total</t>
  </si>
  <si>
    <t>T241 Total</t>
  </si>
  <si>
    <t>05/24/2025 12:47:18 Total</t>
  </si>
  <si>
    <t>T242 Total</t>
  </si>
  <si>
    <t>05/24/2025 12:57:18 Total</t>
  </si>
  <si>
    <t>T243 Total</t>
  </si>
  <si>
    <t>05/24/2025 13:12:18 Total</t>
  </si>
  <si>
    <t>T244 Total</t>
  </si>
  <si>
    <t>05/24/2025 13:25:18 Total</t>
  </si>
  <si>
    <t>T245 Total</t>
  </si>
  <si>
    <t>05/24/2025 13:38:18 Total</t>
  </si>
  <si>
    <t>T246 Total</t>
  </si>
  <si>
    <t>05/24/2025 13:52:18 Total</t>
  </si>
  <si>
    <t>T247 Total</t>
  </si>
  <si>
    <t>05/24/2025 14:06:18 Total</t>
  </si>
  <si>
    <t>T248 Total</t>
  </si>
  <si>
    <t>05/24/2025 14:16:18 Total</t>
  </si>
  <si>
    <t>T249 Total</t>
  </si>
  <si>
    <t>05/24/2025 14:27:18 Total</t>
  </si>
  <si>
    <t>T250 Total</t>
  </si>
  <si>
    <t>05/24/2025 14:42:18 Total</t>
  </si>
  <si>
    <t>T251 Total</t>
  </si>
  <si>
    <t>05/24/2025 14:53:18 Total</t>
  </si>
  <si>
    <t>T252 Total</t>
  </si>
  <si>
    <t>05/24/2025 15:06:18 Total</t>
  </si>
  <si>
    <t>T253 Total</t>
  </si>
  <si>
    <t>05/24/2025 15:18:18 Total</t>
  </si>
  <si>
    <t>T254 Total</t>
  </si>
  <si>
    <t>05/24/2025 15:30:18 Total</t>
  </si>
  <si>
    <t>T255 Total</t>
  </si>
  <si>
    <t>05/24/2025 15:45:18 Total</t>
  </si>
  <si>
    <t>T256 Total</t>
  </si>
  <si>
    <t>05/24/2025 15:58:18 Total</t>
  </si>
  <si>
    <t>T257 Total</t>
  </si>
  <si>
    <t>05/24/2025 16:09:18 Total</t>
  </si>
  <si>
    <t>T258 Total</t>
  </si>
  <si>
    <t>05/24/2025 16:24:18 Total</t>
  </si>
  <si>
    <t>T259 Total</t>
  </si>
  <si>
    <t>05/24/2025 16:35:18 Total</t>
  </si>
  <si>
    <t>T260 Total</t>
  </si>
  <si>
    <t>05/24/2025 16:49:18 Total</t>
  </si>
  <si>
    <t>T261 Total</t>
  </si>
  <si>
    <t>05/24/2025 17:02:18 Total</t>
  </si>
  <si>
    <t>T262 Total</t>
  </si>
  <si>
    <t>05/24/2025 17:15:18 Total</t>
  </si>
  <si>
    <t>T263 Total</t>
  </si>
  <si>
    <t>05/24/2025 17:29:18 Total</t>
  </si>
  <si>
    <t>T264 Total</t>
  </si>
  <si>
    <t>05/24/2025 17:42:18 Total</t>
  </si>
  <si>
    <t>T265 Total</t>
  </si>
  <si>
    <t>05/24/2025 17:52:18 Total</t>
  </si>
  <si>
    <t>T266 Total</t>
  </si>
  <si>
    <t>Grand Total</t>
  </si>
  <si>
    <t>P</t>
  </si>
  <si>
    <t>Rice 1kg - ₹60</t>
  </si>
  <si>
    <t>09:28:20</t>
  </si>
  <si>
    <t>Dal (Lentils) 1kg - ₹100</t>
  </si>
  <si>
    <t>09:31:35</t>
  </si>
  <si>
    <t>Sugar 1kg - ₹45</t>
  </si>
  <si>
    <t>09:43:27</t>
  </si>
  <si>
    <t>Aata (Wheat Flour) 1kg - ₹40</t>
  </si>
  <si>
    <t>09:44:40</t>
  </si>
  <si>
    <t>Turmeric 100g - ₹200</t>
  </si>
  <si>
    <t>09:48:18</t>
  </si>
  <si>
    <t>Coffee 100g - ₹250</t>
  </si>
  <si>
    <t>09:49:41</t>
  </si>
  <si>
    <t>Tea 250g - ₹155</t>
  </si>
  <si>
    <t>09:50:06</t>
  </si>
  <si>
    <t>Dry Fruits Mix 1kg - ₹850</t>
  </si>
  <si>
    <t>09:53:09</t>
  </si>
  <si>
    <t>Green Peas 1kg - ₹120</t>
  </si>
  <si>
    <t>10:20:44</t>
  </si>
  <si>
    <t>Salt 1kg - ₹20</t>
  </si>
  <si>
    <t>10:22:55</t>
  </si>
  <si>
    <t>Milk 1 litre - ₹60</t>
  </si>
  <si>
    <t>10:23:35</t>
  </si>
  <si>
    <t>Bread 500g - ₹40</t>
  </si>
  <si>
    <t>10:35:53</t>
  </si>
  <si>
    <t>Butter 500g - ₹250</t>
  </si>
  <si>
    <t>10:39:48</t>
  </si>
  <si>
    <t>Cheese 200g - ₹150</t>
  </si>
  <si>
    <t>10:57:00</t>
  </si>
  <si>
    <t>Eggs 12 pcs - ₹80</t>
  </si>
  <si>
    <t>11:04:20</t>
  </si>
  <si>
    <t>Chicken 1kg - ₹250</t>
  </si>
  <si>
    <t>11:30:54</t>
  </si>
  <si>
    <t>Fish 1kg - ₹300</t>
  </si>
  <si>
    <t>11:33:57</t>
  </si>
  <si>
    <t>Apples 1kg - ₹200</t>
  </si>
  <si>
    <t>11:37:13</t>
  </si>
  <si>
    <t>Bananas 1 dozen - ₹60</t>
  </si>
  <si>
    <t>11:39:24</t>
  </si>
  <si>
    <t>Oranges 1kg - ₹100</t>
  </si>
  <si>
    <t>11:46:25</t>
  </si>
  <si>
    <t>Potatoes 1kg - ₹30</t>
  </si>
  <si>
    <t>12:16:33</t>
  </si>
  <si>
    <t>Onions 1kg - ₹40</t>
  </si>
  <si>
    <t>12:20:07</t>
  </si>
  <si>
    <t>Tomatoes 1kg - ₹50</t>
  </si>
  <si>
    <t>12:29:29</t>
  </si>
  <si>
    <t>Green Chillies 250g - ₹20</t>
  </si>
  <si>
    <t>12:29:50</t>
  </si>
  <si>
    <t>Garlic 250g - ₹50</t>
  </si>
  <si>
    <t>12:31:05</t>
  </si>
  <si>
    <t>Ginger 250g - ₹40</t>
  </si>
  <si>
    <t>12:45:44</t>
  </si>
  <si>
    <t>Biscuits 1 pack - ₹30</t>
  </si>
  <si>
    <t>13:00:32</t>
  </si>
  <si>
    <t>Chocolates 1 bar - ₹100</t>
  </si>
  <si>
    <t>13:00:53</t>
  </si>
  <si>
    <t>Cold Drink 1 litre - ₹100</t>
  </si>
  <si>
    <t>13:06:00</t>
  </si>
  <si>
    <t>Ice Cream 1 litre - ₹300</t>
  </si>
  <si>
    <t>13:06:43</t>
  </si>
  <si>
    <t>Shampoo 1 bottle - ₹200</t>
  </si>
  <si>
    <t>13:07:03</t>
  </si>
  <si>
    <t>Soap 1 bar - ₹40</t>
  </si>
  <si>
    <t>13:10:12</t>
  </si>
  <si>
    <t>Toothpaste 1 tube - ₹80</t>
  </si>
  <si>
    <t>13:10:40</t>
  </si>
  <si>
    <t>Detergent Powder 1kg - ₹150</t>
  </si>
  <si>
    <t>13:14:18</t>
  </si>
  <si>
    <t>Dishwashing Liquid 500ml - ₹100</t>
  </si>
  <si>
    <t>13:22:43</t>
  </si>
  <si>
    <t>Floor Cleaner 1 litre - ₹150</t>
  </si>
  <si>
    <t>13:51:03</t>
  </si>
  <si>
    <t>Toilet Cleaner 1 litre - ₹120</t>
  </si>
  <si>
    <t>14:01:33</t>
  </si>
  <si>
    <t>Mosquito Repellent 1 pack - ₹90</t>
  </si>
  <si>
    <t>14:08:03</t>
  </si>
  <si>
    <t>Tissue Roll 1 pack - ₹60</t>
  </si>
  <si>
    <t>T267</t>
  </si>
  <si>
    <t>14:34:19</t>
  </si>
  <si>
    <t>Cooking Oil 1 litre - ₹120</t>
  </si>
  <si>
    <t>T268</t>
  </si>
  <si>
    <t>14:38:00</t>
  </si>
  <si>
    <t>Mustard Seeds 100g - ₹30</t>
  </si>
  <si>
    <t>T269</t>
  </si>
  <si>
    <t>14:49:21</t>
  </si>
  <si>
    <t>Cumin Seeds 100g - ₹40</t>
  </si>
  <si>
    <t>T270</t>
  </si>
  <si>
    <t>14:53:39</t>
  </si>
  <si>
    <t>Coriander Powder 100g - ₹50</t>
  </si>
  <si>
    <t>T271</t>
  </si>
  <si>
    <t>15:42:54</t>
  </si>
  <si>
    <t>Chili Powder 100g - ₹60</t>
  </si>
  <si>
    <t>T272</t>
  </si>
  <si>
    <t>15:47:51</t>
  </si>
  <si>
    <t>Vinegar 500ml - ₹90</t>
  </si>
  <si>
    <t>T273</t>
  </si>
  <si>
    <t>16:00:19</t>
  </si>
  <si>
    <t>Soy Sauce 500ml - ₹120</t>
  </si>
  <si>
    <t>T274</t>
  </si>
  <si>
    <t>16:16:50</t>
  </si>
  <si>
    <t>Pasta 500g - ₹150</t>
  </si>
  <si>
    <t>T275</t>
  </si>
  <si>
    <t>16:28:09</t>
  </si>
  <si>
    <t>Noodles 500g - ₹100</t>
  </si>
  <si>
    <t>T276</t>
  </si>
  <si>
    <t>16:39:58</t>
  </si>
  <si>
    <t>Oats 1kg - ₹250</t>
  </si>
  <si>
    <t>T277</t>
  </si>
  <si>
    <t>16:46:04</t>
  </si>
  <si>
    <t>Cornflakes 500g - ₹200</t>
  </si>
  <si>
    <t>T278</t>
  </si>
  <si>
    <t>17:16:56</t>
  </si>
  <si>
    <t>Honey 500g - ₹300</t>
  </si>
  <si>
    <t>T279</t>
  </si>
  <si>
    <t>17:19:17</t>
  </si>
  <si>
    <t>Jam 500g - ₹150</t>
  </si>
  <si>
    <t>T280</t>
  </si>
  <si>
    <t>17:20:29</t>
  </si>
  <si>
    <t>Peanut Butter 500g - ₹250</t>
  </si>
  <si>
    <t>T281</t>
  </si>
  <si>
    <t>17:20:43</t>
  </si>
  <si>
    <t>Cashews 500g - ₹600</t>
  </si>
  <si>
    <t>T282</t>
  </si>
  <si>
    <t>17:22:54</t>
  </si>
  <si>
    <t>Almonds 500g - ₹500</t>
  </si>
  <si>
    <t>T283</t>
  </si>
  <si>
    <t>17:26:43</t>
  </si>
  <si>
    <t>Walnuts 500g - ₹700</t>
  </si>
  <si>
    <t>T284</t>
  </si>
  <si>
    <t>17:26:54</t>
  </si>
  <si>
    <t>Raisins 500g - ₹400</t>
  </si>
  <si>
    <t>T285</t>
  </si>
  <si>
    <t>17:44:47</t>
  </si>
  <si>
    <t>Green Tea 250g - ₹350</t>
  </si>
  <si>
    <t>T286</t>
  </si>
  <si>
    <t>17:48:29</t>
  </si>
  <si>
    <t>Black Tea 250g - ₹300</t>
  </si>
  <si>
    <t>T287</t>
  </si>
  <si>
    <t>17:57:43</t>
  </si>
  <si>
    <t>Lemon 1kg - ₹80</t>
  </si>
  <si>
    <t>T288</t>
  </si>
  <si>
    <t>Grapes 1kg - ₹150</t>
  </si>
  <si>
    <t>T289</t>
  </si>
  <si>
    <t>Mangoes 1kg - ₹250</t>
  </si>
  <si>
    <t>T290</t>
  </si>
  <si>
    <t>Pomegranate 1kg - ₹200</t>
  </si>
  <si>
    <t>T291</t>
  </si>
  <si>
    <t>Coconut 1 piece - ₹40</t>
  </si>
  <si>
    <t>T292</t>
  </si>
  <si>
    <t>Yogurt 500g - ₹80</t>
  </si>
  <si>
    <t>T293</t>
  </si>
  <si>
    <t>Paneer 1kg - ₹400</t>
  </si>
  <si>
    <t>T294</t>
  </si>
  <si>
    <t>Ice Cubes 1 pack - ₹50</t>
  </si>
  <si>
    <t>T295</t>
  </si>
  <si>
    <t>Peanut 1kg - ₹180</t>
  </si>
  <si>
    <t>T296</t>
  </si>
  <si>
    <t>Pickles 500g - ₹150</t>
  </si>
  <si>
    <t>T297</t>
  </si>
  <si>
    <t>Basmati Rice 1kg - ₹120</t>
  </si>
  <si>
    <t>T298</t>
  </si>
  <si>
    <t>Brown Rice 1kg - ₹100</t>
  </si>
  <si>
    <t>T299</t>
  </si>
  <si>
    <t>Quinoa 500g - ₹350</t>
  </si>
  <si>
    <t>T300</t>
  </si>
  <si>
    <t>Baking Soda 500g - ₹50</t>
  </si>
  <si>
    <t>Baking Powder 250g - ₹80</t>
  </si>
  <si>
    <t>Cake Mix 1 box - ₹200</t>
  </si>
  <si>
    <t>Bread Crumbs 500g - ₹90</t>
  </si>
  <si>
    <t>Whipped Cream 500ml - ₹250</t>
  </si>
  <si>
    <t>Butter Paper 1 roll - ₹100</t>
  </si>
  <si>
    <t>Plastic Wrap 1 roll - ₹150</t>
  </si>
  <si>
    <t>Aluminium Foil 1 roll - ₹120</t>
  </si>
  <si>
    <t>Matchsticks 1 pack - ₹20</t>
  </si>
  <si>
    <t>Candles 1 pack - ₹80</t>
  </si>
  <si>
    <t>Batteries 1 pack - ₹250</t>
  </si>
  <si>
    <t>Energy Drink 1 can - ₹100</t>
  </si>
  <si>
    <t>Mineral Water 1 litre - ₹20</t>
  </si>
  <si>
    <t>Coconut Water 1 litre - ₹80</t>
  </si>
  <si>
    <t>Ice Tea 1 litre - ₹120</t>
  </si>
  <si>
    <t>Juice 1 litre - ₹150</t>
  </si>
  <si>
    <t>Sports Drink 1 litre - ₹200</t>
  </si>
  <si>
    <t>Hand Wash 500ml - ₹150</t>
  </si>
  <si>
    <t>Body Lotion 500ml - ₹250</t>
  </si>
  <si>
    <t>Hair Conditioner 500ml - ₹300</t>
  </si>
  <si>
    <t>Shaving Cream 100g - ₹150</t>
  </si>
  <si>
    <t>Razor 1 pack - ₹200</t>
  </si>
  <si>
    <t>Nail Polish 1 bottle - ₹120</t>
  </si>
  <si>
    <t>Lip Balm 1 tube - ₹100</t>
  </si>
  <si>
    <t>Face Wash 250ml - ₹200</t>
  </si>
  <si>
    <r>
      <rPr>
        <rFont val="Calibri"/>
        <b/>
        <color theme="1"/>
        <sz val="11.0"/>
      </rPr>
      <t>Hand Sanitizer</t>
    </r>
    <r>
      <rPr>
        <rFont val="Calibri"/>
        <b val="0"/>
        <color theme="1"/>
        <sz val="11.0"/>
      </rPr>
      <t xml:space="preserve"> 500ml - ₹200</t>
    </r>
  </si>
  <si>
    <r>
      <rPr>
        <rFont val="Calibri"/>
        <b/>
        <color theme="1"/>
        <sz val="11.0"/>
      </rPr>
      <t>Face Mask</t>
    </r>
    <r>
      <rPr>
        <rFont val="Calibri"/>
        <b val="0"/>
        <color theme="1"/>
        <sz val="11.0"/>
      </rPr>
      <t xml:space="preserve"> 1 pack - ₹150</t>
    </r>
  </si>
  <si>
    <r>
      <rPr>
        <rFont val="Calibri"/>
        <b/>
        <color theme="1"/>
        <sz val="11.0"/>
      </rPr>
      <t>Cooking Vinegar</t>
    </r>
    <r>
      <rPr>
        <rFont val="Calibri"/>
        <b val="0"/>
        <color theme="1"/>
        <sz val="11.0"/>
      </rPr>
      <t xml:space="preserve"> 500ml - ₹90</t>
    </r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</si>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</sst>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₹]#,##0.00"/>
    <numFmt numFmtId="165" formatCode="M/d/yyyy"/>
    <numFmt numFmtId="166" formatCode="m/d/yy\ h:mm"/>
    <numFmt numFmtId="167" formatCode="mm/dd/yyyy h:mm:ss"/>
    <numFmt numFmtId="168" formatCode="[$-F400]h:mm:ss\ AM/PM"/>
    <numFmt numFmtId="169" formatCode="mm/dd/yyyy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sz val="11.0"/>
      <color rgb="FFFFFFFF"/>
      <name val="Calibri"/>
    </font>
    <font>
      <color rgb="FFFFFFFF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Font="1"/>
    <xf borderId="1" fillId="3" fontId="3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center"/>
    </xf>
    <xf borderId="0" fillId="0" fontId="2" numFmtId="164" xfId="0" applyFont="1" applyNumberFormat="1"/>
    <xf borderId="0" fillId="0" fontId="3" numFmtId="164" xfId="0" applyAlignment="1" applyFont="1" applyNumberFormat="1">
      <alignment horizontal="left" vertical="center"/>
    </xf>
    <xf borderId="1" fillId="3" fontId="3" numFmtId="0" xfId="0" applyAlignment="1" applyBorder="1" applyFont="1">
      <alignment horizontal="center" readingOrder="0"/>
    </xf>
    <xf borderId="2" fillId="4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1" fillId="4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5" fontId="6" numFmtId="0" xfId="0" applyAlignment="1" applyFill="1" applyFont="1">
      <alignment horizontal="center"/>
    </xf>
    <xf borderId="0" fillId="5" fontId="7" numFmtId="0" xfId="0" applyFont="1"/>
    <xf borderId="1" fillId="2" fontId="1" numFmtId="165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3" numFmtId="165" xfId="0" applyAlignment="1" applyBorder="1" applyFont="1" applyNumberFormat="1">
      <alignment horizontal="center"/>
    </xf>
    <xf borderId="1" fillId="3" fontId="3" numFmtId="165" xfId="0" applyAlignment="1" applyBorder="1" applyFont="1" applyNumberFormat="1">
      <alignment horizontal="center" readingOrder="0"/>
    </xf>
    <xf borderId="1" fillId="3" fontId="8" numFmtId="166" xfId="0" applyBorder="1" applyFont="1" applyNumberFormat="1"/>
    <xf borderId="1" fillId="3" fontId="3" numFmtId="164" xfId="0" applyAlignment="1" applyBorder="1" applyFont="1" applyNumberFormat="1">
      <alignment horizontal="center" readingOrder="0"/>
    </xf>
    <xf borderId="1" fillId="3" fontId="8" numFmtId="167" xfId="0" applyAlignment="1" applyBorder="1" applyFont="1" applyNumberFormat="1">
      <alignment readingOrder="0"/>
    </xf>
    <xf borderId="1" fillId="3" fontId="3" numFmtId="166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 readingOrder="0"/>
    </xf>
    <xf borderId="0" fillId="3" fontId="3" numFmtId="166" xfId="0" applyAlignment="1" applyFont="1" applyNumberFormat="1">
      <alignment horizontal="center"/>
    </xf>
    <xf borderId="0" fillId="0" fontId="8" numFmtId="164" xfId="0" applyFont="1" applyNumberFormat="1"/>
    <xf borderId="0" fillId="3" fontId="3" numFmtId="164" xfId="0" applyAlignment="1" applyFont="1" applyNumberFormat="1">
      <alignment horizontal="center" readingOrder="0"/>
    </xf>
    <xf borderId="2" fillId="4" fontId="9" numFmtId="0" xfId="0" applyAlignment="1" applyBorder="1" applyFont="1">
      <alignment horizontal="center" readingOrder="0"/>
    </xf>
    <xf borderId="4" fillId="0" fontId="5" numFmtId="0" xfId="0" applyBorder="1" applyFont="1"/>
    <xf borderId="1" fillId="4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 readingOrder="0"/>
    </xf>
    <xf borderId="1" fillId="0" fontId="9" numFmtId="164" xfId="0" applyAlignment="1" applyBorder="1" applyFont="1" applyNumberFormat="1">
      <alignment horizontal="center" readingOrder="0"/>
    </xf>
    <xf borderId="1" fillId="0" fontId="8" numFmtId="0" xfId="0" applyBorder="1" applyFont="1"/>
    <xf borderId="1" fillId="0" fontId="8" numFmtId="166" xfId="0" applyBorder="1" applyFont="1" applyNumberFormat="1"/>
    <xf borderId="1" fillId="0" fontId="8" numFmtId="164" xfId="0" applyBorder="1" applyFont="1" applyNumberFormat="1"/>
    <xf borderId="1" fillId="0" fontId="8" numFmtId="167" xfId="0" applyBorder="1" applyFont="1" applyNumberFormat="1"/>
    <xf borderId="0" fillId="0" fontId="8" numFmtId="0" xfId="0" applyFont="1"/>
    <xf borderId="0" fillId="0" fontId="8" numFmtId="166" xfId="0" applyFont="1" applyNumberFormat="1"/>
    <xf borderId="0" fillId="0" fontId="8" numFmtId="167" xfId="0" applyFont="1" applyNumberFormat="1"/>
    <xf borderId="0" fillId="0" fontId="8" numFmtId="165" xfId="0" applyFont="1" applyNumberFormat="1"/>
    <xf borderId="0" fillId="0" fontId="3" numFmtId="14" xfId="0" applyFont="1" applyNumberFormat="1"/>
    <xf borderId="0" fillId="0" fontId="3" numFmtId="14" xfId="0" applyAlignment="1" applyFont="1" applyNumberFormat="1">
      <alignment readingOrder="0"/>
    </xf>
    <xf borderId="0" fillId="0" fontId="3" numFmtId="168" xfId="0" applyFont="1" applyNumberFormat="1"/>
    <xf borderId="0" fillId="0" fontId="8" numFmtId="168" xfId="0" applyFont="1" applyNumberFormat="1"/>
    <xf borderId="0" fillId="0" fontId="3" numFmtId="166" xfId="0" applyFont="1" applyNumberForma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 vertical="center"/>
    </xf>
    <xf borderId="0" fillId="0" fontId="8" numFmtId="0" xfId="0" applyFont="1"/>
    <xf borderId="0" fillId="0" fontId="8" numFmtId="169" xfId="0" applyAlignment="1" applyFont="1" applyNumberFormat="1">
      <alignment readingOrder="0"/>
    </xf>
    <xf borderId="0" fillId="0" fontId="8" numFmtId="21" xfId="0" applyFont="1" applyNumberFormat="1"/>
    <xf borderId="0" fillId="0" fontId="8" numFmtId="167" xfId="0" applyAlignment="1" applyFont="1" applyNumberFormat="1">
      <alignment readingOrder="0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051" sheet="bill_counter"/>
  </cacheSource>
  <cacheFields>
    <cacheField name="Week Ending" numFmtId="165">
      <sharedItems containsSemiMixedTypes="0" containsDate="1" containsString="0">
        <d v="2025-05-24T00:00:00Z"/>
      </sharedItems>
    </cacheField>
    <cacheField name="Date" numFmtId="165">
      <sharedItems containsSemiMixedTypes="0" containsDate="1" containsString="0">
        <d v="2025-05-18T00:00:00Z"/>
        <d v="2025-05-19T00:00:00Z"/>
        <d v="2025-05-20T00:00:00Z"/>
        <d v="2025-05-21T00:00:00Z"/>
        <d v="2025-05-22T00:00:00Z"/>
        <d v="2025-05-23T00:00:00Z"/>
        <d v="2025-05-24T00:00:00Z"/>
      </sharedItems>
    </cacheField>
    <cacheField name="Transaction Time">
      <sharedItems containsDate="1" containsMixedTypes="1">
        <s v="05/18/2025 09:04:18"/>
        <s v="05/18/2025 09:16:19"/>
        <s v="05/18/2025 09:41:48"/>
        <s v="05/18/2025 10:17:38"/>
        <s v="05/18/2025 10:39:38"/>
        <s v="05/18/2025 10:58:58"/>
        <s v="05/18/2025 11:20:20"/>
        <d v="2025-05-18T11:30:18Z"/>
        <d v="2025-05-18T11:45:18Z"/>
        <d v="2025-05-18T11:56:18Z"/>
        <d v="2025-05-18T12:10:18Z"/>
        <d v="2025-05-18T12:24:18Z"/>
        <d v="2025-05-18T12:34:18Z"/>
        <d v="2025-05-18T12:47:18Z"/>
        <d v="2025-05-18T12:57:18Z"/>
        <d v="2025-05-18T13:12:18Z"/>
        <d v="2025-05-18T13:25:18Z"/>
        <d v="2025-05-18T13:38:18Z"/>
        <d v="2025-05-18T13:52:18Z"/>
        <d v="2025-05-18T14:06:18Z"/>
        <d v="2025-05-18T14:16:18Z"/>
        <d v="2025-05-18T14:27:18Z"/>
        <d v="2025-05-18T14:42:18Z"/>
        <d v="2025-05-18T14:53:18Z"/>
        <d v="2025-05-18T15:06:18Z"/>
        <d v="2025-05-18T15:18:18Z"/>
        <d v="2025-05-18T15:30:18Z"/>
        <d v="2025-05-18T15:45:18Z"/>
        <d v="2025-05-18T15:58:18Z"/>
        <d v="2025-05-18T16:09:18Z"/>
        <d v="2025-05-18T16:24:18Z"/>
        <d v="2025-05-18T16:35:18Z"/>
        <d v="2025-05-18T16:49:18Z"/>
        <d v="2025-05-18T17:02:18Z"/>
        <d v="2025-05-18T17:15:18Z"/>
        <d v="2025-05-18T17:29:18Z"/>
        <d v="2025-05-18T17:42:18Z"/>
        <d v="2025-05-18T17:52:18Z"/>
        <s v="05/19/2025 9:04:18"/>
        <s v="05/19/2025 9:16:19"/>
        <s v="05/19/2025 9:41:48"/>
        <s v="05/19/2025 10:17:38"/>
        <s v="05/19/2025 10:39:38"/>
        <s v="05/19/2025 10:58:58"/>
        <s v="05/19/2025 11:20:20"/>
        <s v="05/19/2025 11:30:18"/>
        <s v="05/19/2025 11:45:18"/>
        <s v="05/19/2025 11:56:18"/>
        <s v="05/19/2025 12:10:18"/>
        <s v="05/19/2025 12:24:18"/>
        <s v="05/19/2025 12:34:18"/>
        <s v="05/19/2025 12:47:18"/>
        <s v="05/19/2025 12:57:18"/>
        <s v="05/19/2025 13:12:18"/>
        <s v="05/19/2025 13:25:18"/>
        <s v="05/19/2025 13:38:18"/>
        <s v="05/19/2025 13:52:18"/>
        <s v="05/19/2025 14:06:18"/>
        <s v="05/19/2025 14:16:18"/>
        <s v="05/19/2025 14:27:18"/>
        <s v="05/19/2025 14:42:18"/>
        <s v="05/19/2025 14:53:18"/>
        <s v="05/19/2025 15:06:18"/>
        <s v="05/19/2025 15:18:18"/>
        <s v="05/19/2025 15:30:18"/>
        <s v="05/19/2025 15:45:18"/>
        <s v="05/19/2025 15:58:18"/>
        <s v="05/19/2025 16:09:18"/>
        <s v="05/19/2025 16:24:18"/>
        <s v="05/19/2025 16:35:18"/>
        <s v="05/19/2025 16:49:18"/>
        <s v="05/19/2025 17:02:18"/>
        <s v="05/19/2025 17:15:18"/>
        <s v="05/19/2025 17:29:18"/>
        <s v="05/19/2025 17:42:18"/>
        <s v="05/19/2025 17:52:18"/>
        <s v="05/20/2025 9:04:18"/>
        <s v="05/20/2025 9:16:19"/>
        <s v="05/20/2025 9:41:48"/>
        <s v="05/20/2025 10:17:38"/>
        <s v="05/20/2025 10:39:38"/>
        <s v="05/20/2025 10:58:58"/>
        <s v="05/20/2025 11:20:20"/>
        <s v="05/20/2025 11:30:18"/>
        <s v="05/20/2025 11:45:18"/>
        <s v="05/20/2025 11:56:18"/>
        <s v="05/20/2025 12:10:18"/>
        <s v="05/20/2025 12:24:18"/>
        <s v="05/20/2025 12:34:18"/>
        <s v="05/20/2025 12:47:18"/>
        <s v="05/20/2025 12:57:18"/>
        <s v="05/20/2025 13:12:18"/>
        <s v="05/20/2025 13:25:18"/>
        <s v="05/20/2025 13:38:18"/>
        <s v="05/20/2025 13:52:18"/>
        <s v="05/20/2025 14:06:18"/>
        <s v="05/20/2025 14:16:18"/>
        <s v="05/20/2025 14:27:18"/>
        <s v="05/20/2025 14:42:18"/>
        <s v="05/20/2025 14:53:18"/>
        <s v="05/20/2025 15:06:18"/>
        <s v="05/20/2025 15:18:18"/>
        <s v="05/20/2025 15:30:18"/>
        <s v="05/20/2025 15:45:18"/>
        <s v="05/20/2025 15:58:18"/>
        <s v="05/20/2025 16:09:18"/>
        <s v="05/20/2025 16:24:18"/>
        <s v="05/20/2025 16:35:18"/>
        <s v="05/20/2025 16:49:18"/>
        <s v="05/20/2025 17:02:18"/>
        <s v="05/20/2025 17:15:18"/>
        <s v="05/20/2025 17:29:18"/>
        <s v="05/20/2025 17:42:18"/>
        <s v="05/20/2025 17:52:18"/>
        <s v="05/21/2025 9:04:18"/>
        <s v="05/21/2025 9:16:19"/>
        <s v="05/21/2025 9:41:48"/>
        <s v="05/21/2025 10:17:38"/>
        <s v="05/21/2025 10:39:38"/>
        <s v="05/21/2025 10:58:58"/>
        <s v="05/21/2025 11:20:20"/>
        <s v="05/21/2025 11:30:18"/>
        <s v="05/21/2025 11:45:18"/>
        <s v="05/21/2025 11:56:18"/>
        <s v="05/21/2025 12:10:18"/>
        <s v="05/21/2025 12:24:18"/>
        <s v="05/21/2025 12:34:18"/>
        <s v="05/21/2025 12:47:18"/>
        <s v="05/21/2025 12:57:18"/>
        <s v="05/21/2025 13:12:18"/>
        <s v="05/21/2025 13:25:18"/>
        <s v="05/21/2025 13:38:18"/>
        <s v="05/21/2025 13:52:18"/>
        <s v="05/21/2025 14:06:18"/>
        <s v="05/21/2025 14:16:18"/>
        <s v="05/21/2025 14:27:18"/>
        <s v="05/21/2025 14:42:18"/>
        <s v="05/21/2025 14:53:18"/>
        <s v="05/21/2025 15:06:18"/>
        <s v="05/21/2025 15:18:18"/>
        <s v="05/21/2025 15:30:18"/>
        <s v="05/21/2025 15:45:18"/>
        <s v="05/21/2025 15:58:18"/>
        <s v="05/21/2025 16:09:18"/>
        <s v="05/21/2025 16:24:18"/>
        <s v="05/21/2025 16:35:18"/>
        <s v="05/21/2025 16:49:18"/>
        <s v="05/21/2025 17:02:18"/>
        <s v="05/21/2025 17:15:18"/>
        <s v="05/21/2025 17:29:18"/>
        <s v="05/21/2025 17:42:18"/>
        <s v="05/21/2025 17:52:18"/>
        <s v="05/22/2025 9:04:18"/>
        <s v="05/22/2025 9:16:19"/>
        <s v="05/22/2025 9:41:48"/>
        <s v="05/22/2025 10:17:38"/>
        <s v="05/22/2025 10:39:38"/>
        <s v="05/22/2025 10:58:58"/>
        <s v="05/22/2025 11:20:20"/>
        <s v="05/22/2025 11:30:18"/>
        <s v="05/22/2025 11:45:18"/>
        <s v="05/22/2025 11:56:18"/>
        <s v="05/22/2025 12:10:18"/>
        <s v="05/22/2025 12:24:18"/>
        <s v="05/22/2025 12:34:18"/>
        <s v="05/22/2025 12:47:18"/>
        <s v="05/22/2025 12:57:18"/>
        <s v="05/22/2025 13:12:18"/>
        <s v="05/22/2025 13:25:18"/>
        <s v="05/22/2025 13:38:18"/>
        <s v="05/22/2025 13:52:18"/>
        <s v="05/22/2025 14:06:18"/>
        <s v="05/22/2025 14:16:18"/>
        <s v="05/22/2025 14:27:18"/>
        <s v="05/22/2025 14:42:18"/>
        <s v="05/22/2025 14:53:18"/>
        <s v="05/22/2025 15:06:18"/>
        <s v="05/22/2025 15:18:18"/>
        <s v="05/22/2025 15:30:18"/>
        <s v="05/22/2025 15:45:18"/>
        <s v="05/22/2025 15:58:18"/>
        <s v="05/22/2025 16:09:18"/>
        <s v="05/22/2025 16:24:18"/>
        <s v="05/22/2025 16:35:18"/>
        <s v="05/22/2025 16:49:18"/>
        <s v="05/22/2025 17:02:18"/>
        <s v="05/22/2025 17:15:18"/>
        <s v="05/22/2025 17:29:18"/>
        <s v="05/22/2025 17:42:18"/>
        <s v="05/22/2025 17:52:18"/>
        <s v="05/23/2025 9:04:18"/>
        <s v="05/23/2025 9:16:19"/>
        <s v="05/23/2025 9:41:48"/>
        <s v="05/23/2025 10:17:38"/>
        <s v="05/23/2025 10:39:38"/>
        <s v="05/23/2025 10:58:58"/>
        <s v="05/23/2025 11:20:20"/>
        <s v="05/23/2025 11:30:18"/>
        <s v="05/23/2025 11:45:18"/>
        <s v="05/23/2025 11:56:18"/>
        <s v="05/23/2025 12:10:18"/>
        <s v="05/23/2025 12:24:18"/>
        <s v="05/23/2025 12:34:18"/>
        <s v="05/23/2025 12:47:18"/>
        <s v="05/23/2025 12:57:18"/>
        <s v="05/23/2025 13:12:18"/>
        <s v="05/23/2025 13:25:18"/>
        <s v="05/23/2025 13:38:18"/>
        <s v="05/23/2025 13:52:18"/>
        <s v="05/23/2025 14:06:18"/>
        <s v="05/23/2025 14:16:18"/>
        <s v="05/23/2025 14:27:18"/>
        <s v="05/23/2025 14:42:18"/>
        <s v="05/23/2025 14:53:18"/>
        <s v="05/23/2025 15:06:18"/>
        <s v="05/23/2025 15:18:18"/>
        <s v="05/23/2025 15:30:18"/>
        <s v="05/23/2025 15:45:18"/>
        <s v="05/23/2025 15:58:18"/>
        <s v="05/23/2025 16:09:18"/>
        <s v="05/23/2025 16:24:18"/>
        <s v="05/23/2025 16:35:18"/>
        <s v="05/23/2025 16:49:18"/>
        <s v="05/23/2025 17:02:18"/>
        <s v="05/23/2025 17:15:18"/>
        <s v="05/23/2025 17:29:18"/>
        <s v="05/23/2025 17:42:18"/>
        <s v="05/23/2025 17:52:18"/>
        <s v="05/24/2025 9:04:18"/>
        <s v="05/24/2025 9:16:19"/>
        <s v="05/24/2025 9:41:48"/>
        <s v="05/24/2025 10:17:38"/>
        <s v="05/24/2025 10:39:38"/>
        <s v="05/24/2025 10:58:58"/>
        <s v="05/24/2025 11:20:20"/>
        <s v="05/24/2025 11:30:18"/>
        <s v="05/24/2025 11:45:18"/>
        <s v="05/24/2025 11:56:18"/>
        <s v="05/24/2025 12:10:18"/>
        <s v="05/24/2025 12:24:18"/>
        <s v="05/24/2025 12:34:18"/>
        <s v="05/24/2025 12:47:18"/>
        <s v="05/24/2025 12:57:18"/>
        <s v="05/24/2025 13:12:18"/>
        <s v="05/24/2025 13:25:18"/>
        <s v="05/24/2025 13:38:18"/>
        <s v="05/24/2025 13:52:18"/>
        <s v="05/24/2025 14:06:18"/>
        <s v="05/24/2025 14:16:18"/>
        <s v="05/24/2025 14:27:18"/>
        <s v="05/24/2025 14:42:18"/>
        <s v="05/24/2025 14:53:18"/>
        <s v="05/24/2025 15:06:18"/>
        <s v="05/24/2025 15:18:18"/>
        <s v="05/24/2025 15:30:18"/>
        <s v="05/24/2025 15:45:18"/>
        <s v="05/24/2025 15:58:18"/>
        <s v="05/24/2025 16:09:18"/>
        <s v="05/24/2025 16:24:18"/>
        <s v="05/24/2025 16:35:18"/>
        <s v="05/24/2025 16:49:18"/>
        <s v="05/24/2025 17:02:18"/>
        <s v="05/24/2025 17:15:18"/>
        <s v="05/24/2025 17:29:18"/>
        <s v="05/24/2025 17:42:18"/>
        <s v="05/24/2025 17:52:18"/>
      </sharedItems>
    </cacheField>
    <cacheField name="Transaction ID" numFmtId="0">
      <sharedItems>
        <s v="T001"/>
        <s v="T002"/>
        <s v="T003"/>
        <s v="T004"/>
        <s v="T005"/>
        <s v="T006"/>
        <s v="T007"/>
        <s v="T008"/>
        <s v="T009"/>
        <s v="T010"/>
        <s v="T011"/>
        <s v="T012"/>
        <s v="T013"/>
        <s v="T014"/>
        <s v="T015"/>
        <s v="T016"/>
        <s v="T017"/>
        <s v="T018"/>
        <s v="T019"/>
        <s v="T020"/>
        <s v="T021"/>
        <s v="T022"/>
        <s v="T023"/>
        <s v="T024"/>
        <s v="T025"/>
        <s v="T026"/>
        <s v="T027"/>
        <s v="T028"/>
        <s v="T029"/>
        <s v="T030"/>
        <s v="T031"/>
        <s v="T032"/>
        <s v="T033"/>
        <s v="T034"/>
        <s v="T035"/>
        <s v="T036"/>
        <s v="T037"/>
        <s v="T038"/>
        <s v="T039"/>
        <s v="T040"/>
        <s v="T041"/>
        <s v="T042"/>
        <s v="T043"/>
        <s v="T044"/>
        <s v="T045"/>
        <s v="T046"/>
        <s v="T047"/>
        <s v="T048"/>
        <s v="T049"/>
        <s v="T050"/>
        <s v="T051"/>
        <s v="T052"/>
        <s v="T053"/>
        <s v="T054"/>
        <s v="T055"/>
        <s v="T056"/>
        <s v="T057"/>
        <s v="T058"/>
        <s v="T059"/>
        <s v="T060"/>
        <s v="T061"/>
        <s v="T062"/>
        <s v="T063"/>
        <s v="T064"/>
        <s v="T065"/>
        <s v="T066"/>
        <s v="T067"/>
        <s v="T068"/>
        <s v="T069"/>
        <s v="T070"/>
        <s v="T071"/>
        <s v="T072"/>
        <s v="T073"/>
        <s v="T074"/>
        <s v="T075"/>
        <s v="T076"/>
        <s v="T077"/>
        <s v="T078"/>
        <s v="T079"/>
        <s v="T080"/>
        <s v="T081"/>
        <s v="T082"/>
        <s v="T083"/>
        <s v="T084"/>
        <s v="T085"/>
        <s v="T086"/>
        <s v="T087"/>
        <s v="T088"/>
        <s v="T089"/>
        <s v="T090"/>
        <s v="T091"/>
        <s v="T092"/>
        <s v="T093"/>
        <s v="T094"/>
        <s v="T095"/>
        <s v="T096"/>
        <s v="T097"/>
        <s v="T098"/>
        <s v="T099"/>
        <s v="T100"/>
        <s v="T101"/>
        <s v="T102"/>
        <s v="T103"/>
        <s v="T104"/>
        <s v="T105"/>
        <s v="T106"/>
        <s v="T107"/>
        <s v="T108"/>
        <s v="T109"/>
        <s v="T110"/>
        <s v="T111"/>
        <s v="T112"/>
        <s v="T113"/>
        <s v="T114"/>
        <s v="T115"/>
        <s v="T116"/>
        <s v="T117"/>
        <s v="T118"/>
        <s v="T119"/>
        <s v="T120"/>
        <s v="T121"/>
        <s v="T122"/>
        <s v="T123"/>
        <s v="T124"/>
        <s v="T125"/>
        <s v="T126"/>
        <s v="T127"/>
        <s v="T128"/>
        <s v="T129"/>
        <s v="T130"/>
        <s v="T131"/>
        <s v="T132"/>
        <s v="T133"/>
        <s v="T134"/>
        <s v="T135"/>
        <s v="T136"/>
        <s v="T137"/>
        <s v="T138"/>
        <s v="T139"/>
        <s v="T140"/>
        <s v="T141"/>
        <s v="T142"/>
        <s v="T143"/>
        <s v="T144"/>
        <s v="T145"/>
        <s v="T146"/>
        <s v="T147"/>
        <s v="T148"/>
        <s v="T149"/>
        <s v="T150"/>
        <s v="T151"/>
        <s v="T152"/>
        <s v="T153"/>
        <s v="T154"/>
        <s v="T155"/>
        <s v="T156"/>
        <s v="T157"/>
        <s v="T158"/>
        <s v="T159"/>
        <s v="T160"/>
        <s v="T161"/>
        <s v="T162"/>
        <s v="T163"/>
        <s v="T164"/>
        <s v="T165"/>
        <s v="T166"/>
        <s v="T167"/>
        <s v="T168"/>
        <s v="T169"/>
        <s v="T170"/>
        <s v="T171"/>
        <s v="T172"/>
        <s v="T173"/>
        <s v="T174"/>
        <s v="T175"/>
        <s v="T176"/>
        <s v="T177"/>
        <s v="T178"/>
        <s v="T179"/>
        <s v="T180"/>
        <s v="T181"/>
        <s v="T182"/>
        <s v="T183"/>
        <s v="T184"/>
        <s v="T185"/>
        <s v="T186"/>
        <s v="T187"/>
        <s v="T188"/>
        <s v="T189"/>
        <s v="T190"/>
        <s v="T191"/>
        <s v="T192"/>
        <s v="T193"/>
        <s v="T194"/>
        <s v="T195"/>
        <s v="T196"/>
        <s v="T197"/>
        <s v="T198"/>
        <s v="T199"/>
        <s v="T200"/>
        <s v="T201"/>
        <s v="T202"/>
        <s v="T203"/>
        <s v="T204"/>
        <s v="T205"/>
        <s v="T206"/>
        <s v="T207"/>
        <s v="T208"/>
        <s v="T209"/>
        <s v="T210"/>
        <s v="T211"/>
        <s v="T212"/>
        <s v="T213"/>
        <s v="T214"/>
        <s v="T215"/>
        <s v="T216"/>
        <s v="T217"/>
        <s v="T218"/>
        <s v="T219"/>
        <s v="T220"/>
        <s v="T221"/>
        <s v="T222"/>
        <s v="T223"/>
        <s v="T224"/>
        <s v="T225"/>
        <s v="T226"/>
        <s v="T227"/>
        <s v="T228"/>
        <s v="T229"/>
        <s v="T230"/>
        <s v="T231"/>
        <s v="T232"/>
        <s v="T233"/>
        <s v="T234"/>
        <s v="T235"/>
        <s v="T236"/>
        <s v="T237"/>
        <s v="T238"/>
        <s v="T239"/>
        <s v="T240"/>
        <s v="T241"/>
        <s v="T242"/>
        <s v="T243"/>
        <s v="T244"/>
        <s v="T245"/>
        <s v="T246"/>
        <s v="T247"/>
        <s v="T248"/>
        <s v="T249"/>
        <s v="T250"/>
        <s v="T251"/>
        <s v="T252"/>
        <s v="T253"/>
        <s v="T254"/>
        <s v="T255"/>
        <s v="T256"/>
        <s v="T257"/>
        <s v="T258"/>
        <s v="T259"/>
        <s v="T260"/>
        <s v="T261"/>
        <s v="T262"/>
        <s v="T263"/>
        <s v="T264"/>
        <s v="T265"/>
        <s v="T266"/>
      </sharedItems>
    </cacheField>
    <cacheField name="Product ID" numFmtId="0">
      <sharedItems>
        <s v="P001"/>
        <s v="P020"/>
        <s v="P004"/>
        <s v="P002"/>
        <s v="P068"/>
        <s v="P064"/>
        <s v="P076"/>
        <s v="P094"/>
        <s v="P083"/>
        <s v="P014"/>
        <s v="P033"/>
        <s v="P047"/>
        <s v="P031"/>
        <s v="P007"/>
        <s v="P099"/>
        <s v="P073"/>
        <s v="P069"/>
        <s v="P079"/>
        <s v="P049"/>
        <s v="P085"/>
        <s v="P018"/>
        <s v="P092"/>
        <s v="P008"/>
        <s v="P003"/>
        <s v="P025"/>
        <s v="P036"/>
        <s v="P009"/>
        <s v="P006"/>
        <s v="P048"/>
        <s v="P061"/>
        <s v="P065"/>
        <s v="P074"/>
        <s v="P090"/>
        <s v="P005"/>
        <s v="P091"/>
        <s v="P011"/>
        <s v="P037"/>
        <s v="P046"/>
        <s v="P098"/>
        <s v="P040"/>
        <s v="P054"/>
        <s v="P042"/>
        <s v="P015"/>
        <s v="P058"/>
        <s v="P044"/>
        <s v="P071"/>
        <s v="P051"/>
        <s v="P097"/>
        <s v="P038"/>
        <s v="P082"/>
        <s v="P024"/>
        <s v="P050"/>
        <s v="P030"/>
        <s v="P080"/>
        <s v="P053"/>
        <s v="P086"/>
        <s v="P077"/>
        <s v="P093"/>
        <s v="P022"/>
        <s v="P039"/>
        <s v="P035"/>
        <s v="P057"/>
        <s v="P066"/>
        <s v="P052"/>
        <s v="P075"/>
        <s v="P095"/>
        <s v="P078"/>
        <s v="P021"/>
        <s v="P012"/>
        <s v="P026"/>
        <s v="P016"/>
        <s v="P045"/>
        <s v="P060"/>
        <s v="P088"/>
        <s v="P084"/>
        <s v="P096"/>
        <s v="P100"/>
        <s v="P043"/>
        <s v="P063"/>
        <s v="P087"/>
        <s v="P010"/>
        <s v="P081"/>
        <s v="P023"/>
        <s v="P062"/>
        <s v="P056"/>
        <s v="P055"/>
        <s v="P027"/>
        <s v="P067"/>
        <s v="P070"/>
        <s v="P072"/>
        <s v="P013"/>
        <s v="P041"/>
        <s v="P089"/>
        <s v="P019"/>
        <s v="P034"/>
        <s v="P059"/>
        <s v="P032"/>
        <s v="P017"/>
        <s v="P029"/>
        <s v="P028"/>
      </sharedItems>
    </cacheField>
    <cacheField name="Product" numFmtId="0">
      <sharedItems>
        <s v="Rice 1kg "/>
        <s v="Oranges 1kg "/>
        <s v="Aata (Wheat Flour) 1kg "/>
        <s v="Dal (Lentils) 1kg "/>
        <s v="Peanut 1kg "/>
        <s v="Coconut 1 piece "/>
        <s v="Bread Crumbs 500g "/>
        <s v="Razor 1 pack "/>
        <s v="Batteries 1 pack "/>
        <s v="Cheese 200g "/>
        <s v="Toothpaste 1 tube "/>
        <s v="Pasta 500g "/>
        <s v="Shampoo 1 bottle "/>
        <s v="Tea 250g "/>
        <s v="Face Mask 1 pack "/>
        <s v="Baking Soda 500g "/>
        <s v="Pickles 500g "/>
        <s v="Plastic Wrap 1 roll "/>
        <s v="Oats 1kg "/>
        <s v="Mineral Water 1 litre "/>
        <s v="Apples 1kg "/>
        <s v="Hair Conditioner 500ml "/>
        <s v="Dry Fruits Mix 1kg "/>
        <s v="Sugar 1kg "/>
        <s v="Garlic 250g "/>
        <s v="Floor Cleaner 1 litre "/>
        <s v="Green Peas 1kg "/>
        <s v="Coffee 100g "/>
        <s v="Noodles 500g "/>
        <s v="Grapes 1kg "/>
        <s v="Yogurt 500g "/>
        <s v="Baking Powder 250g "/>
        <s v="Hand Wash 500ml "/>
        <s v="Turmeric 100g "/>
        <s v="Body Lotion 500ml "/>
        <s v="Milk 1 litre "/>
        <s v="Toilet Cleaner 1 litre "/>
        <s v="Soy Sauce 500ml "/>
        <s v="Hand Sanitizer 500ml "/>
        <s v="Cooking Oil 1 litre "/>
        <s v="Cashews 500g "/>
        <s v="Cumin Seeds 100g "/>
        <s v="Eggs 12 pcs "/>
        <s v="Green Tea 250g "/>
        <s v="Chili Powder 100g "/>
        <s v="Brown Rice 1kg "/>
        <s v="Honey 500g "/>
        <s v="Face Wash 250ml "/>
        <s v="Mosquito Repellent 1 pack "/>
        <s v="Candles 1 pack "/>
        <s v="Green Chillies 250g "/>
        <s v="Cornflakes 500g "/>
        <s v="Ice Cream 1 litre "/>
        <s v="Aluminium Foil 1 roll "/>
        <s v="Peanut Butter 500g "/>
        <s v="Coconut Water 1 litre "/>
        <s v="Whipped Cream 500ml "/>
        <s v="Shaving Cream 100g "/>
        <s v="Onions 1kg "/>
        <s v="Tissue Roll 1 pack "/>
        <s v="Dishwashing Liquid 500ml "/>
        <s v="Raisins 500g "/>
        <s v="Paneer 1kg "/>
        <s v="Jam 500g "/>
        <s v="Cake Mix 1 box "/>
        <s v="Nail Polish 1 bottle "/>
        <s v="Butter Paper 1 roll "/>
        <s v="Potatoes 1kg "/>
        <s v="Bread 500g "/>
        <s v="Ginger 250g "/>
        <s v="Chicken 1kg "/>
        <s v="Vinegar 500ml "/>
        <s v="Lemon 1kg "/>
        <s v="Juice 1 litre "/>
        <s v="Energy Drink 1 can "/>
        <s v="Lip Balm 1 tube "/>
        <s v="Cooking Vinegar 500ml "/>
        <s v="Coriander Powder 100g "/>
        <s v="Pomegranate 1kg "/>
        <s v="Ice Tea 1 litre "/>
        <s v="Salt 1kg "/>
        <s v="Matchsticks 1 pack "/>
        <s v="Tomatoes 1kg "/>
        <s v="Mangoes 1kg "/>
        <s v="Walnuts 500g "/>
        <s v="Almonds 500g "/>
        <s v="Biscuits 1 pack "/>
        <s v="Ice Cubes 1 pack "/>
        <s v="Basmati Rice 1kg "/>
        <s v="Quinoa 500g "/>
        <s v="Butter 500g "/>
        <s v="Mustard Seeds 100g "/>
        <s v="Sports Drink 1 litre "/>
        <s v="Bananas 1 dozen "/>
        <s v="Detergent Powder 1kg "/>
        <s v="Black Tea 250g "/>
        <s v="Soap 1 bar "/>
        <s v="Fish 1kg "/>
        <s v="Cold Drink 1 litre "/>
        <s v="Chocolates 1 bar "/>
      </sharedItems>
    </cacheField>
    <cacheField name="Price(₹)" numFmtId="164">
      <sharedItems containsSemiMixedTypes="0" containsString="0" containsNumber="1" containsInteger="1">
        <n v="60.0"/>
        <n v="100.0"/>
        <n v="40.0"/>
        <n v="180.0"/>
        <n v="90.0"/>
        <n v="200.0"/>
        <n v="250.0"/>
        <n v="150.0"/>
        <n v="80.0"/>
        <n v="155.0"/>
        <n v="50.0"/>
        <n v="20.0"/>
        <n v="300.0"/>
        <n v="850.0"/>
        <n v="45.0"/>
        <n v="120.0"/>
        <n v="600.0"/>
        <n v="350.0"/>
        <n v="400.0"/>
        <n v="30.0"/>
        <n v="700.0"/>
        <n v="500.0"/>
      </sharedItems>
    </cacheField>
    <cacheField name="Quantity" numFmtId="0">
      <sharedItems containsSemiMixedTypes="0" containsString="0" containsNumber="1" containsInteger="1">
        <n v="2.0"/>
        <n v="4.0"/>
        <n v="3.0"/>
        <n v="7.0"/>
        <n v="9.0"/>
        <n v="5.0"/>
        <n v="6.0"/>
        <n v="8.0"/>
        <n v="1.0"/>
      </sharedItems>
    </cacheField>
    <cacheField name="Total Cost" numFmtId="164">
      <sharedItems containsSemiMixedTypes="0" containsString="0" containsNumber="1" containsInteger="1">
        <n v="120.0"/>
        <n v="400.0"/>
        <n v="1260.0"/>
        <n v="160.0"/>
        <n v="180.0"/>
        <n v="1000.0"/>
        <n v="1350.0"/>
        <n v="200.0"/>
        <n v="900.0"/>
        <n v="600.0"/>
        <n v="1200.0"/>
        <n v="1085.0"/>
        <n v="300.0"/>
        <n v="1050.0"/>
        <n v="2250.0"/>
        <n v="40.0"/>
        <n v="2700.0"/>
        <n v="2550.0"/>
        <n v="315.0"/>
        <n v="360.0"/>
        <n v="1500.0"/>
        <n v="800.0"/>
        <n v="240.0"/>
        <n v="150.0"/>
        <n v="720.0"/>
        <n v="250.0"/>
        <n v="750.0"/>
        <n v="500.0"/>
        <n v="1800.0"/>
        <n v="60.0"/>
        <n v="1400.0"/>
        <n v="480.0"/>
        <n v="4200.0"/>
        <n v="420.0"/>
        <n v="320.0"/>
        <n v="2800.0"/>
        <n v="45.0"/>
        <n v="350.0"/>
        <n v="1600.0"/>
        <n v="2000.0"/>
        <n v="960.0"/>
        <n v="1750.0"/>
        <n v="700.0"/>
        <n v="80.0"/>
        <n v="450.0"/>
        <n v="540.0"/>
        <n v="2400.0"/>
        <n v="270.0"/>
        <n v="20.0"/>
        <n v="840.0"/>
        <n v="560.0"/>
        <n v="210.0"/>
        <n v="5100.0"/>
        <n v="100.0"/>
        <n v="1250.0"/>
        <n v="630.0"/>
        <n v="1080.0"/>
        <n v="225.0"/>
        <n v="3000.0"/>
        <n v="810.0"/>
        <n v="30.0"/>
        <n v="3400.0"/>
        <n v="640.0"/>
        <n v="2100.0"/>
        <n v="50.0"/>
        <n v="90.0"/>
        <n v="280.0"/>
        <n v="4900.0"/>
        <n v="775.0"/>
        <n v="3150.0"/>
        <n v="5950.0"/>
        <n v="140.0"/>
        <n v="1395.0"/>
        <n v="4500.0"/>
        <n v="6300.0"/>
        <n v="3500.0"/>
        <n v="2450.0"/>
        <n v="3600.0"/>
        <n v="465.0"/>
        <n v="1440.0"/>
        <n v="135.0"/>
        <n v="930.0"/>
        <n v="4000.0"/>
        <n v="1620.0"/>
        <n v="155.0"/>
        <n v="40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rans_Pivot" cacheId="0" dataCaption="" rowGrandTotals="0" compact="0" compactData="0">
  <location ref="A1:F2605" firstHeaderRow="0" firstDataRow="5" firstDataCol="0"/>
  <pivotFields>
    <pivotField name="Week Ending" compact="0" numFmtId="165" outline="0" multipleItemSelectionAllowed="1" showAll="0">
      <items>
        <item x="0"/>
        <item t="default"/>
      </items>
    </pivotField>
    <pivotField name="Date" compact="0" numFmtId="165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ransaction Time" axis="axisRow" compact="0" outline="0" multipleItemSelectionAllowed="1" showAll="0" sortType="ascending">
      <items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0"/>
        <item x="1"/>
        <item x="2"/>
        <item x="3"/>
        <item x="4"/>
        <item x="5"/>
        <item x="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38"/>
        <item x="39"/>
        <item x="40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76"/>
        <item x="77"/>
        <item x="78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14"/>
        <item x="115"/>
        <item x="116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52"/>
        <item x="153"/>
        <item x="154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190"/>
        <item x="191"/>
        <item x="192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28"/>
        <item x="229"/>
        <item x="230"/>
        <item t="default"/>
      </items>
    </pivotField>
    <pivotField name="Transaction 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t="default"/>
      </items>
    </pivotField>
    <pivotField name="Product ID" axis="axisRow" compact="0" outline="0" multipleItemSelectionAllowed="1" showAll="0" sortType="ascending">
      <items>
        <item x="0"/>
        <item x="3"/>
        <item x="23"/>
        <item x="2"/>
        <item x="33"/>
        <item x="27"/>
        <item x="13"/>
        <item x="22"/>
        <item x="26"/>
        <item x="80"/>
        <item x="35"/>
        <item x="68"/>
        <item x="90"/>
        <item x="9"/>
        <item x="42"/>
        <item x="70"/>
        <item x="97"/>
        <item x="20"/>
        <item x="93"/>
        <item x="1"/>
        <item x="67"/>
        <item x="58"/>
        <item x="82"/>
        <item x="50"/>
        <item x="24"/>
        <item x="69"/>
        <item x="86"/>
        <item x="99"/>
        <item x="98"/>
        <item x="52"/>
        <item x="12"/>
        <item x="96"/>
        <item x="10"/>
        <item x="94"/>
        <item x="60"/>
        <item x="25"/>
        <item x="36"/>
        <item x="48"/>
        <item x="59"/>
        <item x="39"/>
        <item x="91"/>
        <item x="41"/>
        <item x="77"/>
        <item x="44"/>
        <item x="71"/>
        <item x="37"/>
        <item x="11"/>
        <item x="28"/>
        <item x="18"/>
        <item x="51"/>
        <item x="46"/>
        <item x="63"/>
        <item x="54"/>
        <item x="40"/>
        <item x="85"/>
        <item x="84"/>
        <item x="61"/>
        <item x="43"/>
        <item x="95"/>
        <item x="72"/>
        <item x="29"/>
        <item x="83"/>
        <item x="78"/>
        <item x="5"/>
        <item x="30"/>
        <item x="62"/>
        <item x="87"/>
        <item x="4"/>
        <item x="16"/>
        <item x="88"/>
        <item x="45"/>
        <item x="89"/>
        <item x="15"/>
        <item x="31"/>
        <item x="64"/>
        <item x="6"/>
        <item x="56"/>
        <item x="66"/>
        <item x="17"/>
        <item x="53"/>
        <item x="81"/>
        <item x="49"/>
        <item x="8"/>
        <item x="74"/>
        <item x="19"/>
        <item x="55"/>
        <item x="79"/>
        <item x="73"/>
        <item x="92"/>
        <item x="32"/>
        <item x="34"/>
        <item x="21"/>
        <item x="57"/>
        <item x="7"/>
        <item x="65"/>
        <item x="75"/>
        <item x="47"/>
        <item x="38"/>
        <item x="14"/>
        <item x="76"/>
        <item t="default"/>
      </items>
    </pivotField>
    <pivotField name="Product" axis="axisRow" compact="0" outline="0" multipleItemSelectionAllowed="1" showAll="0" sortType="ascending">
      <items>
        <item x="2"/>
        <item x="85"/>
        <item x="53"/>
        <item x="20"/>
        <item x="31"/>
        <item x="15"/>
        <item x="93"/>
        <item x="88"/>
        <item x="8"/>
        <item x="86"/>
        <item x="95"/>
        <item x="34"/>
        <item x="68"/>
        <item x="6"/>
        <item x="45"/>
        <item x="90"/>
        <item x="66"/>
        <item x="64"/>
        <item x="49"/>
        <item x="40"/>
        <item x="9"/>
        <item x="70"/>
        <item x="44"/>
        <item x="99"/>
        <item x="5"/>
        <item x="55"/>
        <item x="27"/>
        <item x="98"/>
        <item x="39"/>
        <item x="76"/>
        <item x="77"/>
        <item x="51"/>
        <item x="41"/>
        <item x="3"/>
        <item x="94"/>
        <item x="60"/>
        <item x="22"/>
        <item x="42"/>
        <item x="74"/>
        <item x="14"/>
        <item x="47"/>
        <item x="97"/>
        <item x="25"/>
        <item x="24"/>
        <item x="69"/>
        <item x="29"/>
        <item x="50"/>
        <item x="26"/>
        <item x="43"/>
        <item x="21"/>
        <item x="38"/>
        <item x="32"/>
        <item x="46"/>
        <item x="52"/>
        <item x="87"/>
        <item x="79"/>
        <item x="63"/>
        <item x="73"/>
        <item x="72"/>
        <item x="75"/>
        <item x="83"/>
        <item x="81"/>
        <item x="35"/>
        <item x="19"/>
        <item x="48"/>
        <item x="91"/>
        <item x="65"/>
        <item x="28"/>
        <item x="18"/>
        <item x="58"/>
        <item x="1"/>
        <item x="62"/>
        <item x="11"/>
        <item x="4"/>
        <item x="54"/>
        <item x="16"/>
        <item x="17"/>
        <item x="78"/>
        <item x="67"/>
        <item x="89"/>
        <item x="61"/>
        <item x="7"/>
        <item x="0"/>
        <item x="80"/>
        <item x="12"/>
        <item x="57"/>
        <item x="96"/>
        <item x="37"/>
        <item x="92"/>
        <item x="23"/>
        <item x="13"/>
        <item x="59"/>
        <item x="36"/>
        <item x="82"/>
        <item x="10"/>
        <item x="33"/>
        <item x="71"/>
        <item x="84"/>
        <item x="56"/>
        <item x="30"/>
        <item t="default"/>
      </items>
    </pivotField>
    <pivotField name="Price(₹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otal Cos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</pivotFields>
  <rowFields>
    <field x="3"/>
    <field x="2"/>
    <field x="4"/>
    <field x="5"/>
  </rowFields>
  <colFields>
    <field x="-2"/>
  </colFields>
  <dataFields>
    <dataField name="SUM of Quantity" fld="7" baseField="0"/>
    <dataField name="SUM of Total Cost" fld="8" baseField="0"/>
  </dataFields>
</pivotTableDefinition>
</file>

<file path=xl/pivotTables/pivotTable2.xml><?xml version="1.0" encoding="utf-8"?>
<pivotTableDefinition xmlns="http://schemas.openxmlformats.org/spreadsheetml/2006/main" name="Daily_Sales_Revenue_wise" cacheId="0" dataCaption="" rowGrandTotals="0" compact="0" compactData="0">
  <location ref="A1:J102" firstHeaderRow="0" firstDataRow="2" firstDataCol="1"/>
  <pivotFields>
    <pivotField name="Week Ending" compact="0" numFmtId="165" outline="0" multipleItemSelectionAllowed="1" showAll="0">
      <items>
        <item x="0"/>
        <item t="default"/>
      </items>
    </pivotField>
    <pivotField name="Date" axis="axisCol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Transaction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t="default"/>
      </items>
    </pivotField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t="default"/>
      </items>
    </pivotField>
    <pivotField name="Product ID" axis="axisRow" compact="0" outline="0" multipleItemSelectionAllowed="1" showAll="0" sortType="ascending" defaultSubtotal="0">
      <items>
        <item x="0"/>
        <item x="3"/>
        <item x="23"/>
        <item x="2"/>
        <item x="33"/>
        <item x="27"/>
        <item x="13"/>
        <item x="22"/>
        <item x="26"/>
        <item x="80"/>
        <item x="35"/>
        <item x="68"/>
        <item x="90"/>
        <item x="9"/>
        <item x="42"/>
        <item x="70"/>
        <item x="97"/>
        <item x="20"/>
        <item x="93"/>
        <item x="1"/>
        <item x="67"/>
        <item x="58"/>
        <item x="82"/>
        <item x="50"/>
        <item x="24"/>
        <item x="69"/>
        <item x="86"/>
        <item x="99"/>
        <item x="98"/>
        <item x="52"/>
        <item x="12"/>
        <item x="96"/>
        <item x="10"/>
        <item x="94"/>
        <item x="60"/>
        <item x="25"/>
        <item x="36"/>
        <item x="48"/>
        <item x="59"/>
        <item x="39"/>
        <item x="91"/>
        <item x="41"/>
        <item x="77"/>
        <item x="44"/>
        <item x="71"/>
        <item x="37"/>
        <item x="11"/>
        <item x="28"/>
        <item x="18"/>
        <item x="51"/>
        <item x="46"/>
        <item x="63"/>
        <item x="54"/>
        <item x="40"/>
        <item x="85"/>
        <item x="84"/>
        <item x="61"/>
        <item x="43"/>
        <item x="95"/>
        <item x="72"/>
        <item x="29"/>
        <item x="83"/>
        <item x="78"/>
        <item x="5"/>
        <item x="30"/>
        <item x="62"/>
        <item x="87"/>
        <item x="4"/>
        <item x="16"/>
        <item x="88"/>
        <item x="45"/>
        <item x="89"/>
        <item x="15"/>
        <item x="31"/>
        <item x="64"/>
        <item x="6"/>
        <item x="56"/>
        <item x="66"/>
        <item x="17"/>
        <item x="53"/>
        <item x="81"/>
        <item x="49"/>
        <item x="8"/>
        <item x="74"/>
        <item x="19"/>
        <item x="55"/>
        <item x="79"/>
        <item x="73"/>
        <item x="92"/>
        <item x="32"/>
        <item x="34"/>
        <item x="21"/>
        <item x="57"/>
        <item x="7"/>
        <item x="65"/>
        <item x="75"/>
        <item x="47"/>
        <item x="38"/>
        <item x="14"/>
        <item x="76"/>
      </items>
    </pivotField>
    <pivotField name="Product" axis="axisRow" compact="0" outline="0" multipleItemSelectionAllowed="1" showAll="0" sortType="ascending">
      <items>
        <item x="2"/>
        <item x="85"/>
        <item x="53"/>
        <item x="20"/>
        <item x="31"/>
        <item x="15"/>
        <item x="93"/>
        <item x="88"/>
        <item x="8"/>
        <item x="86"/>
        <item x="95"/>
        <item x="34"/>
        <item x="68"/>
        <item x="6"/>
        <item x="45"/>
        <item x="90"/>
        <item x="66"/>
        <item x="64"/>
        <item x="49"/>
        <item x="40"/>
        <item x="9"/>
        <item x="70"/>
        <item x="44"/>
        <item x="99"/>
        <item x="5"/>
        <item x="55"/>
        <item x="27"/>
        <item x="98"/>
        <item x="39"/>
        <item x="76"/>
        <item x="77"/>
        <item x="51"/>
        <item x="41"/>
        <item x="3"/>
        <item x="94"/>
        <item x="60"/>
        <item x="22"/>
        <item x="42"/>
        <item x="74"/>
        <item x="14"/>
        <item x="47"/>
        <item x="97"/>
        <item x="25"/>
        <item x="24"/>
        <item x="69"/>
        <item x="29"/>
        <item x="50"/>
        <item x="26"/>
        <item x="43"/>
        <item x="21"/>
        <item x="38"/>
        <item x="32"/>
        <item x="46"/>
        <item x="52"/>
        <item x="87"/>
        <item x="79"/>
        <item x="63"/>
        <item x="73"/>
        <item x="72"/>
        <item x="75"/>
        <item x="83"/>
        <item x="81"/>
        <item x="35"/>
        <item x="19"/>
        <item x="48"/>
        <item x="91"/>
        <item x="65"/>
        <item x="28"/>
        <item x="18"/>
        <item x="58"/>
        <item x="1"/>
        <item x="62"/>
        <item x="11"/>
        <item x="4"/>
        <item x="54"/>
        <item x="16"/>
        <item x="17"/>
        <item x="78"/>
        <item x="67"/>
        <item x="89"/>
        <item x="61"/>
        <item x="7"/>
        <item x="0"/>
        <item x="80"/>
        <item x="12"/>
        <item x="57"/>
        <item x="96"/>
        <item x="37"/>
        <item x="92"/>
        <item x="23"/>
        <item x="13"/>
        <item x="59"/>
        <item x="36"/>
        <item x="82"/>
        <item x="10"/>
        <item x="33"/>
        <item x="71"/>
        <item x="84"/>
        <item x="56"/>
        <item x="30"/>
        <item t="default"/>
      </items>
    </pivotField>
    <pivotField name="Price(₹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otal Cos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</pivotFields>
  <rowFields>
    <field x="4"/>
    <field x="5"/>
  </rowFields>
  <colFields>
    <field x="1"/>
  </colFields>
  <dataFields>
    <dataField name="SUM of Total Cost" fld="8" baseField="0"/>
  </dataFields>
</pivotTableDefinition>
</file>

<file path=xl/pivotTables/pivotTable3.xml><?xml version="1.0" encoding="utf-8"?>
<pivotTableDefinition xmlns="http://schemas.openxmlformats.org/spreadsheetml/2006/main" name="Daily_Sales_Quantity_wise" cacheId="0" dataCaption="" compact="0" compactData="0">
  <location ref="A1:I103" firstHeaderRow="0" firstDataRow="1" firstDataCol="1"/>
  <pivotFields>
    <pivotField name="Week Ending" compact="0" numFmtId="165" outline="0" multipleItemSelectionAllowed="1" showAll="0">
      <items>
        <item x="0"/>
        <item t="default"/>
      </items>
    </pivotField>
    <pivotField name="Date" axis="axisCol" compact="0" numFmtId="165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Transaction 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t="default"/>
      </items>
    </pivotField>
    <pivotField name="Transaction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Product" axis="axisRow" compact="0" outline="0" multipleItemSelectionAllowed="1" showAll="0" sortType="ascending">
      <items>
        <item x="2"/>
        <item x="85"/>
        <item x="53"/>
        <item x="20"/>
        <item x="31"/>
        <item x="15"/>
        <item x="93"/>
        <item x="88"/>
        <item x="8"/>
        <item x="86"/>
        <item x="95"/>
        <item x="34"/>
        <item x="68"/>
        <item x="6"/>
        <item x="45"/>
        <item x="90"/>
        <item x="66"/>
        <item x="64"/>
        <item x="49"/>
        <item x="40"/>
        <item x="9"/>
        <item x="70"/>
        <item x="44"/>
        <item x="99"/>
        <item x="5"/>
        <item x="55"/>
        <item x="27"/>
        <item x="98"/>
        <item x="39"/>
        <item x="76"/>
        <item x="77"/>
        <item x="51"/>
        <item x="41"/>
        <item x="3"/>
        <item x="94"/>
        <item x="60"/>
        <item x="22"/>
        <item x="42"/>
        <item x="74"/>
        <item x="14"/>
        <item x="47"/>
        <item x="97"/>
        <item x="25"/>
        <item x="24"/>
        <item x="69"/>
        <item x="29"/>
        <item x="50"/>
        <item x="26"/>
        <item x="43"/>
        <item x="21"/>
        <item x="38"/>
        <item x="32"/>
        <item x="46"/>
        <item x="52"/>
        <item x="87"/>
        <item x="79"/>
        <item x="63"/>
        <item x="73"/>
        <item x="72"/>
        <item x="75"/>
        <item x="83"/>
        <item x="81"/>
        <item x="35"/>
        <item x="19"/>
        <item x="48"/>
        <item x="91"/>
        <item x="65"/>
        <item x="28"/>
        <item x="18"/>
        <item x="58"/>
        <item x="1"/>
        <item x="62"/>
        <item x="11"/>
        <item x="4"/>
        <item x="54"/>
        <item x="16"/>
        <item x="17"/>
        <item x="78"/>
        <item x="67"/>
        <item x="89"/>
        <item x="61"/>
        <item x="7"/>
        <item x="0"/>
        <item x="80"/>
        <item x="12"/>
        <item x="57"/>
        <item x="96"/>
        <item x="37"/>
        <item x="92"/>
        <item x="23"/>
        <item x="13"/>
        <item x="59"/>
        <item x="36"/>
        <item x="82"/>
        <item x="10"/>
        <item x="33"/>
        <item x="71"/>
        <item x="84"/>
        <item x="56"/>
        <item x="30"/>
        <item t="default"/>
      </items>
    </pivotField>
    <pivotField name="Price(₹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otal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</pivotFields>
  <rowFields>
    <field x="5"/>
  </rowFields>
  <colFields>
    <field x="1"/>
  </colFields>
  <dataFields>
    <dataField name="SUM of Quantity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8.43"/>
    <col customWidth="1" min="3" max="3" width="19.71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>
        <v>60.0</v>
      </c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 t="s">
        <v>6</v>
      </c>
      <c r="C3" s="6">
        <v>100.0</v>
      </c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C4" s="6">
        <v>45.0</v>
      </c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5" t="s">
        <v>10</v>
      </c>
      <c r="C5" s="6">
        <v>40.0</v>
      </c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11</v>
      </c>
      <c r="B6" s="5" t="s">
        <v>12</v>
      </c>
      <c r="C6" s="6">
        <v>200.0</v>
      </c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5" t="s">
        <v>14</v>
      </c>
      <c r="C7" s="6">
        <v>250.0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5" t="s">
        <v>16</v>
      </c>
      <c r="C8" s="6">
        <v>155.0</v>
      </c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17</v>
      </c>
      <c r="B9" s="5" t="s">
        <v>18</v>
      </c>
      <c r="C9" s="6">
        <v>850.0</v>
      </c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">
        <v>20</v>
      </c>
      <c r="C10" s="6">
        <v>120.0</v>
      </c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21</v>
      </c>
      <c r="B11" s="5" t="s">
        <v>22</v>
      </c>
      <c r="C11" s="6">
        <v>20.0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23</v>
      </c>
      <c r="B12" s="5" t="s">
        <v>24</v>
      </c>
      <c r="C12" s="6">
        <v>60.0</v>
      </c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25</v>
      </c>
      <c r="B13" s="5" t="s">
        <v>26</v>
      </c>
      <c r="C13" s="6">
        <v>40.0</v>
      </c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27</v>
      </c>
      <c r="B14" s="5" t="s">
        <v>28</v>
      </c>
      <c r="C14" s="6">
        <v>250.0</v>
      </c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29</v>
      </c>
      <c r="B15" s="5" t="s">
        <v>30</v>
      </c>
      <c r="C15" s="6">
        <v>150.0</v>
      </c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31</v>
      </c>
      <c r="B16" s="5" t="s">
        <v>32</v>
      </c>
      <c r="C16" s="6">
        <v>80.0</v>
      </c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33</v>
      </c>
      <c r="B17" s="5" t="s">
        <v>34</v>
      </c>
      <c r="C17" s="6">
        <v>250.0</v>
      </c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5" t="s">
        <v>36</v>
      </c>
      <c r="C18" s="6">
        <v>300.0</v>
      </c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37</v>
      </c>
      <c r="B19" s="5" t="s">
        <v>38</v>
      </c>
      <c r="C19" s="6">
        <v>200.0</v>
      </c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39</v>
      </c>
      <c r="B20" s="5" t="s">
        <v>40</v>
      </c>
      <c r="C20" s="6">
        <v>60.0</v>
      </c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41</v>
      </c>
      <c r="B21" s="5" t="s">
        <v>42</v>
      </c>
      <c r="C21" s="6">
        <v>100.0</v>
      </c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43</v>
      </c>
      <c r="B22" s="5" t="s">
        <v>44</v>
      </c>
      <c r="C22" s="6">
        <v>30.0</v>
      </c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45</v>
      </c>
      <c r="B23" s="5" t="s">
        <v>46</v>
      </c>
      <c r="C23" s="6">
        <v>40.0</v>
      </c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47</v>
      </c>
      <c r="B24" s="5" t="s">
        <v>48</v>
      </c>
      <c r="C24" s="6">
        <v>50.0</v>
      </c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49</v>
      </c>
      <c r="B25" s="5" t="s">
        <v>50</v>
      </c>
      <c r="C25" s="6">
        <v>20.0</v>
      </c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51</v>
      </c>
      <c r="B26" s="5" t="s">
        <v>52</v>
      </c>
      <c r="C26" s="6">
        <v>50.0</v>
      </c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53</v>
      </c>
      <c r="B27" s="5" t="s">
        <v>54</v>
      </c>
      <c r="C27" s="6">
        <v>40.0</v>
      </c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55</v>
      </c>
      <c r="B28" s="5" t="s">
        <v>56</v>
      </c>
      <c r="C28" s="6">
        <v>30.0</v>
      </c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57</v>
      </c>
      <c r="B29" s="5" t="s">
        <v>58</v>
      </c>
      <c r="C29" s="6">
        <v>100.0</v>
      </c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59</v>
      </c>
      <c r="B30" s="5" t="s">
        <v>60</v>
      </c>
      <c r="C30" s="6">
        <v>100.0</v>
      </c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61</v>
      </c>
      <c r="B31" s="5" t="s">
        <v>62</v>
      </c>
      <c r="C31" s="6">
        <v>300.0</v>
      </c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63</v>
      </c>
      <c r="B32" s="5" t="s">
        <v>64</v>
      </c>
      <c r="C32" s="6">
        <v>200.0</v>
      </c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65</v>
      </c>
      <c r="B33" s="5" t="s">
        <v>66</v>
      </c>
      <c r="C33" s="6">
        <v>40.0</v>
      </c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67</v>
      </c>
      <c r="B34" s="5" t="s">
        <v>68</v>
      </c>
      <c r="C34" s="6">
        <v>80.0</v>
      </c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69</v>
      </c>
      <c r="B35" s="5" t="s">
        <v>70</v>
      </c>
      <c r="C35" s="6">
        <v>150.0</v>
      </c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71</v>
      </c>
      <c r="B36" s="5" t="s">
        <v>72</v>
      </c>
      <c r="C36" s="6">
        <v>100.0</v>
      </c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73</v>
      </c>
      <c r="B37" s="5" t="s">
        <v>74</v>
      </c>
      <c r="C37" s="6">
        <v>150.0</v>
      </c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75</v>
      </c>
      <c r="B38" s="5" t="s">
        <v>76</v>
      </c>
      <c r="C38" s="6">
        <v>120.0</v>
      </c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77</v>
      </c>
      <c r="B39" s="5" t="s">
        <v>78</v>
      </c>
      <c r="C39" s="6">
        <v>90.0</v>
      </c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79</v>
      </c>
      <c r="B40" s="5" t="s">
        <v>80</v>
      </c>
      <c r="C40" s="6">
        <v>60.0</v>
      </c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81</v>
      </c>
      <c r="B41" s="5" t="s">
        <v>82</v>
      </c>
      <c r="C41" s="6">
        <v>120.0</v>
      </c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83</v>
      </c>
      <c r="B42" s="5" t="s">
        <v>84</v>
      </c>
      <c r="C42" s="6">
        <v>30.0</v>
      </c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85</v>
      </c>
      <c r="B43" s="5" t="s">
        <v>86</v>
      </c>
      <c r="C43" s="6">
        <v>40.0</v>
      </c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87</v>
      </c>
      <c r="B44" s="5" t="s">
        <v>88</v>
      </c>
      <c r="C44" s="6">
        <v>50.0</v>
      </c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89</v>
      </c>
      <c r="B45" s="5" t="s">
        <v>90</v>
      </c>
      <c r="C45" s="6">
        <v>60.0</v>
      </c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91</v>
      </c>
      <c r="B46" s="5" t="s">
        <v>92</v>
      </c>
      <c r="C46" s="6">
        <v>90.0</v>
      </c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93</v>
      </c>
      <c r="B47" s="5" t="s">
        <v>94</v>
      </c>
      <c r="C47" s="6">
        <v>120.0</v>
      </c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95</v>
      </c>
      <c r="B48" s="5" t="s">
        <v>96</v>
      </c>
      <c r="C48" s="6">
        <v>150.0</v>
      </c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97</v>
      </c>
      <c r="B49" s="5" t="s">
        <v>98</v>
      </c>
      <c r="C49" s="6">
        <v>100.0</v>
      </c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99</v>
      </c>
      <c r="B50" s="5" t="s">
        <v>100</v>
      </c>
      <c r="C50" s="6">
        <v>250.0</v>
      </c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101</v>
      </c>
      <c r="B51" s="5" t="s">
        <v>102</v>
      </c>
      <c r="C51" s="6">
        <v>200.0</v>
      </c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103</v>
      </c>
      <c r="B52" s="5" t="s">
        <v>104</v>
      </c>
      <c r="C52" s="6">
        <v>300.0</v>
      </c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105</v>
      </c>
      <c r="B53" s="5" t="s">
        <v>106</v>
      </c>
      <c r="C53" s="6">
        <v>150.0</v>
      </c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107</v>
      </c>
      <c r="B54" s="5" t="s">
        <v>108</v>
      </c>
      <c r="C54" s="6">
        <v>250.0</v>
      </c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109</v>
      </c>
      <c r="B55" s="5" t="s">
        <v>110</v>
      </c>
      <c r="C55" s="6">
        <v>600.0</v>
      </c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111</v>
      </c>
      <c r="B56" s="5" t="s">
        <v>112</v>
      </c>
      <c r="C56" s="6">
        <v>500.0</v>
      </c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113</v>
      </c>
      <c r="B57" s="5" t="s">
        <v>114</v>
      </c>
      <c r="C57" s="6">
        <v>700.0</v>
      </c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115</v>
      </c>
      <c r="B58" s="5" t="s">
        <v>116</v>
      </c>
      <c r="C58" s="6">
        <v>400.0</v>
      </c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117</v>
      </c>
      <c r="B59" s="5" t="s">
        <v>118</v>
      </c>
      <c r="C59" s="6">
        <v>350.0</v>
      </c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119</v>
      </c>
      <c r="B60" s="5" t="s">
        <v>120</v>
      </c>
      <c r="C60" s="6">
        <v>300.0</v>
      </c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121</v>
      </c>
      <c r="B61" s="5" t="s">
        <v>122</v>
      </c>
      <c r="C61" s="6">
        <v>80.0</v>
      </c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123</v>
      </c>
      <c r="B62" s="5" t="s">
        <v>124</v>
      </c>
      <c r="C62" s="6">
        <v>150.0</v>
      </c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125</v>
      </c>
      <c r="B63" s="5" t="s">
        <v>126</v>
      </c>
      <c r="C63" s="6">
        <v>250.0</v>
      </c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127</v>
      </c>
      <c r="B64" s="5" t="s">
        <v>128</v>
      </c>
      <c r="C64" s="6">
        <v>200.0</v>
      </c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129</v>
      </c>
      <c r="B65" s="5" t="s">
        <v>130</v>
      </c>
      <c r="C65" s="6">
        <v>40.0</v>
      </c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131</v>
      </c>
      <c r="B66" s="5" t="s">
        <v>132</v>
      </c>
      <c r="C66" s="6">
        <v>80.0</v>
      </c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133</v>
      </c>
      <c r="B67" s="5" t="s">
        <v>134</v>
      </c>
      <c r="C67" s="6">
        <v>400.0</v>
      </c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135</v>
      </c>
      <c r="B68" s="5" t="s">
        <v>136</v>
      </c>
      <c r="C68" s="6">
        <v>50.0</v>
      </c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137</v>
      </c>
      <c r="B69" s="5" t="s">
        <v>138</v>
      </c>
      <c r="C69" s="6">
        <v>180.0</v>
      </c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139</v>
      </c>
      <c r="B70" s="5" t="s">
        <v>140</v>
      </c>
      <c r="C70" s="6">
        <v>150.0</v>
      </c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141</v>
      </c>
      <c r="B71" s="5" t="s">
        <v>142</v>
      </c>
      <c r="C71" s="6">
        <v>120.0</v>
      </c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143</v>
      </c>
      <c r="B72" s="5" t="s">
        <v>144</v>
      </c>
      <c r="C72" s="6">
        <v>100.0</v>
      </c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145</v>
      </c>
      <c r="B73" s="5" t="s">
        <v>146</v>
      </c>
      <c r="C73" s="6">
        <v>350.0</v>
      </c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147</v>
      </c>
      <c r="B74" s="5" t="s">
        <v>148</v>
      </c>
      <c r="C74" s="6">
        <v>50.0</v>
      </c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149</v>
      </c>
      <c r="B75" s="5" t="s">
        <v>150</v>
      </c>
      <c r="C75" s="6">
        <v>80.0</v>
      </c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151</v>
      </c>
      <c r="B76" s="5" t="s">
        <v>152</v>
      </c>
      <c r="C76" s="6">
        <v>200.0</v>
      </c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153</v>
      </c>
      <c r="B77" s="5" t="s">
        <v>154</v>
      </c>
      <c r="C77" s="6">
        <v>90.0</v>
      </c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155</v>
      </c>
      <c r="B78" s="5" t="s">
        <v>156</v>
      </c>
      <c r="C78" s="6">
        <v>250.0</v>
      </c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157</v>
      </c>
      <c r="B79" s="5" t="s">
        <v>158</v>
      </c>
      <c r="C79" s="6">
        <v>100.0</v>
      </c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159</v>
      </c>
      <c r="B80" s="5" t="s">
        <v>160</v>
      </c>
      <c r="C80" s="6">
        <v>150.0</v>
      </c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161</v>
      </c>
      <c r="B81" s="5" t="s">
        <v>162</v>
      </c>
      <c r="C81" s="6">
        <v>120.0</v>
      </c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163</v>
      </c>
      <c r="B82" s="5" t="s">
        <v>164</v>
      </c>
      <c r="C82" s="6">
        <v>20.0</v>
      </c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165</v>
      </c>
      <c r="B83" s="5" t="s">
        <v>166</v>
      </c>
      <c r="C83" s="6">
        <v>80.0</v>
      </c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167</v>
      </c>
      <c r="B84" s="5" t="s">
        <v>168</v>
      </c>
      <c r="C84" s="6">
        <v>250.0</v>
      </c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169</v>
      </c>
      <c r="B85" s="5" t="s">
        <v>170</v>
      </c>
      <c r="C85" s="6">
        <v>100.0</v>
      </c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171</v>
      </c>
      <c r="B86" s="5" t="s">
        <v>172</v>
      </c>
      <c r="C86" s="6">
        <v>20.0</v>
      </c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173</v>
      </c>
      <c r="B87" s="5" t="s">
        <v>174</v>
      </c>
      <c r="C87" s="6">
        <v>80.0</v>
      </c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175</v>
      </c>
      <c r="B88" s="5" t="s">
        <v>176</v>
      </c>
      <c r="C88" s="6">
        <v>120.0</v>
      </c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177</v>
      </c>
      <c r="B89" s="5" t="s">
        <v>178</v>
      </c>
      <c r="C89" s="6">
        <v>150.0</v>
      </c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179</v>
      </c>
      <c r="B90" s="5" t="s">
        <v>180</v>
      </c>
      <c r="C90" s="6">
        <v>200.0</v>
      </c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181</v>
      </c>
      <c r="B91" s="5" t="s">
        <v>182</v>
      </c>
      <c r="C91" s="6">
        <v>150.0</v>
      </c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183</v>
      </c>
      <c r="B92" s="5" t="s">
        <v>184</v>
      </c>
      <c r="C92" s="6">
        <v>250.0</v>
      </c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185</v>
      </c>
      <c r="B93" s="5" t="s">
        <v>186</v>
      </c>
      <c r="C93" s="6">
        <v>300.0</v>
      </c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187</v>
      </c>
      <c r="B94" s="5" t="s">
        <v>188</v>
      </c>
      <c r="C94" s="6">
        <v>150.0</v>
      </c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189</v>
      </c>
      <c r="B95" s="5" t="s">
        <v>190</v>
      </c>
      <c r="C95" s="6">
        <v>200.0</v>
      </c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191</v>
      </c>
      <c r="B96" s="5" t="s">
        <v>192</v>
      </c>
      <c r="C96" s="6">
        <v>120.0</v>
      </c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193</v>
      </c>
      <c r="B97" s="5" t="s">
        <v>194</v>
      </c>
      <c r="C97" s="6">
        <v>100.0</v>
      </c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195</v>
      </c>
      <c r="B98" s="5" t="s">
        <v>196</v>
      </c>
      <c r="C98" s="6">
        <v>200.0</v>
      </c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197</v>
      </c>
      <c r="B99" s="5" t="s">
        <v>198</v>
      </c>
      <c r="C99" s="6">
        <v>200.0</v>
      </c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199</v>
      </c>
      <c r="B100" s="5" t="s">
        <v>200</v>
      </c>
      <c r="C100" s="6">
        <v>150.0</v>
      </c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201</v>
      </c>
      <c r="B101" s="5" t="s">
        <v>202</v>
      </c>
      <c r="C101" s="6">
        <v>90.0</v>
      </c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63.14"/>
    <col customWidth="1" min="3" max="3" width="13.86"/>
    <col customWidth="1" min="4" max="26" width="50.0"/>
  </cols>
  <sheetData>
    <row r="1">
      <c r="A1" s="1" t="s">
        <v>0</v>
      </c>
      <c r="B1" s="1" t="s">
        <v>1</v>
      </c>
      <c r="C1" s="1" t="s">
        <v>203</v>
      </c>
    </row>
    <row r="2">
      <c r="A2" s="4" t="s">
        <v>3</v>
      </c>
      <c r="B2" s="5" t="s">
        <v>4</v>
      </c>
      <c r="C2" s="9">
        <v>100.0</v>
      </c>
    </row>
    <row r="3">
      <c r="A3" s="4" t="s">
        <v>5</v>
      </c>
      <c r="B3" s="5" t="s">
        <v>6</v>
      </c>
      <c r="C3" s="9">
        <v>100.0</v>
      </c>
    </row>
    <row r="4">
      <c r="A4" s="4" t="s">
        <v>7</v>
      </c>
      <c r="B4" s="5" t="s">
        <v>8</v>
      </c>
      <c r="C4" s="9">
        <v>70.0</v>
      </c>
    </row>
    <row r="5">
      <c r="A5" s="4" t="s">
        <v>9</v>
      </c>
      <c r="B5" s="5" t="s">
        <v>10</v>
      </c>
      <c r="C5" s="9">
        <v>70.0</v>
      </c>
    </row>
    <row r="6">
      <c r="A6" s="4" t="s">
        <v>11</v>
      </c>
      <c r="B6" s="5" t="s">
        <v>12</v>
      </c>
      <c r="C6" s="9">
        <v>70.0</v>
      </c>
    </row>
    <row r="7">
      <c r="A7" s="4" t="s">
        <v>13</v>
      </c>
      <c r="B7" s="5" t="s">
        <v>14</v>
      </c>
      <c r="C7" s="9">
        <v>70.0</v>
      </c>
    </row>
    <row r="8">
      <c r="A8" s="4" t="s">
        <v>15</v>
      </c>
      <c r="B8" s="5" t="s">
        <v>16</v>
      </c>
      <c r="C8" s="9">
        <v>70.0</v>
      </c>
    </row>
    <row r="9">
      <c r="A9" s="4" t="s">
        <v>17</v>
      </c>
      <c r="B9" s="5" t="s">
        <v>18</v>
      </c>
      <c r="C9" s="9">
        <v>50.0</v>
      </c>
    </row>
    <row r="10">
      <c r="A10" s="4" t="s">
        <v>19</v>
      </c>
      <c r="B10" s="5" t="s">
        <v>20</v>
      </c>
      <c r="C10" s="9">
        <v>50.0</v>
      </c>
    </row>
    <row r="11">
      <c r="A11" s="4" t="s">
        <v>21</v>
      </c>
      <c r="B11" s="5" t="s">
        <v>22</v>
      </c>
      <c r="C11" s="9">
        <v>100.0</v>
      </c>
    </row>
    <row r="12">
      <c r="A12" s="4" t="s">
        <v>23</v>
      </c>
      <c r="B12" s="5" t="s">
        <v>24</v>
      </c>
      <c r="C12" s="9">
        <v>50.0</v>
      </c>
    </row>
    <row r="13">
      <c r="A13" s="4" t="s">
        <v>25</v>
      </c>
      <c r="B13" s="5" t="s">
        <v>26</v>
      </c>
      <c r="C13" s="9">
        <v>50.0</v>
      </c>
    </row>
    <row r="14">
      <c r="A14" s="4" t="s">
        <v>27</v>
      </c>
      <c r="B14" s="5" t="s">
        <v>28</v>
      </c>
      <c r="C14" s="9">
        <v>50.0</v>
      </c>
    </row>
    <row r="15">
      <c r="A15" s="4" t="s">
        <v>29</v>
      </c>
      <c r="B15" s="5" t="s">
        <v>30</v>
      </c>
      <c r="C15" s="9">
        <v>50.0</v>
      </c>
    </row>
    <row r="16">
      <c r="A16" s="4" t="s">
        <v>31</v>
      </c>
      <c r="B16" s="5" t="s">
        <v>32</v>
      </c>
      <c r="C16" s="9">
        <v>50.0</v>
      </c>
    </row>
    <row r="17">
      <c r="A17" s="4" t="s">
        <v>33</v>
      </c>
      <c r="B17" s="5" t="s">
        <v>34</v>
      </c>
      <c r="C17" s="9">
        <v>50.0</v>
      </c>
    </row>
    <row r="18">
      <c r="A18" s="4" t="s">
        <v>35</v>
      </c>
      <c r="B18" s="5" t="s">
        <v>36</v>
      </c>
      <c r="C18" s="9">
        <v>50.0</v>
      </c>
    </row>
    <row r="19">
      <c r="A19" s="4" t="s">
        <v>37</v>
      </c>
      <c r="B19" s="5" t="s">
        <v>38</v>
      </c>
      <c r="C19" s="9">
        <v>50.0</v>
      </c>
    </row>
    <row r="20">
      <c r="A20" s="4" t="s">
        <v>39</v>
      </c>
      <c r="B20" s="5" t="s">
        <v>40</v>
      </c>
      <c r="C20" s="9">
        <v>50.0</v>
      </c>
    </row>
    <row r="21" ht="15.75" customHeight="1">
      <c r="A21" s="4" t="s">
        <v>41</v>
      </c>
      <c r="B21" s="5" t="s">
        <v>42</v>
      </c>
      <c r="C21" s="9">
        <v>50.0</v>
      </c>
    </row>
    <row r="22" ht="15.75" customHeight="1">
      <c r="A22" s="4" t="s">
        <v>43</v>
      </c>
      <c r="B22" s="5" t="s">
        <v>44</v>
      </c>
      <c r="C22" s="9">
        <v>50.0</v>
      </c>
    </row>
    <row r="23" ht="15.75" customHeight="1">
      <c r="A23" s="4" t="s">
        <v>45</v>
      </c>
      <c r="B23" s="5" t="s">
        <v>46</v>
      </c>
      <c r="C23" s="9">
        <v>50.0</v>
      </c>
    </row>
    <row r="24" ht="15.75" customHeight="1">
      <c r="A24" s="4" t="s">
        <v>47</v>
      </c>
      <c r="B24" s="5" t="s">
        <v>48</v>
      </c>
      <c r="C24" s="9">
        <v>50.0</v>
      </c>
    </row>
    <row r="25" ht="15.75" customHeight="1">
      <c r="A25" s="4" t="s">
        <v>49</v>
      </c>
      <c r="B25" s="5" t="s">
        <v>50</v>
      </c>
      <c r="C25" s="9">
        <v>50.0</v>
      </c>
    </row>
    <row r="26" ht="15.75" customHeight="1">
      <c r="A26" s="4" t="s">
        <v>51</v>
      </c>
      <c r="B26" s="5" t="s">
        <v>52</v>
      </c>
      <c r="C26" s="9">
        <v>50.0</v>
      </c>
    </row>
    <row r="27" ht="15.75" customHeight="1">
      <c r="A27" s="4" t="s">
        <v>53</v>
      </c>
      <c r="B27" s="5" t="s">
        <v>54</v>
      </c>
      <c r="C27" s="9">
        <v>50.0</v>
      </c>
    </row>
    <row r="28" ht="15.75" customHeight="1">
      <c r="A28" s="4" t="s">
        <v>55</v>
      </c>
      <c r="B28" s="5" t="s">
        <v>56</v>
      </c>
      <c r="C28" s="9">
        <v>100.0</v>
      </c>
    </row>
    <row r="29" ht="15.75" customHeight="1">
      <c r="A29" s="4" t="s">
        <v>57</v>
      </c>
      <c r="B29" s="5" t="s">
        <v>58</v>
      </c>
      <c r="C29" s="9">
        <v>100.0</v>
      </c>
    </row>
    <row r="30" ht="15.75" customHeight="1">
      <c r="A30" s="4" t="s">
        <v>59</v>
      </c>
      <c r="B30" s="5" t="s">
        <v>60</v>
      </c>
      <c r="C30" s="9">
        <v>100.0</v>
      </c>
    </row>
    <row r="31" ht="15.75" customHeight="1">
      <c r="A31" s="4" t="s">
        <v>61</v>
      </c>
      <c r="B31" s="5" t="s">
        <v>62</v>
      </c>
      <c r="C31" s="9">
        <v>50.0</v>
      </c>
    </row>
    <row r="32" ht="15.75" customHeight="1">
      <c r="A32" s="4" t="s">
        <v>63</v>
      </c>
      <c r="B32" s="5" t="s">
        <v>64</v>
      </c>
      <c r="C32" s="9">
        <v>70.0</v>
      </c>
    </row>
    <row r="33" ht="15.75" customHeight="1">
      <c r="A33" s="4" t="s">
        <v>65</v>
      </c>
      <c r="B33" s="5" t="s">
        <v>66</v>
      </c>
      <c r="C33" s="9">
        <v>100.0</v>
      </c>
    </row>
    <row r="34" ht="15.75" customHeight="1">
      <c r="A34" s="4" t="s">
        <v>67</v>
      </c>
      <c r="B34" s="5" t="s">
        <v>68</v>
      </c>
      <c r="C34" s="9">
        <v>100.0</v>
      </c>
    </row>
    <row r="35" ht="15.75" customHeight="1">
      <c r="A35" s="4" t="s">
        <v>69</v>
      </c>
      <c r="B35" s="5" t="s">
        <v>70</v>
      </c>
      <c r="C35" s="9">
        <v>100.0</v>
      </c>
    </row>
    <row r="36" ht="15.75" customHeight="1">
      <c r="A36" s="4" t="s">
        <v>71</v>
      </c>
      <c r="B36" s="5" t="s">
        <v>72</v>
      </c>
      <c r="C36" s="9">
        <v>100.0</v>
      </c>
    </row>
    <row r="37" ht="15.75" customHeight="1">
      <c r="A37" s="4" t="s">
        <v>73</v>
      </c>
      <c r="B37" s="5" t="s">
        <v>74</v>
      </c>
      <c r="C37" s="9">
        <v>100.0</v>
      </c>
    </row>
    <row r="38" ht="15.75" customHeight="1">
      <c r="A38" s="4" t="s">
        <v>75</v>
      </c>
      <c r="B38" s="5" t="s">
        <v>76</v>
      </c>
      <c r="C38" s="9">
        <v>100.0</v>
      </c>
    </row>
    <row r="39" ht="15.75" customHeight="1">
      <c r="A39" s="4" t="s">
        <v>77</v>
      </c>
      <c r="B39" s="5" t="s">
        <v>78</v>
      </c>
      <c r="C39" s="9">
        <v>100.0</v>
      </c>
    </row>
    <row r="40" ht="15.75" customHeight="1">
      <c r="A40" s="4" t="s">
        <v>79</v>
      </c>
      <c r="B40" s="5" t="s">
        <v>80</v>
      </c>
      <c r="C40" s="9">
        <v>100.0</v>
      </c>
    </row>
    <row r="41" ht="15.75" customHeight="1">
      <c r="A41" s="4" t="s">
        <v>81</v>
      </c>
      <c r="B41" s="5" t="s">
        <v>82</v>
      </c>
      <c r="C41" s="9">
        <v>100.0</v>
      </c>
    </row>
    <row r="42" ht="15.75" customHeight="1">
      <c r="A42" s="4" t="s">
        <v>83</v>
      </c>
      <c r="B42" s="5" t="s">
        <v>84</v>
      </c>
      <c r="C42" s="9">
        <v>100.0</v>
      </c>
    </row>
    <row r="43" ht="15.75" customHeight="1">
      <c r="A43" s="4" t="s">
        <v>85</v>
      </c>
      <c r="B43" s="5" t="s">
        <v>86</v>
      </c>
      <c r="C43" s="9">
        <v>100.0</v>
      </c>
    </row>
    <row r="44" ht="15.75" customHeight="1">
      <c r="A44" s="4" t="s">
        <v>87</v>
      </c>
      <c r="B44" s="5" t="s">
        <v>88</v>
      </c>
      <c r="C44" s="9">
        <v>100.0</v>
      </c>
    </row>
    <row r="45" ht="15.75" customHeight="1">
      <c r="A45" s="4" t="s">
        <v>89</v>
      </c>
      <c r="B45" s="5" t="s">
        <v>90</v>
      </c>
      <c r="C45" s="9">
        <v>100.0</v>
      </c>
    </row>
    <row r="46" ht="15.75" customHeight="1">
      <c r="A46" s="4" t="s">
        <v>91</v>
      </c>
      <c r="B46" s="5" t="s">
        <v>92</v>
      </c>
      <c r="C46" s="9">
        <v>100.0</v>
      </c>
    </row>
    <row r="47" ht="15.75" customHeight="1">
      <c r="A47" s="4" t="s">
        <v>93</v>
      </c>
      <c r="B47" s="5" t="s">
        <v>94</v>
      </c>
      <c r="C47" s="9">
        <v>100.0</v>
      </c>
    </row>
    <row r="48" ht="15.75" customHeight="1">
      <c r="A48" s="4" t="s">
        <v>95</v>
      </c>
      <c r="B48" s="5" t="s">
        <v>96</v>
      </c>
      <c r="C48" s="9">
        <v>100.0</v>
      </c>
    </row>
    <row r="49" ht="15.75" customHeight="1">
      <c r="A49" s="4" t="s">
        <v>97</v>
      </c>
      <c r="B49" s="5" t="s">
        <v>98</v>
      </c>
      <c r="C49" s="9">
        <v>100.0</v>
      </c>
    </row>
    <row r="50" ht="15.75" customHeight="1">
      <c r="A50" s="4" t="s">
        <v>99</v>
      </c>
      <c r="B50" s="5" t="s">
        <v>100</v>
      </c>
      <c r="C50" s="9">
        <v>50.0</v>
      </c>
    </row>
    <row r="51" ht="15.75" customHeight="1">
      <c r="A51" s="4" t="s">
        <v>101</v>
      </c>
      <c r="B51" s="5" t="s">
        <v>102</v>
      </c>
      <c r="C51" s="9">
        <v>50.0</v>
      </c>
    </row>
    <row r="52" ht="15.75" customHeight="1">
      <c r="A52" s="4" t="s">
        <v>103</v>
      </c>
      <c r="B52" s="5" t="s">
        <v>104</v>
      </c>
      <c r="C52" s="9">
        <v>50.0</v>
      </c>
    </row>
    <row r="53" ht="15.75" customHeight="1">
      <c r="A53" s="4" t="s">
        <v>105</v>
      </c>
      <c r="B53" s="5" t="s">
        <v>106</v>
      </c>
      <c r="C53" s="9">
        <v>50.0</v>
      </c>
    </row>
    <row r="54" ht="15.75" customHeight="1">
      <c r="A54" s="4" t="s">
        <v>107</v>
      </c>
      <c r="B54" s="5" t="s">
        <v>108</v>
      </c>
      <c r="C54" s="9">
        <v>50.0</v>
      </c>
    </row>
    <row r="55" ht="15.75" customHeight="1">
      <c r="A55" s="4" t="s">
        <v>109</v>
      </c>
      <c r="B55" s="5" t="s">
        <v>110</v>
      </c>
      <c r="C55" s="9">
        <v>50.0</v>
      </c>
    </row>
    <row r="56" ht="15.75" customHeight="1">
      <c r="A56" s="4" t="s">
        <v>111</v>
      </c>
      <c r="B56" s="5" t="s">
        <v>112</v>
      </c>
      <c r="C56" s="9">
        <v>50.0</v>
      </c>
    </row>
    <row r="57" ht="15.75" customHeight="1">
      <c r="A57" s="4" t="s">
        <v>113</v>
      </c>
      <c r="B57" s="5" t="s">
        <v>114</v>
      </c>
      <c r="C57" s="9">
        <v>50.0</v>
      </c>
    </row>
    <row r="58" ht="15.75" customHeight="1">
      <c r="A58" s="4" t="s">
        <v>115</v>
      </c>
      <c r="B58" s="5" t="s">
        <v>116</v>
      </c>
      <c r="C58" s="9">
        <v>50.0</v>
      </c>
    </row>
    <row r="59" ht="15.75" customHeight="1">
      <c r="A59" s="4" t="s">
        <v>117</v>
      </c>
      <c r="B59" s="5" t="s">
        <v>118</v>
      </c>
      <c r="C59" s="9">
        <v>50.0</v>
      </c>
    </row>
    <row r="60" ht="15.75" customHeight="1">
      <c r="A60" s="4" t="s">
        <v>119</v>
      </c>
      <c r="B60" s="5" t="s">
        <v>120</v>
      </c>
      <c r="C60" s="9">
        <v>50.0</v>
      </c>
    </row>
    <row r="61" ht="15.75" customHeight="1">
      <c r="A61" s="4" t="s">
        <v>121</v>
      </c>
      <c r="B61" s="5" t="s">
        <v>122</v>
      </c>
      <c r="C61" s="9">
        <v>50.0</v>
      </c>
    </row>
    <row r="62" ht="15.75" customHeight="1">
      <c r="A62" s="4" t="s">
        <v>123</v>
      </c>
      <c r="B62" s="5" t="s">
        <v>124</v>
      </c>
      <c r="C62" s="9">
        <v>50.0</v>
      </c>
    </row>
    <row r="63" ht="15.75" customHeight="1">
      <c r="A63" s="4" t="s">
        <v>125</v>
      </c>
      <c r="B63" s="5" t="s">
        <v>126</v>
      </c>
      <c r="C63" s="9">
        <v>50.0</v>
      </c>
    </row>
    <row r="64" ht="15.75" customHeight="1">
      <c r="A64" s="4" t="s">
        <v>127</v>
      </c>
      <c r="B64" s="5" t="s">
        <v>128</v>
      </c>
      <c r="C64" s="9">
        <v>50.0</v>
      </c>
    </row>
    <row r="65" ht="15.75" customHeight="1">
      <c r="A65" s="4" t="s">
        <v>129</v>
      </c>
      <c r="B65" s="5" t="s">
        <v>130</v>
      </c>
      <c r="C65" s="9">
        <v>50.0</v>
      </c>
    </row>
    <row r="66" ht="15.75" customHeight="1">
      <c r="A66" s="4" t="s">
        <v>131</v>
      </c>
      <c r="B66" s="5" t="s">
        <v>132</v>
      </c>
      <c r="C66" s="9">
        <v>50.0</v>
      </c>
    </row>
    <row r="67" ht="15.75" customHeight="1">
      <c r="A67" s="4" t="s">
        <v>133</v>
      </c>
      <c r="B67" s="5" t="s">
        <v>134</v>
      </c>
      <c r="C67" s="9">
        <v>50.0</v>
      </c>
    </row>
    <row r="68" ht="15.75" customHeight="1">
      <c r="A68" s="4" t="s">
        <v>135</v>
      </c>
      <c r="B68" s="5" t="s">
        <v>136</v>
      </c>
      <c r="C68" s="9">
        <v>70.0</v>
      </c>
    </row>
    <row r="69" ht="15.75" customHeight="1">
      <c r="A69" s="4" t="s">
        <v>137</v>
      </c>
      <c r="B69" s="5" t="s">
        <v>138</v>
      </c>
      <c r="C69" s="9">
        <v>70.0</v>
      </c>
    </row>
    <row r="70" ht="15.75" customHeight="1">
      <c r="A70" s="4" t="s">
        <v>139</v>
      </c>
      <c r="B70" s="5" t="s">
        <v>140</v>
      </c>
      <c r="C70" s="9">
        <v>70.0</v>
      </c>
    </row>
    <row r="71" ht="15.75" customHeight="1">
      <c r="A71" s="4" t="s">
        <v>141</v>
      </c>
      <c r="B71" s="5" t="s">
        <v>142</v>
      </c>
      <c r="C71" s="9">
        <v>70.0</v>
      </c>
    </row>
    <row r="72" ht="15.75" customHeight="1">
      <c r="A72" s="4" t="s">
        <v>143</v>
      </c>
      <c r="B72" s="5" t="s">
        <v>144</v>
      </c>
      <c r="C72" s="9">
        <v>70.0</v>
      </c>
    </row>
    <row r="73" ht="15.75" customHeight="1">
      <c r="A73" s="4" t="s">
        <v>145</v>
      </c>
      <c r="B73" s="5" t="s">
        <v>146</v>
      </c>
      <c r="C73" s="9">
        <v>100.0</v>
      </c>
    </row>
    <row r="74" ht="15.75" customHeight="1">
      <c r="A74" s="4" t="s">
        <v>147</v>
      </c>
      <c r="B74" s="5" t="s">
        <v>148</v>
      </c>
      <c r="C74" s="9">
        <v>100.0</v>
      </c>
    </row>
    <row r="75" ht="15.75" customHeight="1">
      <c r="A75" s="4" t="s">
        <v>149</v>
      </c>
      <c r="B75" s="5" t="s">
        <v>150</v>
      </c>
      <c r="C75" s="9">
        <v>100.0</v>
      </c>
    </row>
    <row r="76" ht="15.75" customHeight="1">
      <c r="A76" s="4" t="s">
        <v>151</v>
      </c>
      <c r="B76" s="5" t="s">
        <v>152</v>
      </c>
      <c r="C76" s="9">
        <v>100.0</v>
      </c>
    </row>
    <row r="77" ht="15.75" customHeight="1">
      <c r="A77" s="4" t="s">
        <v>153</v>
      </c>
      <c r="B77" s="5" t="s">
        <v>154</v>
      </c>
      <c r="C77" s="9">
        <v>100.0</v>
      </c>
    </row>
    <row r="78" ht="15.75" customHeight="1">
      <c r="A78" s="4" t="s">
        <v>155</v>
      </c>
      <c r="B78" s="5" t="s">
        <v>156</v>
      </c>
      <c r="C78" s="9">
        <v>100.0</v>
      </c>
    </row>
    <row r="79" ht="15.75" customHeight="1">
      <c r="A79" s="4" t="s">
        <v>157</v>
      </c>
      <c r="B79" s="5" t="s">
        <v>158</v>
      </c>
      <c r="C79" s="9">
        <v>100.0</v>
      </c>
    </row>
    <row r="80" ht="15.75" customHeight="1">
      <c r="A80" s="4" t="s">
        <v>159</v>
      </c>
      <c r="B80" s="5" t="s">
        <v>160</v>
      </c>
      <c r="C80" s="9">
        <v>100.0</v>
      </c>
    </row>
    <row r="81" ht="15.75" customHeight="1">
      <c r="A81" s="4" t="s">
        <v>161</v>
      </c>
      <c r="B81" s="5" t="s">
        <v>162</v>
      </c>
      <c r="C81" s="9">
        <v>100.0</v>
      </c>
    </row>
    <row r="82" ht="15.75" customHeight="1">
      <c r="A82" s="4" t="s">
        <v>163</v>
      </c>
      <c r="B82" s="5" t="s">
        <v>164</v>
      </c>
      <c r="C82" s="9">
        <v>100.0</v>
      </c>
    </row>
    <row r="83" ht="15.75" customHeight="1">
      <c r="A83" s="4" t="s">
        <v>165</v>
      </c>
      <c r="B83" s="5" t="s">
        <v>166</v>
      </c>
      <c r="C83" s="9">
        <v>100.0</v>
      </c>
    </row>
    <row r="84" ht="15.75" customHeight="1">
      <c r="A84" s="4" t="s">
        <v>167</v>
      </c>
      <c r="B84" s="5" t="s">
        <v>168</v>
      </c>
      <c r="C84" s="9">
        <v>100.0</v>
      </c>
    </row>
    <row r="85" ht="15.75" customHeight="1">
      <c r="A85" s="4" t="s">
        <v>169</v>
      </c>
      <c r="B85" s="5" t="s">
        <v>170</v>
      </c>
      <c r="C85" s="9">
        <v>100.0</v>
      </c>
    </row>
    <row r="86" ht="15.75" customHeight="1">
      <c r="A86" s="4" t="s">
        <v>171</v>
      </c>
      <c r="B86" s="5" t="s">
        <v>172</v>
      </c>
      <c r="C86" s="9">
        <v>70.0</v>
      </c>
    </row>
    <row r="87" ht="15.75" customHeight="1">
      <c r="A87" s="4" t="s">
        <v>173</v>
      </c>
      <c r="B87" s="5" t="s">
        <v>174</v>
      </c>
      <c r="C87" s="9">
        <v>50.0</v>
      </c>
    </row>
    <row r="88" ht="15.75" customHeight="1">
      <c r="A88" s="4" t="s">
        <v>175</v>
      </c>
      <c r="B88" s="5" t="s">
        <v>176</v>
      </c>
      <c r="C88" s="9">
        <v>50.0</v>
      </c>
    </row>
    <row r="89" ht="15.75" customHeight="1">
      <c r="A89" s="4" t="s">
        <v>177</v>
      </c>
      <c r="B89" s="5" t="s">
        <v>178</v>
      </c>
      <c r="C89" s="9">
        <v>50.0</v>
      </c>
    </row>
    <row r="90" ht="15.75" customHeight="1">
      <c r="A90" s="4" t="s">
        <v>179</v>
      </c>
      <c r="B90" s="5" t="s">
        <v>180</v>
      </c>
      <c r="C90" s="9">
        <v>50.0</v>
      </c>
    </row>
    <row r="91" ht="15.75" customHeight="1">
      <c r="A91" s="4" t="s">
        <v>181</v>
      </c>
      <c r="B91" s="5" t="s">
        <v>182</v>
      </c>
      <c r="C91" s="9">
        <v>70.0</v>
      </c>
    </row>
    <row r="92" ht="15.75" customHeight="1">
      <c r="A92" s="4" t="s">
        <v>183</v>
      </c>
      <c r="B92" s="5" t="s">
        <v>184</v>
      </c>
      <c r="C92" s="9">
        <v>70.0</v>
      </c>
    </row>
    <row r="93" ht="15.75" customHeight="1">
      <c r="A93" s="4" t="s">
        <v>185</v>
      </c>
      <c r="B93" s="5" t="s">
        <v>186</v>
      </c>
      <c r="C93" s="9">
        <v>70.0</v>
      </c>
    </row>
    <row r="94" ht="15.75" customHeight="1">
      <c r="A94" s="4" t="s">
        <v>187</v>
      </c>
      <c r="B94" s="5" t="s">
        <v>188</v>
      </c>
      <c r="C94" s="9">
        <v>70.0</v>
      </c>
    </row>
    <row r="95" ht="15.75" customHeight="1">
      <c r="A95" s="4" t="s">
        <v>189</v>
      </c>
      <c r="B95" s="5" t="s">
        <v>190</v>
      </c>
      <c r="C95" s="9">
        <v>70.0</v>
      </c>
    </row>
    <row r="96" ht="15.75" customHeight="1">
      <c r="A96" s="4" t="s">
        <v>191</v>
      </c>
      <c r="B96" s="5" t="s">
        <v>192</v>
      </c>
      <c r="C96" s="9">
        <v>100.0</v>
      </c>
    </row>
    <row r="97" ht="15.75" customHeight="1">
      <c r="A97" s="4" t="s">
        <v>193</v>
      </c>
      <c r="B97" s="5" t="s">
        <v>194</v>
      </c>
      <c r="C97" s="9">
        <v>100.0</v>
      </c>
    </row>
    <row r="98" ht="15.75" customHeight="1">
      <c r="A98" s="4" t="s">
        <v>195</v>
      </c>
      <c r="B98" s="5" t="s">
        <v>196</v>
      </c>
      <c r="C98" s="9">
        <v>100.0</v>
      </c>
    </row>
    <row r="99" ht="15.75" customHeight="1">
      <c r="A99" s="4" t="s">
        <v>197</v>
      </c>
      <c r="B99" s="5" t="s">
        <v>198</v>
      </c>
      <c r="C99" s="9">
        <v>100.0</v>
      </c>
    </row>
    <row r="100" ht="15.75" customHeight="1">
      <c r="A100" s="4" t="s">
        <v>199</v>
      </c>
      <c r="B100" s="5" t="s">
        <v>200</v>
      </c>
      <c r="C100" s="9">
        <v>100.0</v>
      </c>
    </row>
    <row r="101" ht="15.75" customHeight="1">
      <c r="A101" s="4" t="s">
        <v>201</v>
      </c>
      <c r="B101" s="5" t="s">
        <v>202</v>
      </c>
      <c r="C101" s="9">
        <v>100.0</v>
      </c>
    </row>
    <row r="102" ht="15.75" customHeight="1">
      <c r="A102" s="10" t="s">
        <v>204</v>
      </c>
      <c r="B102" s="11"/>
      <c r="C102" s="12">
        <f>SUM(C2:C101)</f>
        <v>7440</v>
      </c>
      <c r="D102" s="13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mergeCells count="1">
    <mergeCell ref="A102:B10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9.29"/>
    <col customWidth="1" min="4" max="5" width="14.43"/>
    <col customWidth="1" min="6" max="6" width="24.29"/>
    <col customWidth="1" min="7" max="26" width="14.43"/>
  </cols>
  <sheetData>
    <row r="1">
      <c r="A1" s="16" t="s">
        <v>205</v>
      </c>
      <c r="B1" s="1" t="s">
        <v>206</v>
      </c>
      <c r="C1" s="1" t="s">
        <v>207</v>
      </c>
      <c r="D1" s="1" t="s">
        <v>208</v>
      </c>
      <c r="E1" s="17" t="s">
        <v>209</v>
      </c>
      <c r="F1" s="17" t="s">
        <v>1</v>
      </c>
      <c r="G1" s="2" t="s">
        <v>2</v>
      </c>
      <c r="H1" s="17" t="s">
        <v>203</v>
      </c>
      <c r="I1" s="2" t="s">
        <v>210</v>
      </c>
    </row>
    <row r="2">
      <c r="A2" s="18">
        <f>IFERROR($B2-WEEKDAY($B2,1)+7,"")</f>
        <v>45801</v>
      </c>
      <c r="B2" s="19">
        <f t="shared" ref="B2:B1051" si="1">IFERROR(INT($C2),"")</f>
        <v>45795</v>
      </c>
      <c r="C2" s="20" t="s">
        <v>211</v>
      </c>
      <c r="D2" s="9" t="s">
        <v>212</v>
      </c>
      <c r="E2" s="9" t="s">
        <v>3</v>
      </c>
      <c r="F2" s="9" t="str">
        <f t="array" ref="F2:G2">XLOOKUP($E2,product_epicenter!$A$2:$A$101,product_epicenter!$B$2:$C$101)</f>
        <v>Rice 1kg </v>
      </c>
      <c r="G2" s="21">
        <v>60.0</v>
      </c>
      <c r="H2" s="9">
        <v>2.0</v>
      </c>
      <c r="I2" s="21">
        <f t="shared" ref="I2:I1051" si="2">IFERROR($G2*$H2,"")</f>
        <v>120</v>
      </c>
    </row>
    <row r="3">
      <c r="A3" s="18">
        <f t="shared" ref="A3:A1051" si="3">IFERROR(B3-WEEKDAY(B3,1)+7,"")</f>
        <v>45801</v>
      </c>
      <c r="B3" s="19">
        <f t="shared" si="1"/>
        <v>45795</v>
      </c>
      <c r="C3" s="20" t="s">
        <v>211</v>
      </c>
      <c r="D3" s="9" t="s">
        <v>212</v>
      </c>
      <c r="E3" s="9" t="s">
        <v>41</v>
      </c>
      <c r="F3" s="9" t="str">
        <f t="array" ref="F3:G3">XLOOKUP($E3,product_epicenter!$A$2:$A$101,product_epicenter!$B$2:$C$101)</f>
        <v>Oranges 1kg </v>
      </c>
      <c r="G3" s="21">
        <v>100.0</v>
      </c>
      <c r="H3" s="9">
        <v>4.0</v>
      </c>
      <c r="I3" s="21">
        <f t="shared" si="2"/>
        <v>400</v>
      </c>
    </row>
    <row r="4">
      <c r="A4" s="18">
        <f t="shared" si="3"/>
        <v>45801</v>
      </c>
      <c r="B4" s="19">
        <f t="shared" si="1"/>
        <v>45795</v>
      </c>
      <c r="C4" s="20" t="s">
        <v>211</v>
      </c>
      <c r="D4" s="9" t="s">
        <v>212</v>
      </c>
      <c r="E4" s="9" t="s">
        <v>9</v>
      </c>
      <c r="F4" s="9" t="str">
        <f t="array" ref="F4:G4">XLOOKUP($E4,product_epicenter!$A$2:$A$101,product_epicenter!$B$2:$C$101)</f>
        <v>Aata (Wheat Flour) 1kg </v>
      </c>
      <c r="G4" s="21">
        <v>40.0</v>
      </c>
      <c r="H4" s="9">
        <v>3.0</v>
      </c>
      <c r="I4" s="21">
        <f t="shared" si="2"/>
        <v>120</v>
      </c>
    </row>
    <row r="5">
      <c r="A5" s="18">
        <f t="shared" si="3"/>
        <v>45801</v>
      </c>
      <c r="B5" s="19">
        <f t="shared" si="1"/>
        <v>45795</v>
      </c>
      <c r="C5" s="20" t="s">
        <v>213</v>
      </c>
      <c r="D5" s="9" t="s">
        <v>214</v>
      </c>
      <c r="E5" s="9" t="s">
        <v>5</v>
      </c>
      <c r="F5" s="9" t="str">
        <f t="array" ref="F5:G5">XLOOKUP($E5,product_epicenter!$A$2:$A$101,product_epicenter!$B$2:$C$101)</f>
        <v>Dal (Lentils) 1kg </v>
      </c>
      <c r="G5" s="21">
        <v>100.0</v>
      </c>
      <c r="H5" s="9">
        <v>4.0</v>
      </c>
      <c r="I5" s="21">
        <f t="shared" si="2"/>
        <v>400</v>
      </c>
    </row>
    <row r="6">
      <c r="A6" s="18">
        <f t="shared" si="3"/>
        <v>45801</v>
      </c>
      <c r="B6" s="19">
        <f t="shared" si="1"/>
        <v>45795</v>
      </c>
      <c r="C6" s="20" t="s">
        <v>213</v>
      </c>
      <c r="D6" s="9" t="s">
        <v>214</v>
      </c>
      <c r="E6" s="9" t="s">
        <v>137</v>
      </c>
      <c r="F6" s="9" t="str">
        <f t="array" ref="F6:G6">XLOOKUP($E6,product_epicenter!$A$2:$A$101,product_epicenter!$B$2:$C$101)</f>
        <v>Peanut 1kg </v>
      </c>
      <c r="G6" s="21">
        <v>180.0</v>
      </c>
      <c r="H6" s="9">
        <v>7.0</v>
      </c>
      <c r="I6" s="21">
        <f t="shared" si="2"/>
        <v>1260</v>
      </c>
    </row>
    <row r="7">
      <c r="A7" s="18">
        <f t="shared" si="3"/>
        <v>45801</v>
      </c>
      <c r="B7" s="19">
        <f t="shared" si="1"/>
        <v>45795</v>
      </c>
      <c r="C7" s="20" t="s">
        <v>213</v>
      </c>
      <c r="D7" s="9" t="s">
        <v>214</v>
      </c>
      <c r="E7" s="9" t="s">
        <v>129</v>
      </c>
      <c r="F7" s="9" t="str">
        <f t="array" ref="F7:G7">XLOOKUP($E7,product_epicenter!$A$2:$A$101,product_epicenter!$B$2:$C$101)</f>
        <v>Coconut 1 piece </v>
      </c>
      <c r="G7" s="21">
        <v>40.0</v>
      </c>
      <c r="H7" s="9">
        <v>4.0</v>
      </c>
      <c r="I7" s="21">
        <f t="shared" si="2"/>
        <v>160</v>
      </c>
    </row>
    <row r="8">
      <c r="A8" s="18">
        <f t="shared" si="3"/>
        <v>45801</v>
      </c>
      <c r="B8" s="19">
        <f t="shared" si="1"/>
        <v>45795</v>
      </c>
      <c r="C8" s="20" t="s">
        <v>213</v>
      </c>
      <c r="D8" s="9" t="s">
        <v>214</v>
      </c>
      <c r="E8" s="9" t="s">
        <v>153</v>
      </c>
      <c r="F8" s="9" t="str">
        <f t="array" ref="F8:G8">XLOOKUP($E8,product_epicenter!$A$2:$A$101,product_epicenter!$B$2:$C$101)</f>
        <v>Bread Crumbs 500g </v>
      </c>
      <c r="G8" s="21">
        <v>90.0</v>
      </c>
      <c r="H8" s="9">
        <v>2.0</v>
      </c>
      <c r="I8" s="21">
        <f t="shared" si="2"/>
        <v>180</v>
      </c>
    </row>
    <row r="9">
      <c r="A9" s="18">
        <f t="shared" si="3"/>
        <v>45801</v>
      </c>
      <c r="B9" s="19">
        <f t="shared" si="1"/>
        <v>45795</v>
      </c>
      <c r="C9" s="20" t="s">
        <v>213</v>
      </c>
      <c r="D9" s="9" t="s">
        <v>214</v>
      </c>
      <c r="E9" s="9" t="s">
        <v>189</v>
      </c>
      <c r="F9" s="9" t="str">
        <f t="array" ref="F9:G9">XLOOKUP($E9,product_epicenter!$A$2:$A$101,product_epicenter!$B$2:$C$101)</f>
        <v>Razor 1 pack </v>
      </c>
      <c r="G9" s="21">
        <v>200.0</v>
      </c>
      <c r="H9" s="9">
        <v>2.0</v>
      </c>
      <c r="I9" s="21">
        <f t="shared" si="2"/>
        <v>400</v>
      </c>
    </row>
    <row r="10">
      <c r="A10" s="18">
        <f t="shared" si="3"/>
        <v>45801</v>
      </c>
      <c r="B10" s="19">
        <f t="shared" si="1"/>
        <v>45795</v>
      </c>
      <c r="C10" s="20" t="s">
        <v>215</v>
      </c>
      <c r="D10" s="9" t="s">
        <v>216</v>
      </c>
      <c r="E10" s="9" t="s">
        <v>167</v>
      </c>
      <c r="F10" s="9" t="str">
        <f t="array" ref="F10:G10">XLOOKUP($E10,product_epicenter!$A$2:$A$101,product_epicenter!$B$2:$C$101)</f>
        <v>Batteries 1 pack </v>
      </c>
      <c r="G10" s="21">
        <v>250.0</v>
      </c>
      <c r="H10" s="9">
        <v>4.0</v>
      </c>
      <c r="I10" s="21">
        <f t="shared" si="2"/>
        <v>1000</v>
      </c>
    </row>
    <row r="11">
      <c r="A11" s="18">
        <f t="shared" si="3"/>
        <v>45801</v>
      </c>
      <c r="B11" s="19">
        <f t="shared" si="1"/>
        <v>45795</v>
      </c>
      <c r="C11" s="20" t="s">
        <v>215</v>
      </c>
      <c r="D11" s="9" t="s">
        <v>216</v>
      </c>
      <c r="E11" s="9" t="s">
        <v>29</v>
      </c>
      <c r="F11" s="9" t="str">
        <f t="array" ref="F11:G11">XLOOKUP($E11,product_epicenter!$A$2:$A$101,product_epicenter!$B$2:$C$101)</f>
        <v>Cheese 200g </v>
      </c>
      <c r="G11" s="21">
        <v>150.0</v>
      </c>
      <c r="H11" s="9">
        <v>9.0</v>
      </c>
      <c r="I11" s="21">
        <f t="shared" si="2"/>
        <v>1350</v>
      </c>
    </row>
    <row r="12">
      <c r="A12" s="18">
        <f t="shared" si="3"/>
        <v>45801</v>
      </c>
      <c r="B12" s="19">
        <f t="shared" si="1"/>
        <v>45795</v>
      </c>
      <c r="C12" s="20" t="s">
        <v>217</v>
      </c>
      <c r="D12" s="9" t="s">
        <v>218</v>
      </c>
      <c r="E12" s="9" t="s">
        <v>129</v>
      </c>
      <c r="F12" s="9" t="str">
        <f t="array" ref="F12:G12">XLOOKUP($E12,product_epicenter!$A$2:$A$101,product_epicenter!$B$2:$C$101)</f>
        <v>Coconut 1 piece </v>
      </c>
      <c r="G12" s="21">
        <v>40.0</v>
      </c>
      <c r="H12" s="9">
        <v>5.0</v>
      </c>
      <c r="I12" s="21">
        <f t="shared" si="2"/>
        <v>200</v>
      </c>
    </row>
    <row r="13">
      <c r="A13" s="18">
        <f t="shared" si="3"/>
        <v>45801</v>
      </c>
      <c r="B13" s="19">
        <f t="shared" si="1"/>
        <v>45795</v>
      </c>
      <c r="C13" s="20" t="s">
        <v>217</v>
      </c>
      <c r="D13" s="9" t="s">
        <v>218</v>
      </c>
      <c r="E13" s="9" t="s">
        <v>67</v>
      </c>
      <c r="F13" s="9" t="str">
        <f t="array" ref="F13:G13">XLOOKUP($E13,product_epicenter!$A$2:$A$101,product_epicenter!$B$2:$C$101)</f>
        <v>Toothpaste 1 tube </v>
      </c>
      <c r="G13" s="21">
        <v>80.0</v>
      </c>
      <c r="H13" s="9">
        <v>5.0</v>
      </c>
      <c r="I13" s="21">
        <f t="shared" si="2"/>
        <v>400</v>
      </c>
    </row>
    <row r="14">
      <c r="A14" s="18">
        <f t="shared" si="3"/>
        <v>45801</v>
      </c>
      <c r="B14" s="19">
        <f t="shared" si="1"/>
        <v>45795</v>
      </c>
      <c r="C14" s="20" t="s">
        <v>217</v>
      </c>
      <c r="D14" s="9" t="s">
        <v>218</v>
      </c>
      <c r="E14" s="9" t="s">
        <v>95</v>
      </c>
      <c r="F14" s="9" t="str">
        <f t="array" ref="F14:G14">XLOOKUP($E14,product_epicenter!$A$2:$A$101,product_epicenter!$B$2:$C$101)</f>
        <v>Pasta 500g </v>
      </c>
      <c r="G14" s="21">
        <v>150.0</v>
      </c>
      <c r="H14" s="9">
        <v>6.0</v>
      </c>
      <c r="I14" s="21">
        <f t="shared" si="2"/>
        <v>900</v>
      </c>
    </row>
    <row r="15">
      <c r="A15" s="18">
        <f t="shared" si="3"/>
        <v>45801</v>
      </c>
      <c r="B15" s="19">
        <f t="shared" si="1"/>
        <v>45795</v>
      </c>
      <c r="C15" s="20" t="s">
        <v>217</v>
      </c>
      <c r="D15" s="9" t="s">
        <v>218</v>
      </c>
      <c r="E15" s="9" t="s">
        <v>29</v>
      </c>
      <c r="F15" s="9" t="str">
        <f t="array" ref="F15:G15">XLOOKUP($E15,product_epicenter!$A$2:$A$101,product_epicenter!$B$2:$C$101)</f>
        <v>Cheese 200g </v>
      </c>
      <c r="G15" s="21">
        <v>150.0</v>
      </c>
      <c r="H15" s="9">
        <v>4.0</v>
      </c>
      <c r="I15" s="21">
        <f t="shared" si="2"/>
        <v>600</v>
      </c>
    </row>
    <row r="16">
      <c r="A16" s="18">
        <f t="shared" si="3"/>
        <v>45801</v>
      </c>
      <c r="B16" s="19">
        <f t="shared" si="1"/>
        <v>45795</v>
      </c>
      <c r="C16" s="20" t="s">
        <v>217</v>
      </c>
      <c r="D16" s="9" t="s">
        <v>218</v>
      </c>
      <c r="E16" s="9" t="s">
        <v>63</v>
      </c>
      <c r="F16" s="9" t="str">
        <f t="array" ref="F16:G16">XLOOKUP($E16,product_epicenter!$A$2:$A$101,product_epicenter!$B$2:$C$101)</f>
        <v>Shampoo 1 bottle </v>
      </c>
      <c r="G16" s="21">
        <v>200.0</v>
      </c>
      <c r="H16" s="9">
        <v>6.0</v>
      </c>
      <c r="I16" s="21">
        <f t="shared" si="2"/>
        <v>1200</v>
      </c>
    </row>
    <row r="17">
      <c r="A17" s="18">
        <f t="shared" si="3"/>
        <v>45801</v>
      </c>
      <c r="B17" s="19">
        <f t="shared" si="1"/>
        <v>45795</v>
      </c>
      <c r="C17" s="20" t="s">
        <v>219</v>
      </c>
      <c r="D17" s="9" t="s">
        <v>220</v>
      </c>
      <c r="E17" s="9" t="s">
        <v>15</v>
      </c>
      <c r="F17" s="9" t="str">
        <f t="array" ref="F17:G17">XLOOKUP($E17,product_epicenter!$A$2:$A$101,product_epicenter!$B$2:$C$101)</f>
        <v>Tea 250g </v>
      </c>
      <c r="G17" s="21">
        <v>155.0</v>
      </c>
      <c r="H17" s="9">
        <v>7.0</v>
      </c>
      <c r="I17" s="21">
        <f t="shared" si="2"/>
        <v>1085</v>
      </c>
    </row>
    <row r="18">
      <c r="A18" s="18">
        <f t="shared" si="3"/>
        <v>45801</v>
      </c>
      <c r="B18" s="19">
        <f t="shared" si="1"/>
        <v>45795</v>
      </c>
      <c r="C18" s="20" t="s">
        <v>219</v>
      </c>
      <c r="D18" s="9" t="s">
        <v>220</v>
      </c>
      <c r="E18" s="9" t="s">
        <v>199</v>
      </c>
      <c r="F18" s="9" t="str">
        <f t="array" ref="F18:G18">XLOOKUP($E18,product_epicenter!$A$2:$A$101,product_epicenter!$B$2:$C$101)</f>
        <v>Face Mask 1 pack </v>
      </c>
      <c r="G18" s="21">
        <v>150.0</v>
      </c>
      <c r="H18" s="9">
        <v>8.0</v>
      </c>
      <c r="I18" s="21">
        <f t="shared" si="2"/>
        <v>1200</v>
      </c>
    </row>
    <row r="19">
      <c r="A19" s="18">
        <f t="shared" si="3"/>
        <v>45801</v>
      </c>
      <c r="B19" s="19">
        <f t="shared" si="1"/>
        <v>45795</v>
      </c>
      <c r="C19" s="20" t="s">
        <v>219</v>
      </c>
      <c r="D19" s="9" t="s">
        <v>220</v>
      </c>
      <c r="E19" s="9" t="s">
        <v>147</v>
      </c>
      <c r="F19" s="9" t="str">
        <f t="array" ref="F19:G19">XLOOKUP($E19,product_epicenter!$A$2:$A$101,product_epicenter!$B$2:$C$101)</f>
        <v>Baking Soda 500g </v>
      </c>
      <c r="G19" s="21">
        <v>50.0</v>
      </c>
      <c r="H19" s="9">
        <v>6.0</v>
      </c>
      <c r="I19" s="21">
        <f t="shared" si="2"/>
        <v>300</v>
      </c>
    </row>
    <row r="20">
      <c r="A20" s="18">
        <f t="shared" si="3"/>
        <v>45801</v>
      </c>
      <c r="B20" s="19">
        <f t="shared" si="1"/>
        <v>45795</v>
      </c>
      <c r="C20" s="20" t="s">
        <v>219</v>
      </c>
      <c r="D20" s="9" t="s">
        <v>220</v>
      </c>
      <c r="E20" s="9" t="s">
        <v>139</v>
      </c>
      <c r="F20" s="9" t="str">
        <f t="array" ref="F20:G20">XLOOKUP($E20,product_epicenter!$A$2:$A$101,product_epicenter!$B$2:$C$101)</f>
        <v>Pickles 500g </v>
      </c>
      <c r="G20" s="21">
        <v>150.0</v>
      </c>
      <c r="H20" s="9">
        <v>7.0</v>
      </c>
      <c r="I20" s="21">
        <f t="shared" si="2"/>
        <v>1050</v>
      </c>
    </row>
    <row r="21" ht="15.75" customHeight="1">
      <c r="A21" s="18">
        <f t="shared" si="3"/>
        <v>45801</v>
      </c>
      <c r="B21" s="19">
        <f t="shared" si="1"/>
        <v>45795</v>
      </c>
      <c r="C21" s="20" t="s">
        <v>219</v>
      </c>
      <c r="D21" s="9" t="s">
        <v>220</v>
      </c>
      <c r="E21" s="9" t="s">
        <v>159</v>
      </c>
      <c r="F21" s="9" t="str">
        <f t="array" ref="F21:G21">XLOOKUP($E21,product_epicenter!$A$2:$A$101,product_epicenter!$B$2:$C$101)</f>
        <v>Plastic Wrap 1 roll </v>
      </c>
      <c r="G21" s="21">
        <v>150.0</v>
      </c>
      <c r="H21" s="9">
        <v>9.0</v>
      </c>
      <c r="I21" s="21">
        <f t="shared" si="2"/>
        <v>1350</v>
      </c>
    </row>
    <row r="22" ht="15.75" customHeight="1">
      <c r="A22" s="18">
        <f t="shared" si="3"/>
        <v>45801</v>
      </c>
      <c r="B22" s="19">
        <f t="shared" si="1"/>
        <v>45795</v>
      </c>
      <c r="C22" s="20" t="s">
        <v>219</v>
      </c>
      <c r="D22" s="9" t="s">
        <v>220</v>
      </c>
      <c r="E22" s="9" t="s">
        <v>99</v>
      </c>
      <c r="F22" s="9" t="str">
        <f t="array" ref="F22:G22">XLOOKUP($E22,product_epicenter!$A$2:$A$101,product_epicenter!$B$2:$C$101)</f>
        <v>Oats 1kg </v>
      </c>
      <c r="G22" s="21">
        <v>250.0</v>
      </c>
      <c r="H22" s="9">
        <v>9.0</v>
      </c>
      <c r="I22" s="21">
        <f t="shared" si="2"/>
        <v>2250</v>
      </c>
    </row>
    <row r="23" ht="15.75" customHeight="1">
      <c r="A23" s="18">
        <f t="shared" si="3"/>
        <v>45801</v>
      </c>
      <c r="B23" s="19">
        <f t="shared" si="1"/>
        <v>45795</v>
      </c>
      <c r="C23" s="20" t="s">
        <v>221</v>
      </c>
      <c r="D23" s="9" t="s">
        <v>222</v>
      </c>
      <c r="E23" s="9" t="s">
        <v>171</v>
      </c>
      <c r="F23" s="9" t="str">
        <f t="array" ref="F23:G23">XLOOKUP($E23,product_epicenter!$A$2:$A$101,product_epicenter!$B$2:$C$101)</f>
        <v>Mineral Water 1 litre </v>
      </c>
      <c r="G23" s="21">
        <v>20.0</v>
      </c>
      <c r="H23" s="9">
        <v>2.0</v>
      </c>
      <c r="I23" s="21">
        <f t="shared" si="2"/>
        <v>40</v>
      </c>
    </row>
    <row r="24" ht="15.75" customHeight="1">
      <c r="A24" s="18">
        <f t="shared" si="3"/>
        <v>45801</v>
      </c>
      <c r="B24" s="19">
        <f t="shared" si="1"/>
        <v>45795</v>
      </c>
      <c r="C24" s="20" t="s">
        <v>221</v>
      </c>
      <c r="D24" s="9" t="s">
        <v>222</v>
      </c>
      <c r="E24" s="9" t="s">
        <v>37</v>
      </c>
      <c r="F24" s="9" t="str">
        <f t="array" ref="F24:G24">XLOOKUP($E24,product_epicenter!$A$2:$A$101,product_epicenter!$B$2:$C$101)</f>
        <v>Apples 1kg </v>
      </c>
      <c r="G24" s="21">
        <v>200.0</v>
      </c>
      <c r="H24" s="9">
        <v>1.0</v>
      </c>
      <c r="I24" s="21">
        <f t="shared" si="2"/>
        <v>200</v>
      </c>
    </row>
    <row r="25" ht="15.75" customHeight="1">
      <c r="A25" s="18">
        <f t="shared" si="3"/>
        <v>45801</v>
      </c>
      <c r="B25" s="19">
        <f t="shared" si="1"/>
        <v>45795</v>
      </c>
      <c r="C25" s="20" t="s">
        <v>221</v>
      </c>
      <c r="D25" s="9" t="s">
        <v>222</v>
      </c>
      <c r="E25" s="9" t="s">
        <v>185</v>
      </c>
      <c r="F25" s="9" t="str">
        <f t="array" ref="F25:G25">XLOOKUP($E25,product_epicenter!$A$2:$A$101,product_epicenter!$B$2:$C$101)</f>
        <v>Hair Conditioner 500ml </v>
      </c>
      <c r="G25" s="21">
        <v>300.0</v>
      </c>
      <c r="H25" s="9">
        <v>9.0</v>
      </c>
      <c r="I25" s="21">
        <f t="shared" si="2"/>
        <v>2700</v>
      </c>
    </row>
    <row r="26" ht="15.75" customHeight="1">
      <c r="A26" s="18">
        <f t="shared" si="3"/>
        <v>45801</v>
      </c>
      <c r="B26" s="19">
        <f t="shared" si="1"/>
        <v>45795</v>
      </c>
      <c r="C26" s="20" t="s">
        <v>221</v>
      </c>
      <c r="D26" s="9" t="s">
        <v>222</v>
      </c>
      <c r="E26" s="9" t="s">
        <v>17</v>
      </c>
      <c r="F26" s="9" t="str">
        <f t="array" ref="F26:G26">XLOOKUP($E26,product_epicenter!$A$2:$A$101,product_epicenter!$B$2:$C$101)</f>
        <v>Dry Fruits Mix 1kg </v>
      </c>
      <c r="G26" s="21">
        <v>850.0</v>
      </c>
      <c r="H26" s="9">
        <v>3.0</v>
      </c>
      <c r="I26" s="21">
        <f t="shared" si="2"/>
        <v>2550</v>
      </c>
    </row>
    <row r="27" ht="15.75" customHeight="1">
      <c r="A27" s="18">
        <f t="shared" si="3"/>
        <v>45801</v>
      </c>
      <c r="B27" s="19">
        <f t="shared" si="1"/>
        <v>45795</v>
      </c>
      <c r="C27" s="20" t="s">
        <v>223</v>
      </c>
      <c r="D27" s="9" t="s">
        <v>224</v>
      </c>
      <c r="E27" s="9" t="s">
        <v>7</v>
      </c>
      <c r="F27" s="9" t="str">
        <f t="array" ref="F27:G27">XLOOKUP($E27,product_epicenter!$A$2:$A$101,product_epicenter!$B$2:$C$101)</f>
        <v>Sugar 1kg </v>
      </c>
      <c r="G27" s="21">
        <v>45.0</v>
      </c>
      <c r="H27" s="9">
        <v>7.0</v>
      </c>
      <c r="I27" s="21">
        <f t="shared" si="2"/>
        <v>315</v>
      </c>
    </row>
    <row r="28" ht="15.75" customHeight="1">
      <c r="A28" s="18">
        <f t="shared" si="3"/>
        <v>45801</v>
      </c>
      <c r="B28" s="19">
        <f t="shared" si="1"/>
        <v>45795</v>
      </c>
      <c r="C28" s="20" t="s">
        <v>223</v>
      </c>
      <c r="D28" s="9" t="s">
        <v>224</v>
      </c>
      <c r="E28" s="9" t="s">
        <v>51</v>
      </c>
      <c r="F28" s="9" t="str">
        <f t="array" ref="F28:G28">XLOOKUP($E28,product_epicenter!$A$2:$A$101,product_epicenter!$B$2:$C$101)</f>
        <v>Garlic 250g </v>
      </c>
      <c r="G28" s="21">
        <v>50.0</v>
      </c>
      <c r="H28" s="9">
        <v>4.0</v>
      </c>
      <c r="I28" s="21">
        <f t="shared" si="2"/>
        <v>200</v>
      </c>
    </row>
    <row r="29" ht="15.75" customHeight="1">
      <c r="A29" s="18">
        <f t="shared" si="3"/>
        <v>45801</v>
      </c>
      <c r="B29" s="19">
        <f t="shared" si="1"/>
        <v>45795</v>
      </c>
      <c r="C29" s="20" t="s">
        <v>223</v>
      </c>
      <c r="D29" s="9" t="s">
        <v>224</v>
      </c>
      <c r="E29" s="9" t="s">
        <v>73</v>
      </c>
      <c r="F29" s="9" t="str">
        <f t="array" ref="F29:G29">XLOOKUP($E29,product_epicenter!$A$2:$A$101,product_epicenter!$B$2:$C$101)</f>
        <v>Floor Cleaner 1 litre </v>
      </c>
      <c r="G29" s="21">
        <v>150.0</v>
      </c>
      <c r="H29" s="9">
        <v>7.0</v>
      </c>
      <c r="I29" s="21">
        <f t="shared" si="2"/>
        <v>1050</v>
      </c>
    </row>
    <row r="30" ht="15.75" customHeight="1">
      <c r="A30" s="18">
        <f t="shared" si="3"/>
        <v>45801</v>
      </c>
      <c r="B30" s="19">
        <f t="shared" si="1"/>
        <v>45795</v>
      </c>
      <c r="C30" s="22">
        <v>45795.479375</v>
      </c>
      <c r="D30" s="5" t="s">
        <v>225</v>
      </c>
      <c r="E30" s="9" t="s">
        <v>19</v>
      </c>
      <c r="F30" s="9" t="str">
        <f t="array" ref="F30:G30">XLOOKUP($E30,product_epicenter!$A$2:$A$101,product_epicenter!$B$2:$C$101)</f>
        <v>Green Peas 1kg </v>
      </c>
      <c r="G30" s="21">
        <v>120.0</v>
      </c>
      <c r="H30" s="9">
        <v>3.0</v>
      </c>
      <c r="I30" s="21">
        <f t="shared" si="2"/>
        <v>360</v>
      </c>
    </row>
    <row r="31" ht="15.75" customHeight="1">
      <c r="A31" s="18">
        <f t="shared" si="3"/>
        <v>45801</v>
      </c>
      <c r="B31" s="19">
        <f t="shared" si="1"/>
        <v>45795</v>
      </c>
      <c r="C31" s="22">
        <v>45795.479375</v>
      </c>
      <c r="D31" s="5" t="s">
        <v>225</v>
      </c>
      <c r="E31" s="9" t="s">
        <v>159</v>
      </c>
      <c r="F31" s="9" t="str">
        <f t="array" ref="F31:G31">XLOOKUP($E31,product_epicenter!$A$2:$A$101,product_epicenter!$B$2:$C$101)</f>
        <v>Plastic Wrap 1 roll </v>
      </c>
      <c r="G31" s="21">
        <v>150.0</v>
      </c>
      <c r="H31" s="9">
        <v>8.0</v>
      </c>
      <c r="I31" s="21">
        <f t="shared" si="2"/>
        <v>1200</v>
      </c>
    </row>
    <row r="32" ht="15.75" customHeight="1">
      <c r="A32" s="18">
        <f t="shared" si="3"/>
        <v>45801</v>
      </c>
      <c r="B32" s="19">
        <f t="shared" si="1"/>
        <v>45795</v>
      </c>
      <c r="C32" s="22">
        <v>45795.479375</v>
      </c>
      <c r="D32" s="5" t="s">
        <v>225</v>
      </c>
      <c r="E32" s="9" t="s">
        <v>13</v>
      </c>
      <c r="F32" s="9" t="str">
        <f t="array" ref="F32:G32">XLOOKUP($E32,product_epicenter!$A$2:$A$101,product_epicenter!$B$2:$C$101)</f>
        <v>Coffee 100g </v>
      </c>
      <c r="G32" s="21">
        <v>250.0</v>
      </c>
      <c r="H32" s="9">
        <v>6.0</v>
      </c>
      <c r="I32" s="21">
        <f t="shared" si="2"/>
        <v>1500</v>
      </c>
    </row>
    <row r="33" ht="15.75" customHeight="1">
      <c r="A33" s="18">
        <f t="shared" si="3"/>
        <v>45801</v>
      </c>
      <c r="B33" s="19">
        <f t="shared" si="1"/>
        <v>45795</v>
      </c>
      <c r="C33" s="22">
        <v>45795.479375</v>
      </c>
      <c r="D33" s="5" t="s">
        <v>225</v>
      </c>
      <c r="E33" s="9" t="s">
        <v>97</v>
      </c>
      <c r="F33" s="9" t="str">
        <f t="array" ref="F33:G33">XLOOKUP($E33,product_epicenter!$A$2:$A$101,product_epicenter!$B$2:$C$101)</f>
        <v>Noodles 500g </v>
      </c>
      <c r="G33" s="21">
        <v>100.0</v>
      </c>
      <c r="H33" s="9">
        <v>8.0</v>
      </c>
      <c r="I33" s="21">
        <f t="shared" si="2"/>
        <v>800</v>
      </c>
    </row>
    <row r="34" ht="15.75" customHeight="1">
      <c r="A34" s="18">
        <f t="shared" si="3"/>
        <v>45801</v>
      </c>
      <c r="B34" s="19">
        <f t="shared" si="1"/>
        <v>45795</v>
      </c>
      <c r="C34" s="22">
        <v>45795.479375</v>
      </c>
      <c r="D34" s="5" t="s">
        <v>225</v>
      </c>
      <c r="E34" s="9" t="s">
        <v>123</v>
      </c>
      <c r="F34" s="9" t="str">
        <f t="array" ref="F34:G34">XLOOKUP($E34,product_epicenter!$A$2:$A$101,product_epicenter!$B$2:$C$101)</f>
        <v>Grapes 1kg </v>
      </c>
      <c r="G34" s="21">
        <v>150.0</v>
      </c>
      <c r="H34" s="9">
        <v>2.0</v>
      </c>
      <c r="I34" s="21">
        <f t="shared" si="2"/>
        <v>300</v>
      </c>
    </row>
    <row r="35" ht="15.75" customHeight="1">
      <c r="A35" s="18">
        <f t="shared" si="3"/>
        <v>45801</v>
      </c>
      <c r="B35" s="19">
        <f t="shared" si="1"/>
        <v>45795</v>
      </c>
      <c r="C35" s="22">
        <v>45795.48979166667</v>
      </c>
      <c r="D35" s="5" t="s">
        <v>226</v>
      </c>
      <c r="E35" s="9" t="s">
        <v>129</v>
      </c>
      <c r="F35" s="9" t="str">
        <f t="array" ref="F35:G35">XLOOKUP($E35,product_epicenter!$A$2:$A$101,product_epicenter!$B$2:$C$101)</f>
        <v>Coconut 1 piece </v>
      </c>
      <c r="G35" s="21">
        <v>40.0</v>
      </c>
      <c r="H35" s="9">
        <v>5.0</v>
      </c>
      <c r="I35" s="21">
        <f t="shared" si="2"/>
        <v>200</v>
      </c>
    </row>
    <row r="36" ht="15.75" customHeight="1">
      <c r="A36" s="18">
        <f t="shared" si="3"/>
        <v>45801</v>
      </c>
      <c r="B36" s="19">
        <f t="shared" si="1"/>
        <v>45795</v>
      </c>
      <c r="C36" s="22">
        <v>45795.48979166667</v>
      </c>
      <c r="D36" s="5" t="s">
        <v>226</v>
      </c>
      <c r="E36" s="9" t="s">
        <v>131</v>
      </c>
      <c r="F36" s="9" t="str">
        <f t="array" ref="F36:G36">XLOOKUP($E36,product_epicenter!$A$2:$A$101,product_epicenter!$B$2:$C$101)</f>
        <v>Yogurt 500g </v>
      </c>
      <c r="G36" s="21">
        <v>80.0</v>
      </c>
      <c r="H36" s="9">
        <v>3.0</v>
      </c>
      <c r="I36" s="21">
        <f t="shared" si="2"/>
        <v>240</v>
      </c>
    </row>
    <row r="37" ht="15.75" customHeight="1">
      <c r="A37" s="18">
        <f t="shared" si="3"/>
        <v>45801</v>
      </c>
      <c r="B37" s="19">
        <f t="shared" si="1"/>
        <v>45795</v>
      </c>
      <c r="C37" s="22">
        <v>45795.48979166667</v>
      </c>
      <c r="D37" s="5" t="s">
        <v>226</v>
      </c>
      <c r="E37" s="9" t="s">
        <v>123</v>
      </c>
      <c r="F37" s="9" t="str">
        <f t="array" ref="F37:G37">XLOOKUP($E37,product_epicenter!$A$2:$A$101,product_epicenter!$B$2:$C$101)</f>
        <v>Grapes 1kg </v>
      </c>
      <c r="G37" s="21">
        <v>150.0</v>
      </c>
      <c r="H37" s="9">
        <v>1.0</v>
      </c>
      <c r="I37" s="21">
        <f t="shared" si="2"/>
        <v>150</v>
      </c>
    </row>
    <row r="38" ht="15.75" customHeight="1">
      <c r="A38" s="18">
        <f t="shared" si="3"/>
        <v>45801</v>
      </c>
      <c r="B38" s="19">
        <f t="shared" si="1"/>
        <v>45795</v>
      </c>
      <c r="C38" s="22">
        <v>45795.48979166667</v>
      </c>
      <c r="D38" s="5" t="s">
        <v>226</v>
      </c>
      <c r="E38" s="9" t="s">
        <v>149</v>
      </c>
      <c r="F38" s="9" t="str">
        <f t="array" ref="F38:G38">XLOOKUP($E38,product_epicenter!$A$2:$A$101,product_epicenter!$B$2:$C$101)</f>
        <v>Baking Powder 250g </v>
      </c>
      <c r="G38" s="21">
        <v>80.0</v>
      </c>
      <c r="H38" s="9">
        <v>9.0</v>
      </c>
      <c r="I38" s="21">
        <f t="shared" si="2"/>
        <v>720</v>
      </c>
    </row>
    <row r="39" ht="15.75" customHeight="1">
      <c r="A39" s="18">
        <f t="shared" si="3"/>
        <v>45801</v>
      </c>
      <c r="B39" s="19">
        <f t="shared" si="1"/>
        <v>45795</v>
      </c>
      <c r="C39" s="22">
        <v>45795.48979166667</v>
      </c>
      <c r="D39" s="5" t="s">
        <v>226</v>
      </c>
      <c r="E39" s="9" t="s">
        <v>181</v>
      </c>
      <c r="F39" s="9" t="str">
        <f t="array" ref="F39:G39">XLOOKUP($E39,product_epicenter!$A$2:$A$101,product_epicenter!$B$2:$C$101)</f>
        <v>Hand Wash 500ml </v>
      </c>
      <c r="G39" s="21">
        <v>150.0</v>
      </c>
      <c r="H39" s="9">
        <v>4.0</v>
      </c>
      <c r="I39" s="21">
        <f t="shared" si="2"/>
        <v>600</v>
      </c>
    </row>
    <row r="40" ht="15.75" customHeight="1">
      <c r="A40" s="18">
        <f t="shared" si="3"/>
        <v>45801</v>
      </c>
      <c r="B40" s="19">
        <f t="shared" si="1"/>
        <v>45795</v>
      </c>
      <c r="C40" s="22">
        <v>45795.49743055556</v>
      </c>
      <c r="D40" s="5" t="s">
        <v>227</v>
      </c>
      <c r="E40" s="9" t="s">
        <v>167</v>
      </c>
      <c r="F40" s="9" t="str">
        <f t="array" ref="F40:G40">XLOOKUP($E40,product_epicenter!$A$2:$A$101,product_epicenter!$B$2:$C$101)</f>
        <v>Batteries 1 pack </v>
      </c>
      <c r="G40" s="21">
        <v>250.0</v>
      </c>
      <c r="H40" s="9">
        <v>1.0</v>
      </c>
      <c r="I40" s="21">
        <f t="shared" si="2"/>
        <v>250</v>
      </c>
    </row>
    <row r="41" ht="15.75" customHeight="1">
      <c r="A41" s="18">
        <f t="shared" si="3"/>
        <v>45801</v>
      </c>
      <c r="B41" s="19">
        <f t="shared" si="1"/>
        <v>45795</v>
      </c>
      <c r="C41" s="22">
        <v>45795.49743055556</v>
      </c>
      <c r="D41" s="5" t="s">
        <v>227</v>
      </c>
      <c r="E41" s="9" t="s">
        <v>11</v>
      </c>
      <c r="F41" s="9" t="str">
        <f t="array" ref="F41:G41">XLOOKUP($E41,product_epicenter!$A$2:$A$101,product_epicenter!$B$2:$C$101)</f>
        <v>Turmeric 100g </v>
      </c>
      <c r="G41" s="21">
        <v>200.0</v>
      </c>
      <c r="H41" s="9">
        <v>2.0</v>
      </c>
      <c r="I41" s="21">
        <f t="shared" si="2"/>
        <v>400</v>
      </c>
    </row>
    <row r="42" ht="15.75" customHeight="1">
      <c r="A42" s="18">
        <f t="shared" si="3"/>
        <v>45801</v>
      </c>
      <c r="B42" s="19">
        <f t="shared" si="1"/>
        <v>45795</v>
      </c>
      <c r="C42" s="22">
        <v>45795.49743055556</v>
      </c>
      <c r="D42" s="5" t="s">
        <v>227</v>
      </c>
      <c r="E42" s="9" t="s">
        <v>139</v>
      </c>
      <c r="F42" s="9" t="str">
        <f t="array" ref="F42:G42">XLOOKUP($E42,product_epicenter!$A$2:$A$101,product_epicenter!$B$2:$C$101)</f>
        <v>Pickles 500g </v>
      </c>
      <c r="G42" s="21">
        <v>150.0</v>
      </c>
      <c r="H42" s="9">
        <v>5.0</v>
      </c>
      <c r="I42" s="21">
        <f t="shared" si="2"/>
        <v>750</v>
      </c>
    </row>
    <row r="43" ht="15.75" customHeight="1">
      <c r="A43" s="18">
        <f t="shared" si="3"/>
        <v>45801</v>
      </c>
      <c r="B43" s="19">
        <f t="shared" si="1"/>
        <v>45795</v>
      </c>
      <c r="C43" s="22">
        <v>45795.507152777776</v>
      </c>
      <c r="D43" s="5" t="s">
        <v>228</v>
      </c>
      <c r="E43" s="9" t="s">
        <v>183</v>
      </c>
      <c r="F43" s="9" t="str">
        <f t="array" ref="F43:G43">XLOOKUP($E43,product_epicenter!$A$2:$A$101,product_epicenter!$B$2:$C$101)</f>
        <v>Body Lotion 500ml </v>
      </c>
      <c r="G43" s="21">
        <v>250.0</v>
      </c>
      <c r="H43" s="9">
        <v>2.0</v>
      </c>
      <c r="I43" s="21">
        <f t="shared" si="2"/>
        <v>500</v>
      </c>
    </row>
    <row r="44" ht="15.75" customHeight="1">
      <c r="A44" s="18">
        <f t="shared" si="3"/>
        <v>45801</v>
      </c>
      <c r="B44" s="19">
        <f t="shared" si="1"/>
        <v>45795</v>
      </c>
      <c r="C44" s="22">
        <v>45795.507152777776</v>
      </c>
      <c r="D44" s="5" t="s">
        <v>228</v>
      </c>
      <c r="E44" s="9" t="s">
        <v>63</v>
      </c>
      <c r="F44" s="9" t="str">
        <f t="array" ref="F44:G44">XLOOKUP($E44,product_epicenter!$A$2:$A$101,product_epicenter!$B$2:$C$101)</f>
        <v>Shampoo 1 bottle </v>
      </c>
      <c r="G44" s="21">
        <v>200.0</v>
      </c>
      <c r="H44" s="9">
        <v>9.0</v>
      </c>
      <c r="I44" s="21">
        <f t="shared" si="2"/>
        <v>1800</v>
      </c>
    </row>
    <row r="45" ht="15.75" customHeight="1">
      <c r="A45" s="18">
        <f t="shared" si="3"/>
        <v>45801</v>
      </c>
      <c r="B45" s="19">
        <f t="shared" si="1"/>
        <v>45795</v>
      </c>
      <c r="C45" s="22">
        <v>45795.507152777776</v>
      </c>
      <c r="D45" s="5" t="s">
        <v>228</v>
      </c>
      <c r="E45" s="9" t="s">
        <v>23</v>
      </c>
      <c r="F45" s="9" t="str">
        <f t="array" ref="F45:G45">XLOOKUP($E45,product_epicenter!$A$2:$A$101,product_epicenter!$B$2:$C$101)</f>
        <v>Milk 1 litre </v>
      </c>
      <c r="G45" s="21">
        <v>60.0</v>
      </c>
      <c r="H45" s="9">
        <v>1.0</v>
      </c>
      <c r="I45" s="21">
        <f t="shared" si="2"/>
        <v>60</v>
      </c>
    </row>
    <row r="46" ht="15.75" customHeight="1">
      <c r="A46" s="18">
        <f t="shared" si="3"/>
        <v>45801</v>
      </c>
      <c r="B46" s="19">
        <f t="shared" si="1"/>
        <v>45795</v>
      </c>
      <c r="C46" s="22">
        <v>45795.516875</v>
      </c>
      <c r="D46" s="5" t="s">
        <v>229</v>
      </c>
      <c r="E46" s="9" t="s">
        <v>75</v>
      </c>
      <c r="F46" s="9" t="str">
        <f t="array" ref="F46:G46">XLOOKUP($E46,product_epicenter!$A$2:$A$101,product_epicenter!$B$2:$C$101)</f>
        <v>Toilet Cleaner 1 litre </v>
      </c>
      <c r="G46" s="21">
        <v>120.0</v>
      </c>
      <c r="H46" s="9">
        <v>6.0</v>
      </c>
      <c r="I46" s="21">
        <f t="shared" si="2"/>
        <v>720</v>
      </c>
    </row>
    <row r="47" ht="15.75" customHeight="1">
      <c r="A47" s="18">
        <f t="shared" si="3"/>
        <v>45801</v>
      </c>
      <c r="B47" s="19">
        <f t="shared" si="1"/>
        <v>45795</v>
      </c>
      <c r="C47" s="22">
        <v>45795.516875</v>
      </c>
      <c r="D47" s="5" t="s">
        <v>229</v>
      </c>
      <c r="E47" s="9" t="s">
        <v>189</v>
      </c>
      <c r="F47" s="9" t="str">
        <f t="array" ref="F47:G47">XLOOKUP($E47,product_epicenter!$A$2:$A$101,product_epicenter!$B$2:$C$101)</f>
        <v>Razor 1 pack </v>
      </c>
      <c r="G47" s="21">
        <v>200.0</v>
      </c>
      <c r="H47" s="9">
        <v>7.0</v>
      </c>
      <c r="I47" s="21">
        <f t="shared" si="2"/>
        <v>1400</v>
      </c>
    </row>
    <row r="48" ht="15.75" customHeight="1">
      <c r="A48" s="18">
        <f t="shared" si="3"/>
        <v>45801</v>
      </c>
      <c r="B48" s="19">
        <f t="shared" si="1"/>
        <v>45795</v>
      </c>
      <c r="C48" s="22">
        <v>45795.516875</v>
      </c>
      <c r="D48" s="5" t="s">
        <v>229</v>
      </c>
      <c r="E48" s="9" t="s">
        <v>93</v>
      </c>
      <c r="F48" s="9" t="str">
        <f t="array" ref="F48:G48">XLOOKUP($E48,product_epicenter!$A$2:$A$101,product_epicenter!$B$2:$C$101)</f>
        <v>Soy Sauce 500ml </v>
      </c>
      <c r="G48" s="21">
        <v>120.0</v>
      </c>
      <c r="H48" s="9">
        <v>3.0</v>
      </c>
      <c r="I48" s="21">
        <f t="shared" si="2"/>
        <v>360</v>
      </c>
    </row>
    <row r="49" ht="15.75" customHeight="1">
      <c r="A49" s="18">
        <f t="shared" si="3"/>
        <v>45801</v>
      </c>
      <c r="B49" s="19">
        <f t="shared" si="1"/>
        <v>45795</v>
      </c>
      <c r="C49" s="22">
        <v>45795.516875</v>
      </c>
      <c r="D49" s="5" t="s">
        <v>229</v>
      </c>
      <c r="E49" s="9" t="s">
        <v>197</v>
      </c>
      <c r="F49" s="9" t="str">
        <f t="array" ref="F49:G49">XLOOKUP($E49,product_epicenter!$A$2:$A$101,product_epicenter!$B$2:$C$101)</f>
        <v>Hand Sanitizer 500ml </v>
      </c>
      <c r="G49" s="21">
        <v>200.0</v>
      </c>
      <c r="H49" s="9">
        <v>1.0</v>
      </c>
      <c r="I49" s="21">
        <f t="shared" si="2"/>
        <v>200</v>
      </c>
    </row>
    <row r="50" ht="15.75" customHeight="1">
      <c r="A50" s="18">
        <f t="shared" si="3"/>
        <v>45801</v>
      </c>
      <c r="B50" s="19">
        <f t="shared" si="1"/>
        <v>45795</v>
      </c>
      <c r="C50" s="22">
        <v>45795.52381944445</v>
      </c>
      <c r="D50" s="5" t="s">
        <v>230</v>
      </c>
      <c r="E50" s="9" t="s">
        <v>81</v>
      </c>
      <c r="F50" s="9" t="str">
        <f t="array" ref="F50:G50">XLOOKUP($E50,product_epicenter!$A$2:$A$101,product_epicenter!$B$2:$C$101)</f>
        <v>Cooking Oil 1 litre </v>
      </c>
      <c r="G50" s="21">
        <v>120.0</v>
      </c>
      <c r="H50" s="9">
        <v>4.0</v>
      </c>
      <c r="I50" s="21">
        <f t="shared" si="2"/>
        <v>480</v>
      </c>
    </row>
    <row r="51" ht="15.75" customHeight="1">
      <c r="A51" s="18">
        <f t="shared" si="3"/>
        <v>45801</v>
      </c>
      <c r="B51" s="19">
        <f t="shared" si="1"/>
        <v>45795</v>
      </c>
      <c r="C51" s="22">
        <v>45795.52381944445</v>
      </c>
      <c r="D51" s="5" t="s">
        <v>230</v>
      </c>
      <c r="E51" s="9" t="s">
        <v>109</v>
      </c>
      <c r="F51" s="9" t="str">
        <f t="array" ref="F51:G51">XLOOKUP($E51,product_epicenter!$A$2:$A$101,product_epicenter!$B$2:$C$101)</f>
        <v>Cashews 500g </v>
      </c>
      <c r="G51" s="21">
        <v>600.0</v>
      </c>
      <c r="H51" s="9">
        <v>7.0</v>
      </c>
      <c r="I51" s="21">
        <f t="shared" si="2"/>
        <v>4200</v>
      </c>
    </row>
    <row r="52" ht="15.75" customHeight="1">
      <c r="A52" s="18">
        <f t="shared" si="3"/>
        <v>45801</v>
      </c>
      <c r="B52" s="19">
        <f t="shared" si="1"/>
        <v>45795</v>
      </c>
      <c r="C52" s="22">
        <v>45795.52381944445</v>
      </c>
      <c r="D52" s="5" t="s">
        <v>230</v>
      </c>
      <c r="E52" s="9" t="s">
        <v>3</v>
      </c>
      <c r="F52" s="9" t="str">
        <f t="array" ref="F52:G52">XLOOKUP($E52,product_epicenter!$A$2:$A$101,product_epicenter!$B$2:$C$101)</f>
        <v>Rice 1kg </v>
      </c>
      <c r="G52" s="21">
        <v>60.0</v>
      </c>
      <c r="H52" s="9">
        <v>7.0</v>
      </c>
      <c r="I52" s="21">
        <f t="shared" si="2"/>
        <v>420</v>
      </c>
    </row>
    <row r="53" ht="15.75" customHeight="1">
      <c r="A53" s="18">
        <f t="shared" si="3"/>
        <v>45801</v>
      </c>
      <c r="B53" s="19">
        <f t="shared" si="1"/>
        <v>45795</v>
      </c>
      <c r="C53" s="22">
        <v>45795.52381944445</v>
      </c>
      <c r="D53" s="5" t="s">
        <v>230</v>
      </c>
      <c r="E53" s="9" t="s">
        <v>85</v>
      </c>
      <c r="F53" s="9" t="str">
        <f t="array" ref="F53:G53">XLOOKUP($E53,product_epicenter!$A$2:$A$101,product_epicenter!$B$2:$C$101)</f>
        <v>Cumin Seeds 100g </v>
      </c>
      <c r="G53" s="21">
        <v>40.0</v>
      </c>
      <c r="H53" s="9">
        <v>8.0</v>
      </c>
      <c r="I53" s="21">
        <f t="shared" si="2"/>
        <v>320</v>
      </c>
    </row>
    <row r="54" ht="15.75" customHeight="1">
      <c r="A54" s="18">
        <f t="shared" si="3"/>
        <v>45801</v>
      </c>
      <c r="B54" s="19">
        <f t="shared" si="1"/>
        <v>45795</v>
      </c>
      <c r="C54" s="22">
        <v>45795.532847222225</v>
      </c>
      <c r="D54" s="5" t="s">
        <v>231</v>
      </c>
      <c r="E54" s="9" t="s">
        <v>31</v>
      </c>
      <c r="F54" s="9" t="str">
        <f t="array" ref="F54:G54">XLOOKUP($E54,product_epicenter!$A$2:$A$101,product_epicenter!$B$2:$C$101)</f>
        <v>Eggs 12 pcs </v>
      </c>
      <c r="G54" s="21">
        <v>80.0</v>
      </c>
      <c r="H54" s="9">
        <v>3.0</v>
      </c>
      <c r="I54" s="21">
        <f t="shared" si="2"/>
        <v>240</v>
      </c>
    </row>
    <row r="55" ht="15.75" customHeight="1">
      <c r="A55" s="18">
        <f t="shared" si="3"/>
        <v>45801</v>
      </c>
      <c r="B55" s="19">
        <f t="shared" si="1"/>
        <v>45795</v>
      </c>
      <c r="C55" s="22">
        <v>45795.532847222225</v>
      </c>
      <c r="D55" s="5" t="s">
        <v>231</v>
      </c>
      <c r="E55" s="9" t="s">
        <v>117</v>
      </c>
      <c r="F55" s="9" t="str">
        <f t="array" ref="F55:G55">XLOOKUP($E55,product_epicenter!$A$2:$A$101,product_epicenter!$B$2:$C$101)</f>
        <v>Green Tea 250g </v>
      </c>
      <c r="G55" s="21">
        <v>350.0</v>
      </c>
      <c r="H55" s="9">
        <v>8.0</v>
      </c>
      <c r="I55" s="21">
        <f t="shared" si="2"/>
        <v>2800</v>
      </c>
    </row>
    <row r="56" ht="15.75" customHeight="1">
      <c r="A56" s="18">
        <f t="shared" si="3"/>
        <v>45801</v>
      </c>
      <c r="B56" s="19">
        <f t="shared" si="1"/>
        <v>45795</v>
      </c>
      <c r="C56" s="22">
        <v>45795.532847222225</v>
      </c>
      <c r="D56" s="5" t="s">
        <v>231</v>
      </c>
      <c r="E56" s="9" t="s">
        <v>99</v>
      </c>
      <c r="F56" s="9" t="str">
        <f t="array" ref="F56:G56">XLOOKUP($E56,product_epicenter!$A$2:$A$101,product_epicenter!$B$2:$C$101)</f>
        <v>Oats 1kg </v>
      </c>
      <c r="G56" s="21">
        <v>250.0</v>
      </c>
      <c r="H56" s="9">
        <v>1.0</v>
      </c>
      <c r="I56" s="21">
        <f t="shared" si="2"/>
        <v>250</v>
      </c>
    </row>
    <row r="57" ht="15.75" customHeight="1">
      <c r="A57" s="18">
        <f t="shared" si="3"/>
        <v>45801</v>
      </c>
      <c r="B57" s="19">
        <f t="shared" si="1"/>
        <v>45795</v>
      </c>
      <c r="C57" s="22">
        <v>45795.53979166667</v>
      </c>
      <c r="D57" s="5" t="s">
        <v>232</v>
      </c>
      <c r="E57" s="9" t="s">
        <v>89</v>
      </c>
      <c r="F57" s="9" t="str">
        <f t="array" ref="F57:G57">XLOOKUP($E57,product_epicenter!$A$2:$A$101,product_epicenter!$B$2:$C$101)</f>
        <v>Chili Powder 100g </v>
      </c>
      <c r="G57" s="21">
        <v>60.0</v>
      </c>
      <c r="H57" s="9">
        <v>3.0</v>
      </c>
      <c r="I57" s="21">
        <f t="shared" si="2"/>
        <v>180</v>
      </c>
    </row>
    <row r="58" ht="15.75" customHeight="1">
      <c r="A58" s="18">
        <f t="shared" si="3"/>
        <v>45801</v>
      </c>
      <c r="B58" s="19">
        <f t="shared" si="1"/>
        <v>45795</v>
      </c>
      <c r="C58" s="22">
        <v>45795.53979166667</v>
      </c>
      <c r="D58" s="5" t="s">
        <v>232</v>
      </c>
      <c r="E58" s="9" t="s">
        <v>143</v>
      </c>
      <c r="F58" s="9" t="str">
        <f t="array" ref="F58:G58">XLOOKUP($E58,product_epicenter!$A$2:$A$101,product_epicenter!$B$2:$C$101)</f>
        <v>Brown Rice 1kg </v>
      </c>
      <c r="G58" s="21">
        <v>100.0</v>
      </c>
      <c r="H58" s="9">
        <v>8.0</v>
      </c>
      <c r="I58" s="21">
        <f t="shared" si="2"/>
        <v>800</v>
      </c>
    </row>
    <row r="59" ht="15.75" customHeight="1">
      <c r="A59" s="18">
        <f t="shared" si="3"/>
        <v>45801</v>
      </c>
      <c r="B59" s="19">
        <f t="shared" si="1"/>
        <v>45795</v>
      </c>
      <c r="C59" s="22">
        <v>45795.53979166667</v>
      </c>
      <c r="D59" s="5" t="s">
        <v>232</v>
      </c>
      <c r="E59" s="9" t="s">
        <v>97</v>
      </c>
      <c r="F59" s="9" t="str">
        <f t="array" ref="F59:G59">XLOOKUP($E59,product_epicenter!$A$2:$A$101,product_epicenter!$B$2:$C$101)</f>
        <v>Noodles 500g </v>
      </c>
      <c r="G59" s="21">
        <v>100.0</v>
      </c>
      <c r="H59" s="9">
        <v>4.0</v>
      </c>
      <c r="I59" s="21">
        <f t="shared" si="2"/>
        <v>400</v>
      </c>
    </row>
    <row r="60" ht="15.75" customHeight="1">
      <c r="A60" s="18">
        <f t="shared" si="3"/>
        <v>45801</v>
      </c>
      <c r="B60" s="19">
        <f t="shared" si="1"/>
        <v>45795</v>
      </c>
      <c r="C60" s="22">
        <v>45795.53979166667</v>
      </c>
      <c r="D60" s="5" t="s">
        <v>232</v>
      </c>
      <c r="E60" s="9" t="s">
        <v>103</v>
      </c>
      <c r="F60" s="9" t="str">
        <f t="array" ref="F60:G60">XLOOKUP($E60,product_epicenter!$A$2:$A$101,product_epicenter!$B$2:$C$101)</f>
        <v>Honey 500g </v>
      </c>
      <c r="G60" s="21">
        <v>300.0</v>
      </c>
      <c r="H60" s="9">
        <v>1.0</v>
      </c>
      <c r="I60" s="21">
        <f t="shared" si="2"/>
        <v>300</v>
      </c>
    </row>
    <row r="61" ht="15.75" customHeight="1">
      <c r="A61" s="18">
        <f t="shared" si="3"/>
        <v>45801</v>
      </c>
      <c r="B61" s="19">
        <f t="shared" si="1"/>
        <v>45795</v>
      </c>
      <c r="C61" s="22">
        <v>45795.53979166667</v>
      </c>
      <c r="D61" s="5" t="s">
        <v>232</v>
      </c>
      <c r="E61" s="9" t="s">
        <v>7</v>
      </c>
      <c r="F61" s="9" t="str">
        <f t="array" ref="F61:G61">XLOOKUP($E61,product_epicenter!$A$2:$A$101,product_epicenter!$B$2:$C$101)</f>
        <v>Sugar 1kg </v>
      </c>
      <c r="G61" s="21">
        <v>45.0</v>
      </c>
      <c r="H61" s="9">
        <v>1.0</v>
      </c>
      <c r="I61" s="21">
        <f t="shared" si="2"/>
        <v>45</v>
      </c>
    </row>
    <row r="62" ht="15.75" customHeight="1">
      <c r="A62" s="18">
        <f t="shared" si="3"/>
        <v>45801</v>
      </c>
      <c r="B62" s="19">
        <f t="shared" si="1"/>
        <v>45795</v>
      </c>
      <c r="C62" s="22">
        <v>45795.550208333334</v>
      </c>
      <c r="D62" s="5" t="s">
        <v>233</v>
      </c>
      <c r="E62" s="9" t="s">
        <v>117</v>
      </c>
      <c r="F62" s="9" t="str">
        <f t="array" ref="F62:G62">XLOOKUP($E62,product_epicenter!$A$2:$A$101,product_epicenter!$B$2:$C$101)</f>
        <v>Green Tea 250g </v>
      </c>
      <c r="G62" s="21">
        <v>350.0</v>
      </c>
      <c r="H62" s="9">
        <v>1.0</v>
      </c>
      <c r="I62" s="21">
        <f t="shared" si="2"/>
        <v>350</v>
      </c>
    </row>
    <row r="63" ht="15.75" customHeight="1">
      <c r="A63" s="18">
        <f t="shared" si="3"/>
        <v>45801</v>
      </c>
      <c r="B63" s="19">
        <f t="shared" si="1"/>
        <v>45795</v>
      </c>
      <c r="C63" s="22">
        <v>45795.550208333334</v>
      </c>
      <c r="D63" s="5" t="s">
        <v>233</v>
      </c>
      <c r="E63" s="9" t="s">
        <v>197</v>
      </c>
      <c r="F63" s="9" t="str">
        <f t="array" ref="F63:G63">XLOOKUP($E63,product_epicenter!$A$2:$A$101,product_epicenter!$B$2:$C$101)</f>
        <v>Hand Sanitizer 500ml </v>
      </c>
      <c r="G63" s="21">
        <v>200.0</v>
      </c>
      <c r="H63" s="9">
        <v>8.0</v>
      </c>
      <c r="I63" s="21">
        <f t="shared" si="2"/>
        <v>1600</v>
      </c>
    </row>
    <row r="64" ht="15.75" customHeight="1">
      <c r="A64" s="18">
        <f t="shared" si="3"/>
        <v>45801</v>
      </c>
      <c r="B64" s="19">
        <f t="shared" si="1"/>
        <v>45795</v>
      </c>
      <c r="C64" s="22">
        <v>45795.550208333334</v>
      </c>
      <c r="D64" s="5" t="s">
        <v>233</v>
      </c>
      <c r="E64" s="9" t="s">
        <v>147</v>
      </c>
      <c r="F64" s="9" t="str">
        <f t="array" ref="F64:G64">XLOOKUP($E64,product_epicenter!$A$2:$A$101,product_epicenter!$B$2:$C$101)</f>
        <v>Baking Soda 500g </v>
      </c>
      <c r="G64" s="21">
        <v>50.0</v>
      </c>
      <c r="H64" s="9">
        <v>4.0</v>
      </c>
      <c r="I64" s="21">
        <f t="shared" si="2"/>
        <v>200</v>
      </c>
    </row>
    <row r="65" ht="15.75" customHeight="1">
      <c r="A65" s="18">
        <f t="shared" si="3"/>
        <v>45801</v>
      </c>
      <c r="B65" s="19">
        <f t="shared" si="1"/>
        <v>45795</v>
      </c>
      <c r="C65" s="22">
        <v>45795.550208333334</v>
      </c>
      <c r="D65" s="5" t="s">
        <v>233</v>
      </c>
      <c r="E65" s="9" t="s">
        <v>13</v>
      </c>
      <c r="F65" s="9" t="str">
        <f t="array" ref="F65:G65">XLOOKUP($E65,product_epicenter!$A$2:$A$101,product_epicenter!$B$2:$C$101)</f>
        <v>Coffee 100g </v>
      </c>
      <c r="G65" s="21">
        <v>250.0</v>
      </c>
      <c r="H65" s="9">
        <v>8.0</v>
      </c>
      <c r="I65" s="21">
        <f t="shared" si="2"/>
        <v>2000</v>
      </c>
    </row>
    <row r="66" ht="15.75" customHeight="1">
      <c r="A66" s="18">
        <f t="shared" si="3"/>
        <v>45801</v>
      </c>
      <c r="B66" s="19">
        <f t="shared" si="1"/>
        <v>45795</v>
      </c>
      <c r="C66" s="22">
        <v>45795.55923611111</v>
      </c>
      <c r="D66" s="5" t="s">
        <v>234</v>
      </c>
      <c r="E66" s="9" t="s">
        <v>63</v>
      </c>
      <c r="F66" s="9" t="str">
        <f t="array" ref="F66:G66">XLOOKUP($E66,product_epicenter!$A$2:$A$101,product_epicenter!$B$2:$C$101)</f>
        <v>Shampoo 1 bottle </v>
      </c>
      <c r="G66" s="21">
        <v>200.0</v>
      </c>
      <c r="H66" s="9">
        <v>3.0</v>
      </c>
      <c r="I66" s="21">
        <f t="shared" si="2"/>
        <v>600</v>
      </c>
    </row>
    <row r="67" ht="15.75" customHeight="1">
      <c r="A67" s="18">
        <f t="shared" si="3"/>
        <v>45801</v>
      </c>
      <c r="B67" s="19">
        <f t="shared" si="1"/>
        <v>45795</v>
      </c>
      <c r="C67" s="22">
        <v>45795.55923611111</v>
      </c>
      <c r="D67" s="5" t="s">
        <v>234</v>
      </c>
      <c r="E67" s="9" t="s">
        <v>195</v>
      </c>
      <c r="F67" s="9" t="str">
        <f t="array" ref="F67:G67">XLOOKUP($E67,product_epicenter!$A$2:$A$101,product_epicenter!$B$2:$C$101)</f>
        <v>Face Wash 250ml </v>
      </c>
      <c r="G67" s="21">
        <v>200.0</v>
      </c>
      <c r="H67" s="9">
        <v>3.0</v>
      </c>
      <c r="I67" s="21">
        <f t="shared" si="2"/>
        <v>600</v>
      </c>
    </row>
    <row r="68" ht="15.75" customHeight="1">
      <c r="A68" s="18">
        <f t="shared" si="3"/>
        <v>45801</v>
      </c>
      <c r="B68" s="19">
        <f t="shared" si="1"/>
        <v>45795</v>
      </c>
      <c r="C68" s="22">
        <v>45795.55923611111</v>
      </c>
      <c r="D68" s="5" t="s">
        <v>234</v>
      </c>
      <c r="E68" s="9" t="s">
        <v>77</v>
      </c>
      <c r="F68" s="9" t="str">
        <f t="array" ref="F68:G68">XLOOKUP($E68,product_epicenter!$A$2:$A$101,product_epicenter!$B$2:$C$101)</f>
        <v>Mosquito Repellent 1 pack </v>
      </c>
      <c r="G68" s="21">
        <v>90.0</v>
      </c>
      <c r="H68" s="9">
        <v>2.0</v>
      </c>
      <c r="I68" s="21">
        <f t="shared" si="2"/>
        <v>180</v>
      </c>
    </row>
    <row r="69" ht="15.75" customHeight="1">
      <c r="A69" s="18">
        <f t="shared" si="3"/>
        <v>45801</v>
      </c>
      <c r="B69" s="19">
        <f t="shared" si="1"/>
        <v>45795</v>
      </c>
      <c r="C69" s="22">
        <v>45795.55923611111</v>
      </c>
      <c r="D69" s="5" t="s">
        <v>234</v>
      </c>
      <c r="E69" s="9" t="s">
        <v>165</v>
      </c>
      <c r="F69" s="9" t="str">
        <f t="array" ref="F69:G69">XLOOKUP($E69,product_epicenter!$A$2:$A$101,product_epicenter!$B$2:$C$101)</f>
        <v>Candles 1 pack </v>
      </c>
      <c r="G69" s="21">
        <v>80.0</v>
      </c>
      <c r="H69" s="9">
        <v>4.0</v>
      </c>
      <c r="I69" s="21">
        <f t="shared" si="2"/>
        <v>320</v>
      </c>
    </row>
    <row r="70" ht="15.75" customHeight="1">
      <c r="A70" s="18">
        <f t="shared" si="3"/>
        <v>45801</v>
      </c>
      <c r="B70" s="19">
        <f t="shared" si="1"/>
        <v>45795</v>
      </c>
      <c r="C70" s="22">
        <v>45795.56826388889</v>
      </c>
      <c r="D70" s="5" t="s">
        <v>235</v>
      </c>
      <c r="E70" s="9" t="s">
        <v>49</v>
      </c>
      <c r="F70" s="9" t="str">
        <f t="array" ref="F70:G70">XLOOKUP($E70,product_epicenter!$A$2:$A$101,product_epicenter!$B$2:$C$101)</f>
        <v>Green Chillies 250g </v>
      </c>
      <c r="G70" s="21">
        <v>20.0</v>
      </c>
      <c r="H70" s="9">
        <v>6.0</v>
      </c>
      <c r="I70" s="21">
        <f t="shared" si="2"/>
        <v>120</v>
      </c>
    </row>
    <row r="71" ht="15.75" customHeight="1">
      <c r="A71" s="18">
        <f t="shared" si="3"/>
        <v>45801</v>
      </c>
      <c r="B71" s="19">
        <f t="shared" si="1"/>
        <v>45795</v>
      </c>
      <c r="C71" s="22">
        <v>45795.56826388889</v>
      </c>
      <c r="D71" s="5" t="s">
        <v>235</v>
      </c>
      <c r="E71" s="9" t="s">
        <v>101</v>
      </c>
      <c r="F71" s="9" t="str">
        <f t="array" ref="F71:G71">XLOOKUP($E71,product_epicenter!$A$2:$A$101,product_epicenter!$B$2:$C$101)</f>
        <v>Cornflakes 500g </v>
      </c>
      <c r="G71" s="21">
        <v>200.0</v>
      </c>
      <c r="H71" s="9">
        <v>3.0</v>
      </c>
      <c r="I71" s="21">
        <f t="shared" si="2"/>
        <v>600</v>
      </c>
    </row>
    <row r="72" ht="15.75" customHeight="1">
      <c r="A72" s="18">
        <f t="shared" si="3"/>
        <v>45801</v>
      </c>
      <c r="B72" s="19">
        <f t="shared" si="1"/>
        <v>45795</v>
      </c>
      <c r="C72" s="22">
        <v>45795.56826388889</v>
      </c>
      <c r="D72" s="5" t="s">
        <v>235</v>
      </c>
      <c r="E72" s="9" t="s">
        <v>61</v>
      </c>
      <c r="F72" s="9" t="str">
        <f t="array" ref="F72:G72">XLOOKUP($E72,product_epicenter!$A$2:$A$101,product_epicenter!$B$2:$C$101)</f>
        <v>Ice Cream 1 litre </v>
      </c>
      <c r="G72" s="21">
        <v>300.0</v>
      </c>
      <c r="H72" s="9">
        <v>3.0</v>
      </c>
      <c r="I72" s="21">
        <f t="shared" si="2"/>
        <v>900</v>
      </c>
    </row>
    <row r="73" ht="15.75" customHeight="1">
      <c r="A73" s="18">
        <f t="shared" si="3"/>
        <v>45801</v>
      </c>
      <c r="B73" s="19">
        <f t="shared" si="1"/>
        <v>45795</v>
      </c>
      <c r="C73" s="22">
        <v>45795.56826388889</v>
      </c>
      <c r="D73" s="5" t="s">
        <v>235</v>
      </c>
      <c r="E73" s="9" t="s">
        <v>81</v>
      </c>
      <c r="F73" s="9" t="str">
        <f t="array" ref="F73:G73">XLOOKUP($E73,product_epicenter!$A$2:$A$101,product_epicenter!$B$2:$C$101)</f>
        <v>Cooking Oil 1 litre </v>
      </c>
      <c r="G73" s="21">
        <v>120.0</v>
      </c>
      <c r="H73" s="9">
        <v>4.0</v>
      </c>
      <c r="I73" s="21">
        <f t="shared" si="2"/>
        <v>480</v>
      </c>
    </row>
    <row r="74" ht="15.75" customHeight="1">
      <c r="A74" s="18">
        <f t="shared" si="3"/>
        <v>45801</v>
      </c>
      <c r="B74" s="19">
        <f t="shared" si="1"/>
        <v>45795</v>
      </c>
      <c r="C74" s="22">
        <v>45795.57798611111</v>
      </c>
      <c r="D74" s="5" t="s">
        <v>236</v>
      </c>
      <c r="E74" s="9" t="s">
        <v>75</v>
      </c>
      <c r="F74" s="9" t="str">
        <f t="array" ref="F74:G74">XLOOKUP($E74,product_epicenter!$A$2:$A$101,product_epicenter!$B$2:$C$101)</f>
        <v>Toilet Cleaner 1 litre </v>
      </c>
      <c r="G74" s="21">
        <v>120.0</v>
      </c>
      <c r="H74" s="9">
        <v>8.0</v>
      </c>
      <c r="I74" s="21">
        <f t="shared" si="2"/>
        <v>960</v>
      </c>
    </row>
    <row r="75" ht="15.75" customHeight="1">
      <c r="A75" s="18">
        <f t="shared" si="3"/>
        <v>45801</v>
      </c>
      <c r="B75" s="19">
        <f t="shared" si="1"/>
        <v>45795</v>
      </c>
      <c r="C75" s="22">
        <v>45795.57798611111</v>
      </c>
      <c r="D75" s="5" t="s">
        <v>236</v>
      </c>
      <c r="E75" s="9" t="s">
        <v>73</v>
      </c>
      <c r="F75" s="9" t="str">
        <f t="array" ref="F75:G75">XLOOKUP($E75,product_epicenter!$A$2:$A$101,product_epicenter!$B$2:$C$101)</f>
        <v>Floor Cleaner 1 litre </v>
      </c>
      <c r="G75" s="21">
        <v>150.0</v>
      </c>
      <c r="H75" s="9">
        <v>8.0</v>
      </c>
      <c r="I75" s="21">
        <f t="shared" si="2"/>
        <v>1200</v>
      </c>
    </row>
    <row r="76" ht="15.75" customHeight="1">
      <c r="A76" s="18">
        <f t="shared" si="3"/>
        <v>45801</v>
      </c>
      <c r="B76" s="19">
        <f t="shared" si="1"/>
        <v>45795</v>
      </c>
      <c r="C76" s="22">
        <v>45795.57798611111</v>
      </c>
      <c r="D76" s="5" t="s">
        <v>236</v>
      </c>
      <c r="E76" s="9" t="s">
        <v>161</v>
      </c>
      <c r="F76" s="9" t="str">
        <f t="array" ref="F76:G76">XLOOKUP($E76,product_epicenter!$A$2:$A$101,product_epicenter!$B$2:$C$101)</f>
        <v>Aluminium Foil 1 roll </v>
      </c>
      <c r="G76" s="21">
        <v>120.0</v>
      </c>
      <c r="H76" s="9">
        <v>6.0</v>
      </c>
      <c r="I76" s="21">
        <f t="shared" si="2"/>
        <v>720</v>
      </c>
    </row>
    <row r="77" ht="15.75" customHeight="1">
      <c r="A77" s="18">
        <f t="shared" si="3"/>
        <v>45801</v>
      </c>
      <c r="B77" s="19">
        <f t="shared" si="1"/>
        <v>45795</v>
      </c>
      <c r="C77" s="22">
        <v>45795.57798611111</v>
      </c>
      <c r="D77" s="5" t="s">
        <v>236</v>
      </c>
      <c r="E77" s="9" t="s">
        <v>107</v>
      </c>
      <c r="F77" s="9" t="str">
        <f t="array" ref="F77:G77">XLOOKUP($E77,product_epicenter!$A$2:$A$101,product_epicenter!$B$2:$C$101)</f>
        <v>Peanut Butter 500g </v>
      </c>
      <c r="G77" s="21">
        <v>250.0</v>
      </c>
      <c r="H77" s="9">
        <v>7.0</v>
      </c>
      <c r="I77" s="21">
        <f t="shared" si="2"/>
        <v>1750</v>
      </c>
    </row>
    <row r="78" ht="15.75" customHeight="1">
      <c r="A78" s="18">
        <f t="shared" si="3"/>
        <v>45801</v>
      </c>
      <c r="B78" s="19">
        <f t="shared" si="1"/>
        <v>45795</v>
      </c>
      <c r="C78" s="22">
        <v>45795.58770833333</v>
      </c>
      <c r="D78" s="5" t="s">
        <v>237</v>
      </c>
      <c r="E78" s="9" t="s">
        <v>173</v>
      </c>
      <c r="F78" s="9" t="str">
        <f t="array" ref="F78:G78">XLOOKUP($E78,product_epicenter!$A$2:$A$101,product_epicenter!$B$2:$C$101)</f>
        <v>Coconut Water 1 litre </v>
      </c>
      <c r="G78" s="21">
        <v>80.0</v>
      </c>
      <c r="H78" s="9">
        <v>6.0</v>
      </c>
      <c r="I78" s="21">
        <f t="shared" si="2"/>
        <v>480</v>
      </c>
    </row>
    <row r="79" ht="15.75" customHeight="1">
      <c r="A79" s="18">
        <f t="shared" si="3"/>
        <v>45801</v>
      </c>
      <c r="B79" s="19">
        <f t="shared" si="1"/>
        <v>45795</v>
      </c>
      <c r="C79" s="22">
        <v>45795.58770833333</v>
      </c>
      <c r="D79" s="5" t="s">
        <v>237</v>
      </c>
      <c r="E79" s="9" t="s">
        <v>129</v>
      </c>
      <c r="F79" s="9" t="str">
        <f t="array" ref="F79:G79">XLOOKUP($E79,product_epicenter!$A$2:$A$101,product_epicenter!$B$2:$C$101)</f>
        <v>Coconut 1 piece </v>
      </c>
      <c r="G79" s="21">
        <v>40.0</v>
      </c>
      <c r="H79" s="9">
        <v>1.0</v>
      </c>
      <c r="I79" s="21">
        <f t="shared" si="2"/>
        <v>40</v>
      </c>
    </row>
    <row r="80" ht="15.75" customHeight="1">
      <c r="A80" s="18">
        <f t="shared" si="3"/>
        <v>45801</v>
      </c>
      <c r="B80" s="19">
        <f t="shared" si="1"/>
        <v>45795</v>
      </c>
      <c r="C80" s="22">
        <v>45795.58770833333</v>
      </c>
      <c r="D80" s="5" t="s">
        <v>237</v>
      </c>
      <c r="E80" s="9" t="s">
        <v>155</v>
      </c>
      <c r="F80" s="9" t="str">
        <f t="array" ref="F80:G80">XLOOKUP($E80,product_epicenter!$A$2:$A$101,product_epicenter!$B$2:$C$101)</f>
        <v>Whipped Cream 500ml </v>
      </c>
      <c r="G80" s="21">
        <v>250.0</v>
      </c>
      <c r="H80" s="9">
        <v>1.0</v>
      </c>
      <c r="I80" s="21">
        <f t="shared" si="2"/>
        <v>250</v>
      </c>
    </row>
    <row r="81" ht="15.75" customHeight="1">
      <c r="A81" s="18">
        <f t="shared" si="3"/>
        <v>45801</v>
      </c>
      <c r="B81" s="19">
        <f t="shared" si="1"/>
        <v>45795</v>
      </c>
      <c r="C81" s="22">
        <v>45795.58770833333</v>
      </c>
      <c r="D81" s="5" t="s">
        <v>237</v>
      </c>
      <c r="E81" s="9" t="s">
        <v>41</v>
      </c>
      <c r="F81" s="9" t="str">
        <f t="array" ref="F81:G81">XLOOKUP($E81,product_epicenter!$A$2:$A$101,product_epicenter!$B$2:$C$101)</f>
        <v>Oranges 1kg </v>
      </c>
      <c r="G81" s="21">
        <v>100.0</v>
      </c>
      <c r="H81" s="9">
        <v>9.0</v>
      </c>
      <c r="I81" s="21">
        <f t="shared" si="2"/>
        <v>900</v>
      </c>
    </row>
    <row r="82" ht="15.75" customHeight="1">
      <c r="A82" s="18">
        <f t="shared" si="3"/>
        <v>45801</v>
      </c>
      <c r="B82" s="19">
        <f t="shared" si="1"/>
        <v>45795</v>
      </c>
      <c r="C82" s="22">
        <v>45795.58770833333</v>
      </c>
      <c r="D82" s="5" t="s">
        <v>237</v>
      </c>
      <c r="E82" s="9" t="s">
        <v>143</v>
      </c>
      <c r="F82" s="9" t="str">
        <f t="array" ref="F82:G82">XLOOKUP($E82,product_epicenter!$A$2:$A$101,product_epicenter!$B$2:$C$101)</f>
        <v>Brown Rice 1kg </v>
      </c>
      <c r="G82" s="21">
        <v>100.0</v>
      </c>
      <c r="H82" s="9">
        <v>7.0</v>
      </c>
      <c r="I82" s="21">
        <f t="shared" si="2"/>
        <v>700</v>
      </c>
    </row>
    <row r="83" ht="15.75" customHeight="1">
      <c r="A83" s="18">
        <f t="shared" si="3"/>
        <v>45801</v>
      </c>
      <c r="B83" s="19">
        <f t="shared" si="1"/>
        <v>45795</v>
      </c>
      <c r="C83" s="22">
        <v>45795.59465277778</v>
      </c>
      <c r="D83" s="5" t="s">
        <v>238</v>
      </c>
      <c r="E83" s="9" t="s">
        <v>9</v>
      </c>
      <c r="F83" s="9" t="str">
        <f t="array" ref="F83:G83">XLOOKUP($E83,product_epicenter!$A$2:$A$101,product_epicenter!$B$2:$C$101)</f>
        <v>Aata (Wheat Flour) 1kg </v>
      </c>
      <c r="G83" s="21">
        <v>40.0</v>
      </c>
      <c r="H83" s="9">
        <v>2.0</v>
      </c>
      <c r="I83" s="21">
        <f t="shared" si="2"/>
        <v>80</v>
      </c>
    </row>
    <row r="84" ht="15.75" customHeight="1">
      <c r="A84" s="18">
        <f t="shared" si="3"/>
        <v>45801</v>
      </c>
      <c r="B84" s="19">
        <f t="shared" si="1"/>
        <v>45795</v>
      </c>
      <c r="C84" s="22">
        <v>45795.59465277778</v>
      </c>
      <c r="D84" s="5" t="s">
        <v>238</v>
      </c>
      <c r="E84" s="9" t="s">
        <v>187</v>
      </c>
      <c r="F84" s="9" t="str">
        <f t="array" ref="F84:G84">XLOOKUP($E84,product_epicenter!$A$2:$A$101,product_epicenter!$B$2:$C$101)</f>
        <v>Shaving Cream 100g </v>
      </c>
      <c r="G84" s="21">
        <v>150.0</v>
      </c>
      <c r="H84" s="9">
        <v>3.0</v>
      </c>
      <c r="I84" s="21">
        <f t="shared" si="2"/>
        <v>450</v>
      </c>
    </row>
    <row r="85" ht="15.75" customHeight="1">
      <c r="A85" s="18">
        <f t="shared" si="3"/>
        <v>45801</v>
      </c>
      <c r="B85" s="19">
        <f t="shared" si="1"/>
        <v>45795</v>
      </c>
      <c r="C85" s="22">
        <v>45795.59465277778</v>
      </c>
      <c r="D85" s="5" t="s">
        <v>238</v>
      </c>
      <c r="E85" s="9" t="s">
        <v>73</v>
      </c>
      <c r="F85" s="9" t="str">
        <f t="array" ref="F85:G85">XLOOKUP($E85,product_epicenter!$A$2:$A$101,product_epicenter!$B$2:$C$101)</f>
        <v>Floor Cleaner 1 litre </v>
      </c>
      <c r="G85" s="21">
        <v>150.0</v>
      </c>
      <c r="H85" s="9">
        <v>2.0</v>
      </c>
      <c r="I85" s="21">
        <f t="shared" si="2"/>
        <v>300</v>
      </c>
    </row>
    <row r="86" ht="15.75" customHeight="1">
      <c r="A86" s="18">
        <f t="shared" si="3"/>
        <v>45801</v>
      </c>
      <c r="B86" s="19">
        <f t="shared" si="1"/>
        <v>45795</v>
      </c>
      <c r="C86" s="22">
        <v>45795.60229166667</v>
      </c>
      <c r="D86" s="5" t="s">
        <v>239</v>
      </c>
      <c r="E86" s="9" t="s">
        <v>45</v>
      </c>
      <c r="F86" s="9" t="str">
        <f t="array" ref="F86:G86">XLOOKUP($E86,product_epicenter!$A$2:$A$101,product_epicenter!$B$2:$C$101)</f>
        <v>Onions 1kg </v>
      </c>
      <c r="G86" s="21">
        <v>40.0</v>
      </c>
      <c r="H86" s="9">
        <v>3.0</v>
      </c>
      <c r="I86" s="21">
        <f t="shared" si="2"/>
        <v>120</v>
      </c>
    </row>
    <row r="87" ht="15.75" customHeight="1">
      <c r="A87" s="18">
        <f t="shared" si="3"/>
        <v>45801</v>
      </c>
      <c r="B87" s="19">
        <f t="shared" si="1"/>
        <v>45795</v>
      </c>
      <c r="C87" s="22">
        <v>45795.60229166667</v>
      </c>
      <c r="D87" s="5" t="s">
        <v>239</v>
      </c>
      <c r="E87" s="9" t="s">
        <v>79</v>
      </c>
      <c r="F87" s="9" t="str">
        <f t="array" ref="F87:G87">XLOOKUP($E87,product_epicenter!$A$2:$A$101,product_epicenter!$B$2:$C$101)</f>
        <v>Tissue Roll 1 pack </v>
      </c>
      <c r="G87" s="21">
        <v>60.0</v>
      </c>
      <c r="H87" s="9">
        <v>2.0</v>
      </c>
      <c r="I87" s="21">
        <f t="shared" si="2"/>
        <v>120</v>
      </c>
    </row>
    <row r="88" ht="15.75" customHeight="1">
      <c r="A88" s="18">
        <f t="shared" si="3"/>
        <v>45801</v>
      </c>
      <c r="B88" s="19">
        <f t="shared" si="1"/>
        <v>45795</v>
      </c>
      <c r="C88" s="22">
        <v>45795.60229166667</v>
      </c>
      <c r="D88" s="5" t="s">
        <v>239</v>
      </c>
      <c r="E88" s="9" t="s">
        <v>77</v>
      </c>
      <c r="F88" s="9" t="str">
        <f t="array" ref="F88:G88">XLOOKUP($E88,product_epicenter!$A$2:$A$101,product_epicenter!$B$2:$C$101)</f>
        <v>Mosquito Repellent 1 pack </v>
      </c>
      <c r="G88" s="21">
        <v>90.0</v>
      </c>
      <c r="H88" s="9">
        <v>6.0</v>
      </c>
      <c r="I88" s="21">
        <f t="shared" si="2"/>
        <v>540</v>
      </c>
    </row>
    <row r="89" ht="15.75" customHeight="1">
      <c r="A89" s="18">
        <f t="shared" si="3"/>
        <v>45801</v>
      </c>
      <c r="B89" s="19">
        <f t="shared" si="1"/>
        <v>45795</v>
      </c>
      <c r="C89" s="22">
        <v>45795.60229166667</v>
      </c>
      <c r="D89" s="5" t="s">
        <v>239</v>
      </c>
      <c r="E89" s="9" t="s">
        <v>71</v>
      </c>
      <c r="F89" s="9" t="str">
        <f t="array" ref="F89:G89">XLOOKUP($E89,product_epicenter!$A$2:$A$101,product_epicenter!$B$2:$C$101)</f>
        <v>Dishwashing Liquid 500ml </v>
      </c>
      <c r="G89" s="21">
        <v>100.0</v>
      </c>
      <c r="H89" s="9">
        <v>5.0</v>
      </c>
      <c r="I89" s="21">
        <f t="shared" si="2"/>
        <v>500</v>
      </c>
    </row>
    <row r="90" ht="15.75" customHeight="1">
      <c r="A90" s="18">
        <f t="shared" si="3"/>
        <v>45801</v>
      </c>
      <c r="B90" s="19">
        <f t="shared" si="1"/>
        <v>45795</v>
      </c>
      <c r="C90" s="22">
        <v>45795.60229166667</v>
      </c>
      <c r="D90" s="5" t="s">
        <v>239</v>
      </c>
      <c r="E90" s="9" t="s">
        <v>115</v>
      </c>
      <c r="F90" s="9" t="str">
        <f t="array" ref="F90:G90">XLOOKUP($E90,product_epicenter!$A$2:$A$101,product_epicenter!$B$2:$C$101)</f>
        <v>Raisins 500g </v>
      </c>
      <c r="G90" s="21">
        <v>400.0</v>
      </c>
      <c r="H90" s="9">
        <v>6.0</v>
      </c>
      <c r="I90" s="21">
        <f t="shared" si="2"/>
        <v>2400</v>
      </c>
    </row>
    <row r="91" ht="15.75" customHeight="1">
      <c r="A91" s="18">
        <f t="shared" si="3"/>
        <v>45801</v>
      </c>
      <c r="B91" s="19">
        <f t="shared" si="1"/>
        <v>45795</v>
      </c>
      <c r="C91" s="22">
        <v>45795.612708333334</v>
      </c>
      <c r="D91" s="5" t="s">
        <v>240</v>
      </c>
      <c r="E91" s="9" t="s">
        <v>183</v>
      </c>
      <c r="F91" s="9" t="str">
        <f t="array" ref="F91:G91">XLOOKUP($E91,product_epicenter!$A$2:$A$101,product_epicenter!$B$2:$C$101)</f>
        <v>Body Lotion 500ml </v>
      </c>
      <c r="G91" s="21">
        <v>250.0</v>
      </c>
      <c r="H91" s="9">
        <v>4.0</v>
      </c>
      <c r="I91" s="21">
        <f t="shared" si="2"/>
        <v>1000</v>
      </c>
    </row>
    <row r="92" ht="15.75" customHeight="1">
      <c r="A92" s="18">
        <f t="shared" si="3"/>
        <v>45801</v>
      </c>
      <c r="B92" s="19">
        <f t="shared" si="1"/>
        <v>45795</v>
      </c>
      <c r="C92" s="22">
        <v>45795.612708333334</v>
      </c>
      <c r="D92" s="5" t="s">
        <v>240</v>
      </c>
      <c r="E92" s="9" t="s">
        <v>133</v>
      </c>
      <c r="F92" s="9" t="str">
        <f t="array" ref="F92:G92">XLOOKUP($E92,product_epicenter!$A$2:$A$101,product_epicenter!$B$2:$C$101)</f>
        <v>Paneer 1kg </v>
      </c>
      <c r="G92" s="21">
        <v>400.0</v>
      </c>
      <c r="H92" s="9">
        <v>5.0</v>
      </c>
      <c r="I92" s="21">
        <f t="shared" si="2"/>
        <v>2000</v>
      </c>
    </row>
    <row r="93" ht="15.75" customHeight="1">
      <c r="A93" s="18">
        <f t="shared" si="3"/>
        <v>45801</v>
      </c>
      <c r="B93" s="19">
        <f t="shared" si="1"/>
        <v>45795</v>
      </c>
      <c r="C93" s="22">
        <v>45795.612708333334</v>
      </c>
      <c r="D93" s="5" t="s">
        <v>240</v>
      </c>
      <c r="E93" s="9" t="s">
        <v>105</v>
      </c>
      <c r="F93" s="9" t="str">
        <f t="array" ref="F93:G93">XLOOKUP($E93,product_epicenter!$A$2:$A$101,product_epicenter!$B$2:$C$101)</f>
        <v>Jam 500g </v>
      </c>
      <c r="G93" s="21">
        <v>150.0</v>
      </c>
      <c r="H93" s="9">
        <v>8.0</v>
      </c>
      <c r="I93" s="21">
        <f t="shared" si="2"/>
        <v>1200</v>
      </c>
    </row>
    <row r="94" ht="15.75" customHeight="1">
      <c r="A94" s="18">
        <f t="shared" si="3"/>
        <v>45801</v>
      </c>
      <c r="B94" s="19">
        <f t="shared" si="1"/>
        <v>45795</v>
      </c>
      <c r="C94" s="22">
        <v>45795.612708333334</v>
      </c>
      <c r="D94" s="5" t="s">
        <v>240</v>
      </c>
      <c r="E94" s="9" t="s">
        <v>151</v>
      </c>
      <c r="F94" s="9" t="str">
        <f t="array" ref="F94:G94">XLOOKUP($E94,product_epicenter!$A$2:$A$101,product_epicenter!$B$2:$C$101)</f>
        <v>Cake Mix 1 box </v>
      </c>
      <c r="G94" s="21">
        <v>200.0</v>
      </c>
      <c r="H94" s="9">
        <v>2.0</v>
      </c>
      <c r="I94" s="21">
        <f t="shared" si="2"/>
        <v>400</v>
      </c>
    </row>
    <row r="95" ht="15.75" customHeight="1">
      <c r="A95" s="18">
        <f t="shared" si="3"/>
        <v>45801</v>
      </c>
      <c r="B95" s="19">
        <f t="shared" si="1"/>
        <v>45795</v>
      </c>
      <c r="C95" s="22">
        <v>45795.612708333334</v>
      </c>
      <c r="D95" s="5" t="s">
        <v>240</v>
      </c>
      <c r="E95" s="9" t="s">
        <v>197</v>
      </c>
      <c r="F95" s="9" t="str">
        <f t="array" ref="F95:G95">XLOOKUP($E95,product_epicenter!$A$2:$A$101,product_epicenter!$B$2:$C$101)</f>
        <v>Hand Sanitizer 500ml </v>
      </c>
      <c r="G95" s="21">
        <v>200.0</v>
      </c>
      <c r="H95" s="9">
        <v>5.0</v>
      </c>
      <c r="I95" s="21">
        <f t="shared" si="2"/>
        <v>1000</v>
      </c>
    </row>
    <row r="96" ht="15.75" customHeight="1">
      <c r="A96" s="18">
        <f t="shared" si="3"/>
        <v>45801</v>
      </c>
      <c r="B96" s="19">
        <f t="shared" si="1"/>
        <v>45795</v>
      </c>
      <c r="C96" s="22">
        <v>45795.62034722222</v>
      </c>
      <c r="D96" s="5" t="s">
        <v>241</v>
      </c>
      <c r="E96" s="9" t="s">
        <v>13</v>
      </c>
      <c r="F96" s="9" t="str">
        <f t="array" ref="F96:G96">XLOOKUP($E96,product_epicenter!$A$2:$A$101,product_epicenter!$B$2:$C$101)</f>
        <v>Coffee 100g </v>
      </c>
      <c r="G96" s="21">
        <v>250.0</v>
      </c>
      <c r="H96" s="9">
        <v>2.0</v>
      </c>
      <c r="I96" s="21">
        <f t="shared" si="2"/>
        <v>500</v>
      </c>
    </row>
    <row r="97" ht="15.75" customHeight="1">
      <c r="A97" s="18">
        <f t="shared" si="3"/>
        <v>45801</v>
      </c>
      <c r="B97" s="19">
        <f t="shared" si="1"/>
        <v>45795</v>
      </c>
      <c r="C97" s="22">
        <v>45795.62034722222</v>
      </c>
      <c r="D97" s="5" t="s">
        <v>241</v>
      </c>
      <c r="E97" s="9" t="s">
        <v>191</v>
      </c>
      <c r="F97" s="9" t="str">
        <f t="array" ref="F97:G97">XLOOKUP($E97,product_epicenter!$A$2:$A$101,product_epicenter!$B$2:$C$101)</f>
        <v>Nail Polish 1 bottle </v>
      </c>
      <c r="G97" s="21">
        <v>120.0</v>
      </c>
      <c r="H97" s="9">
        <v>8.0</v>
      </c>
      <c r="I97" s="21">
        <f t="shared" si="2"/>
        <v>960</v>
      </c>
    </row>
    <row r="98" ht="15.75" customHeight="1">
      <c r="A98" s="18">
        <f t="shared" si="3"/>
        <v>45801</v>
      </c>
      <c r="B98" s="19">
        <f t="shared" si="1"/>
        <v>45795</v>
      </c>
      <c r="C98" s="22">
        <v>45795.62034722222</v>
      </c>
      <c r="D98" s="5" t="s">
        <v>241</v>
      </c>
      <c r="E98" s="9" t="s">
        <v>77</v>
      </c>
      <c r="F98" s="9" t="str">
        <f t="array" ref="F98:G98">XLOOKUP($E98,product_epicenter!$A$2:$A$101,product_epicenter!$B$2:$C$101)</f>
        <v>Mosquito Repellent 1 pack </v>
      </c>
      <c r="G98" s="21">
        <v>90.0</v>
      </c>
      <c r="H98" s="9">
        <v>3.0</v>
      </c>
      <c r="I98" s="21">
        <f t="shared" si="2"/>
        <v>270</v>
      </c>
    </row>
    <row r="99" ht="15.75" customHeight="1">
      <c r="A99" s="18">
        <f t="shared" si="3"/>
        <v>45801</v>
      </c>
      <c r="B99" s="19">
        <f t="shared" si="1"/>
        <v>45795</v>
      </c>
      <c r="C99" s="22">
        <v>45795.629375</v>
      </c>
      <c r="D99" s="5" t="s">
        <v>242</v>
      </c>
      <c r="E99" s="9" t="s">
        <v>157</v>
      </c>
      <c r="F99" s="9" t="str">
        <f t="array" ref="F99:G99">XLOOKUP($E99,product_epicenter!$A$2:$A$101,product_epicenter!$B$2:$C$101)</f>
        <v>Butter Paper 1 roll </v>
      </c>
      <c r="G99" s="21">
        <v>100.0</v>
      </c>
      <c r="H99" s="9">
        <v>3.0</v>
      </c>
      <c r="I99" s="21">
        <f t="shared" si="2"/>
        <v>300</v>
      </c>
    </row>
    <row r="100" ht="15.75" customHeight="1">
      <c r="A100" s="18">
        <f t="shared" si="3"/>
        <v>45801</v>
      </c>
      <c r="B100" s="19">
        <f t="shared" si="1"/>
        <v>45795</v>
      </c>
      <c r="C100" s="22">
        <v>45795.629375</v>
      </c>
      <c r="D100" s="5" t="s">
        <v>242</v>
      </c>
      <c r="E100" s="9" t="s">
        <v>43</v>
      </c>
      <c r="F100" s="9" t="str">
        <f t="array" ref="F100:G100">XLOOKUP($E100,product_epicenter!$A$2:$A$101,product_epicenter!$B$2:$C$101)</f>
        <v>Potatoes 1kg </v>
      </c>
      <c r="G100" s="21">
        <v>30.0</v>
      </c>
      <c r="H100" s="9">
        <v>2.0</v>
      </c>
      <c r="I100" s="21">
        <f t="shared" si="2"/>
        <v>60</v>
      </c>
    </row>
    <row r="101" ht="15.75" customHeight="1">
      <c r="A101" s="18">
        <f t="shared" si="3"/>
        <v>45801</v>
      </c>
      <c r="B101" s="19">
        <f t="shared" si="1"/>
        <v>45795</v>
      </c>
      <c r="C101" s="22">
        <v>45795.629375</v>
      </c>
      <c r="D101" s="5" t="s">
        <v>242</v>
      </c>
      <c r="E101" s="9" t="s">
        <v>37</v>
      </c>
      <c r="F101" s="9" t="str">
        <f t="array" ref="F101:G101">XLOOKUP($E101,product_epicenter!$A$2:$A$101,product_epicenter!$B$2:$C$101)</f>
        <v>Apples 1kg </v>
      </c>
      <c r="G101" s="21">
        <v>200.0</v>
      </c>
      <c r="H101" s="9">
        <v>4.0</v>
      </c>
      <c r="I101" s="21">
        <f t="shared" si="2"/>
        <v>800</v>
      </c>
    </row>
    <row r="102" ht="15.75" customHeight="1">
      <c r="A102" s="18">
        <f t="shared" si="3"/>
        <v>45801</v>
      </c>
      <c r="B102" s="19">
        <f t="shared" si="1"/>
        <v>45795</v>
      </c>
      <c r="C102" s="22">
        <v>45795.629375</v>
      </c>
      <c r="D102" s="5" t="s">
        <v>242</v>
      </c>
      <c r="E102" s="9" t="s">
        <v>49</v>
      </c>
      <c r="F102" s="9" t="str">
        <f t="array" ref="F102:G102">XLOOKUP($E102,product_epicenter!$A$2:$A$101,product_epicenter!$B$2:$C$101)</f>
        <v>Green Chillies 250g </v>
      </c>
      <c r="G102" s="21">
        <v>20.0</v>
      </c>
      <c r="H102" s="9">
        <v>1.0</v>
      </c>
      <c r="I102" s="21">
        <f t="shared" si="2"/>
        <v>20</v>
      </c>
    </row>
    <row r="103" ht="15.75" customHeight="1">
      <c r="A103" s="18">
        <f t="shared" si="3"/>
        <v>45801</v>
      </c>
      <c r="B103" s="19">
        <f t="shared" si="1"/>
        <v>45795</v>
      </c>
      <c r="C103" s="22">
        <v>45795.637708333335</v>
      </c>
      <c r="D103" s="5" t="s">
        <v>243</v>
      </c>
      <c r="E103" s="9" t="s">
        <v>75</v>
      </c>
      <c r="F103" s="9" t="str">
        <f t="array" ref="F103:G103">XLOOKUP($E103,product_epicenter!$A$2:$A$101,product_epicenter!$B$2:$C$101)</f>
        <v>Toilet Cleaner 1 litre </v>
      </c>
      <c r="G103" s="21">
        <v>120.0</v>
      </c>
      <c r="H103" s="9">
        <v>7.0</v>
      </c>
      <c r="I103" s="21">
        <f t="shared" si="2"/>
        <v>840</v>
      </c>
    </row>
    <row r="104" ht="15.75" customHeight="1">
      <c r="A104" s="18">
        <f t="shared" si="3"/>
        <v>45801</v>
      </c>
      <c r="B104" s="19">
        <f t="shared" si="1"/>
        <v>45795</v>
      </c>
      <c r="C104" s="22">
        <v>45795.637708333335</v>
      </c>
      <c r="D104" s="5" t="s">
        <v>243</v>
      </c>
      <c r="E104" s="9" t="s">
        <v>67</v>
      </c>
      <c r="F104" s="9" t="str">
        <f t="array" ref="F104:G104">XLOOKUP($E104,product_epicenter!$A$2:$A$101,product_epicenter!$B$2:$C$101)</f>
        <v>Toothpaste 1 tube </v>
      </c>
      <c r="G104" s="21">
        <v>80.0</v>
      </c>
      <c r="H104" s="9">
        <v>7.0</v>
      </c>
      <c r="I104" s="21">
        <f t="shared" si="2"/>
        <v>560</v>
      </c>
    </row>
    <row r="105" ht="15.75" customHeight="1">
      <c r="A105" s="18">
        <f t="shared" si="3"/>
        <v>45801</v>
      </c>
      <c r="B105" s="19">
        <f t="shared" si="1"/>
        <v>45795</v>
      </c>
      <c r="C105" s="22">
        <v>45795.637708333335</v>
      </c>
      <c r="D105" s="5" t="s">
        <v>243</v>
      </c>
      <c r="E105" s="9" t="s">
        <v>149</v>
      </c>
      <c r="F105" s="9" t="str">
        <f t="array" ref="F105:G105">XLOOKUP($E105,product_epicenter!$A$2:$A$101,product_epicenter!$B$2:$C$101)</f>
        <v>Baking Powder 250g </v>
      </c>
      <c r="G105" s="21">
        <v>80.0</v>
      </c>
      <c r="H105" s="9">
        <v>1.0</v>
      </c>
      <c r="I105" s="21">
        <f t="shared" si="2"/>
        <v>80</v>
      </c>
    </row>
    <row r="106" ht="15.75" customHeight="1">
      <c r="A106" s="18">
        <f t="shared" si="3"/>
        <v>45801</v>
      </c>
      <c r="B106" s="19">
        <f t="shared" si="1"/>
        <v>45795</v>
      </c>
      <c r="C106" s="22">
        <v>45795.64604166667</v>
      </c>
      <c r="D106" s="5" t="s">
        <v>244</v>
      </c>
      <c r="E106" s="9" t="s">
        <v>93</v>
      </c>
      <c r="F106" s="9" t="str">
        <f t="array" ref="F106:G106">XLOOKUP($E106,product_epicenter!$A$2:$A$101,product_epicenter!$B$2:$C$101)</f>
        <v>Soy Sauce 500ml </v>
      </c>
      <c r="G106" s="21">
        <v>120.0</v>
      </c>
      <c r="H106" s="9">
        <v>8.0</v>
      </c>
      <c r="I106" s="21">
        <f t="shared" si="2"/>
        <v>960</v>
      </c>
    </row>
    <row r="107" ht="15.75" customHeight="1">
      <c r="A107" s="18">
        <f t="shared" si="3"/>
        <v>45801</v>
      </c>
      <c r="B107" s="19">
        <f t="shared" si="1"/>
        <v>45795</v>
      </c>
      <c r="C107" s="22">
        <v>45795.64604166667</v>
      </c>
      <c r="D107" s="5" t="s">
        <v>244</v>
      </c>
      <c r="E107" s="9" t="s">
        <v>25</v>
      </c>
      <c r="F107" s="9" t="str">
        <f t="array" ref="F107:G107">XLOOKUP($E107,product_epicenter!$A$2:$A$101,product_epicenter!$B$2:$C$101)</f>
        <v>Bread 500g </v>
      </c>
      <c r="G107" s="21">
        <v>40.0</v>
      </c>
      <c r="H107" s="9">
        <v>2.0</v>
      </c>
      <c r="I107" s="21">
        <f t="shared" si="2"/>
        <v>80</v>
      </c>
    </row>
    <row r="108" ht="15.75" customHeight="1">
      <c r="A108" s="18">
        <f t="shared" si="3"/>
        <v>45801</v>
      </c>
      <c r="B108" s="19">
        <f t="shared" si="1"/>
        <v>45795</v>
      </c>
      <c r="C108" s="22">
        <v>45795.64604166667</v>
      </c>
      <c r="D108" s="5" t="s">
        <v>244</v>
      </c>
      <c r="E108" s="9" t="s">
        <v>85</v>
      </c>
      <c r="F108" s="9" t="str">
        <f t="array" ref="F108:G108">XLOOKUP($E108,product_epicenter!$A$2:$A$101,product_epicenter!$B$2:$C$101)</f>
        <v>Cumin Seeds 100g </v>
      </c>
      <c r="G108" s="21">
        <v>40.0</v>
      </c>
      <c r="H108" s="9">
        <v>2.0</v>
      </c>
      <c r="I108" s="21">
        <f t="shared" si="2"/>
        <v>80</v>
      </c>
    </row>
    <row r="109" ht="15.75" customHeight="1">
      <c r="A109" s="18">
        <f t="shared" si="3"/>
        <v>45801</v>
      </c>
      <c r="B109" s="19">
        <f t="shared" si="1"/>
        <v>45795</v>
      </c>
      <c r="C109" s="22">
        <v>45795.64604166667</v>
      </c>
      <c r="D109" s="5" t="s">
        <v>244</v>
      </c>
      <c r="E109" s="9" t="s">
        <v>37</v>
      </c>
      <c r="F109" s="9" t="str">
        <f t="array" ref="F109:G109">XLOOKUP($E109,product_epicenter!$A$2:$A$101,product_epicenter!$B$2:$C$101)</f>
        <v>Apples 1kg </v>
      </c>
      <c r="G109" s="21">
        <v>200.0</v>
      </c>
      <c r="H109" s="9">
        <v>9.0</v>
      </c>
      <c r="I109" s="21">
        <f t="shared" si="2"/>
        <v>1800</v>
      </c>
    </row>
    <row r="110" ht="15.75" customHeight="1">
      <c r="A110" s="18">
        <f t="shared" si="3"/>
        <v>45801</v>
      </c>
      <c r="B110" s="19">
        <f t="shared" si="1"/>
        <v>45795</v>
      </c>
      <c r="C110" s="22">
        <v>45795.65645833333</v>
      </c>
      <c r="D110" s="5" t="s">
        <v>245</v>
      </c>
      <c r="E110" s="9" t="s">
        <v>103</v>
      </c>
      <c r="F110" s="9" t="str">
        <f t="array" ref="F110:G110">XLOOKUP($E110,product_epicenter!$A$2:$A$101,product_epicenter!$B$2:$C$101)</f>
        <v>Honey 500g </v>
      </c>
      <c r="G110" s="21">
        <v>300.0</v>
      </c>
      <c r="H110" s="9">
        <v>4.0</v>
      </c>
      <c r="I110" s="21">
        <f t="shared" si="2"/>
        <v>1200</v>
      </c>
    </row>
    <row r="111" ht="15.75" customHeight="1">
      <c r="A111" s="18">
        <f t="shared" si="3"/>
        <v>45801</v>
      </c>
      <c r="B111" s="19">
        <f t="shared" si="1"/>
        <v>45795</v>
      </c>
      <c r="C111" s="22">
        <v>45795.65645833333</v>
      </c>
      <c r="D111" s="5" t="s">
        <v>245</v>
      </c>
      <c r="E111" s="9" t="s">
        <v>123</v>
      </c>
      <c r="F111" s="9" t="str">
        <f t="array" ref="F111:G111">XLOOKUP($E111,product_epicenter!$A$2:$A$101,product_epicenter!$B$2:$C$101)</f>
        <v>Grapes 1kg </v>
      </c>
      <c r="G111" s="21">
        <v>150.0</v>
      </c>
      <c r="H111" s="9">
        <v>9.0</v>
      </c>
      <c r="I111" s="21">
        <f t="shared" si="2"/>
        <v>1350</v>
      </c>
    </row>
    <row r="112" ht="15.75" customHeight="1">
      <c r="A112" s="18">
        <f t="shared" si="3"/>
        <v>45801</v>
      </c>
      <c r="B112" s="19">
        <f t="shared" si="1"/>
        <v>45795</v>
      </c>
      <c r="C112" s="22">
        <v>45795.65645833333</v>
      </c>
      <c r="D112" s="5" t="s">
        <v>245</v>
      </c>
      <c r="E112" s="9" t="s">
        <v>81</v>
      </c>
      <c r="F112" s="9" t="str">
        <f t="array" ref="F112:G112">XLOOKUP($E112,product_epicenter!$A$2:$A$101,product_epicenter!$B$2:$C$101)</f>
        <v>Cooking Oil 1 litre </v>
      </c>
      <c r="G112" s="21">
        <v>120.0</v>
      </c>
      <c r="H112" s="9">
        <v>6.0</v>
      </c>
      <c r="I112" s="21">
        <f t="shared" si="2"/>
        <v>720</v>
      </c>
    </row>
    <row r="113" ht="15.75" customHeight="1">
      <c r="A113" s="18">
        <f t="shared" si="3"/>
        <v>45801</v>
      </c>
      <c r="B113" s="19">
        <f t="shared" si="1"/>
        <v>45795</v>
      </c>
      <c r="C113" s="22">
        <v>45795.66548611111</v>
      </c>
      <c r="D113" s="5" t="s">
        <v>246</v>
      </c>
      <c r="E113" s="9" t="s">
        <v>167</v>
      </c>
      <c r="F113" s="9" t="str">
        <f t="array" ref="F113:G113">XLOOKUP($E113,product_epicenter!$A$2:$A$101,product_epicenter!$B$2:$C$101)</f>
        <v>Batteries 1 pack </v>
      </c>
      <c r="G113" s="21">
        <v>250.0</v>
      </c>
      <c r="H113" s="9">
        <v>2.0</v>
      </c>
      <c r="I113" s="21">
        <f t="shared" si="2"/>
        <v>500</v>
      </c>
    </row>
    <row r="114" ht="15.75" customHeight="1">
      <c r="A114" s="18">
        <f t="shared" si="3"/>
        <v>45801</v>
      </c>
      <c r="B114" s="19">
        <f t="shared" si="1"/>
        <v>45795</v>
      </c>
      <c r="C114" s="22">
        <v>45795.66548611111</v>
      </c>
      <c r="D114" s="5" t="s">
        <v>246</v>
      </c>
      <c r="E114" s="9" t="s">
        <v>53</v>
      </c>
      <c r="F114" s="9" t="str">
        <f t="array" ref="F114:G114">XLOOKUP($E114,product_epicenter!$A$2:$A$101,product_epicenter!$B$2:$C$101)</f>
        <v>Ginger 250g </v>
      </c>
      <c r="G114" s="21">
        <v>40.0</v>
      </c>
      <c r="H114" s="9">
        <v>4.0</v>
      </c>
      <c r="I114" s="21">
        <f t="shared" si="2"/>
        <v>160</v>
      </c>
    </row>
    <row r="115" ht="15.75" customHeight="1">
      <c r="A115" s="18">
        <f t="shared" si="3"/>
        <v>45801</v>
      </c>
      <c r="B115" s="19">
        <f t="shared" si="1"/>
        <v>45795</v>
      </c>
      <c r="C115" s="22">
        <v>45795.66548611111</v>
      </c>
      <c r="D115" s="5" t="s">
        <v>246</v>
      </c>
      <c r="E115" s="9" t="s">
        <v>183</v>
      </c>
      <c r="F115" s="9" t="str">
        <f t="array" ref="F115:G115">XLOOKUP($E115,product_epicenter!$A$2:$A$101,product_epicenter!$B$2:$C$101)</f>
        <v>Body Lotion 500ml </v>
      </c>
      <c r="G115" s="21">
        <v>250.0</v>
      </c>
      <c r="H115" s="9">
        <v>9.0</v>
      </c>
      <c r="I115" s="21">
        <f t="shared" si="2"/>
        <v>2250</v>
      </c>
    </row>
    <row r="116" ht="15.75" customHeight="1">
      <c r="A116" s="18">
        <f t="shared" si="3"/>
        <v>45801</v>
      </c>
      <c r="B116" s="19">
        <f t="shared" si="1"/>
        <v>45795</v>
      </c>
      <c r="C116" s="22">
        <v>45795.673125</v>
      </c>
      <c r="D116" s="5" t="s">
        <v>247</v>
      </c>
      <c r="E116" s="9" t="s">
        <v>23</v>
      </c>
      <c r="F116" s="9" t="str">
        <f t="array" ref="F116:G116">XLOOKUP($E116,product_epicenter!$A$2:$A$101,product_epicenter!$B$2:$C$101)</f>
        <v>Milk 1 litre </v>
      </c>
      <c r="G116" s="21">
        <v>60.0</v>
      </c>
      <c r="H116" s="9">
        <v>1.0</v>
      </c>
      <c r="I116" s="21">
        <f t="shared" si="2"/>
        <v>60</v>
      </c>
    </row>
    <row r="117" ht="15.75" customHeight="1">
      <c r="A117" s="18">
        <f t="shared" si="3"/>
        <v>45801</v>
      </c>
      <c r="B117" s="19">
        <f t="shared" si="1"/>
        <v>45795</v>
      </c>
      <c r="C117" s="22">
        <v>45795.673125</v>
      </c>
      <c r="D117" s="5" t="s">
        <v>247</v>
      </c>
      <c r="E117" s="9" t="s">
        <v>43</v>
      </c>
      <c r="F117" s="9" t="str">
        <f t="array" ref="F117:G117">XLOOKUP($E117,product_epicenter!$A$2:$A$101,product_epicenter!$B$2:$C$101)</f>
        <v>Potatoes 1kg </v>
      </c>
      <c r="G117" s="21">
        <v>30.0</v>
      </c>
      <c r="H117" s="9">
        <v>7.0</v>
      </c>
      <c r="I117" s="21">
        <f t="shared" si="2"/>
        <v>210</v>
      </c>
    </row>
    <row r="118" ht="15.75" customHeight="1">
      <c r="A118" s="18">
        <f t="shared" si="3"/>
        <v>45801</v>
      </c>
      <c r="B118" s="19">
        <f t="shared" si="1"/>
        <v>45795</v>
      </c>
      <c r="C118" s="22">
        <v>45795.673125</v>
      </c>
      <c r="D118" s="5" t="s">
        <v>247</v>
      </c>
      <c r="E118" s="9" t="s">
        <v>17</v>
      </c>
      <c r="F118" s="9" t="str">
        <f t="array" ref="F118:G118">XLOOKUP($E118,product_epicenter!$A$2:$A$101,product_epicenter!$B$2:$C$101)</f>
        <v>Dry Fruits Mix 1kg </v>
      </c>
      <c r="G118" s="21">
        <v>850.0</v>
      </c>
      <c r="H118" s="9">
        <v>6.0</v>
      </c>
      <c r="I118" s="21">
        <f t="shared" si="2"/>
        <v>5100</v>
      </c>
    </row>
    <row r="119" ht="15.75" customHeight="1">
      <c r="A119" s="18">
        <f t="shared" si="3"/>
        <v>45801</v>
      </c>
      <c r="B119" s="19">
        <f t="shared" si="1"/>
        <v>45795</v>
      </c>
      <c r="C119" s="22">
        <v>45795.673125</v>
      </c>
      <c r="D119" s="5" t="s">
        <v>247</v>
      </c>
      <c r="E119" s="9" t="s">
        <v>9</v>
      </c>
      <c r="F119" s="9" t="str">
        <f t="array" ref="F119:G119">XLOOKUP($E119,product_epicenter!$A$2:$A$101,product_epicenter!$B$2:$C$101)</f>
        <v>Aata (Wheat Flour) 1kg </v>
      </c>
      <c r="G119" s="21">
        <v>40.0</v>
      </c>
      <c r="H119" s="9">
        <v>6.0</v>
      </c>
      <c r="I119" s="21">
        <f t="shared" si="2"/>
        <v>240</v>
      </c>
    </row>
    <row r="120" ht="15.75" customHeight="1">
      <c r="A120" s="18">
        <f t="shared" si="3"/>
        <v>45801</v>
      </c>
      <c r="B120" s="19">
        <f t="shared" si="1"/>
        <v>45795</v>
      </c>
      <c r="C120" s="22">
        <v>45795.683541666665</v>
      </c>
      <c r="D120" s="5" t="s">
        <v>248</v>
      </c>
      <c r="E120" s="9" t="s">
        <v>33</v>
      </c>
      <c r="F120" s="9" t="str">
        <f t="array" ref="F120:G120">XLOOKUP($E120,product_epicenter!$A$2:$A$101,product_epicenter!$B$2:$C$101)</f>
        <v>Chicken 1kg </v>
      </c>
      <c r="G120" s="21">
        <v>250.0</v>
      </c>
      <c r="H120" s="9">
        <v>9.0</v>
      </c>
      <c r="I120" s="21">
        <f t="shared" si="2"/>
        <v>2250</v>
      </c>
    </row>
    <row r="121" ht="15.75" customHeight="1">
      <c r="A121" s="18">
        <f t="shared" si="3"/>
        <v>45801</v>
      </c>
      <c r="B121" s="19">
        <f t="shared" si="1"/>
        <v>45795</v>
      </c>
      <c r="C121" s="22">
        <v>45795.683541666665</v>
      </c>
      <c r="D121" s="5" t="s">
        <v>248</v>
      </c>
      <c r="E121" s="9" t="s">
        <v>91</v>
      </c>
      <c r="F121" s="9" t="str">
        <f t="array" ref="F121:G121">XLOOKUP($E121,product_epicenter!$A$2:$A$101,product_epicenter!$B$2:$C$101)</f>
        <v>Vinegar 500ml </v>
      </c>
      <c r="G121" s="21">
        <v>90.0</v>
      </c>
      <c r="H121" s="9">
        <v>5.0</v>
      </c>
      <c r="I121" s="21">
        <f t="shared" si="2"/>
        <v>450</v>
      </c>
    </row>
    <row r="122" ht="15.75" customHeight="1">
      <c r="A122" s="18">
        <f t="shared" si="3"/>
        <v>45801</v>
      </c>
      <c r="B122" s="19">
        <f t="shared" si="1"/>
        <v>45795</v>
      </c>
      <c r="C122" s="22">
        <v>45795.683541666665</v>
      </c>
      <c r="D122" s="5" t="s">
        <v>248</v>
      </c>
      <c r="E122" s="9" t="s">
        <v>41</v>
      </c>
      <c r="F122" s="9" t="str">
        <f t="array" ref="F122:G122">XLOOKUP($E122,product_epicenter!$A$2:$A$101,product_epicenter!$B$2:$C$101)</f>
        <v>Oranges 1kg </v>
      </c>
      <c r="G122" s="21">
        <v>100.0</v>
      </c>
      <c r="H122" s="9">
        <v>1.0</v>
      </c>
      <c r="I122" s="21">
        <f t="shared" si="2"/>
        <v>100</v>
      </c>
    </row>
    <row r="123" ht="15.75" customHeight="1">
      <c r="A123" s="18">
        <f t="shared" si="3"/>
        <v>45801</v>
      </c>
      <c r="B123" s="19">
        <f t="shared" si="1"/>
        <v>45795</v>
      </c>
      <c r="C123" s="22">
        <v>45795.69118055556</v>
      </c>
      <c r="D123" s="5" t="s">
        <v>249</v>
      </c>
      <c r="E123" s="9" t="s">
        <v>109</v>
      </c>
      <c r="F123" s="9" t="str">
        <f t="array" ref="F123:G123">XLOOKUP($E123,product_epicenter!$A$2:$A$101,product_epicenter!$B$2:$C$101)</f>
        <v>Cashews 500g </v>
      </c>
      <c r="G123" s="21">
        <v>600.0</v>
      </c>
      <c r="H123" s="9">
        <v>7.0</v>
      </c>
      <c r="I123" s="21">
        <f t="shared" si="2"/>
        <v>4200</v>
      </c>
    </row>
    <row r="124" ht="15.75" customHeight="1">
      <c r="A124" s="18">
        <f t="shared" si="3"/>
        <v>45801</v>
      </c>
      <c r="B124" s="19">
        <f t="shared" si="1"/>
        <v>45795</v>
      </c>
      <c r="C124" s="22">
        <v>45795.69118055556</v>
      </c>
      <c r="D124" s="5" t="s">
        <v>249</v>
      </c>
      <c r="E124" s="9" t="s">
        <v>37</v>
      </c>
      <c r="F124" s="9" t="str">
        <f t="array" ref="F124:G124">XLOOKUP($E124,product_epicenter!$A$2:$A$101,product_epicenter!$B$2:$C$101)</f>
        <v>Apples 1kg </v>
      </c>
      <c r="G124" s="21">
        <v>200.0</v>
      </c>
      <c r="H124" s="9">
        <v>7.0</v>
      </c>
      <c r="I124" s="21">
        <f t="shared" si="2"/>
        <v>1400</v>
      </c>
    </row>
    <row r="125" ht="15.75" customHeight="1">
      <c r="A125" s="18">
        <f t="shared" si="3"/>
        <v>45801</v>
      </c>
      <c r="B125" s="19">
        <f t="shared" si="1"/>
        <v>45795</v>
      </c>
      <c r="C125" s="22">
        <v>45795.69118055556</v>
      </c>
      <c r="D125" s="5" t="s">
        <v>249</v>
      </c>
      <c r="E125" s="9" t="s">
        <v>31</v>
      </c>
      <c r="F125" s="9" t="str">
        <f t="array" ref="F125:G125">XLOOKUP($E125,product_epicenter!$A$2:$A$101,product_epicenter!$B$2:$C$101)</f>
        <v>Eggs 12 pcs </v>
      </c>
      <c r="G125" s="21">
        <v>80.0</v>
      </c>
      <c r="H125" s="9">
        <v>4.0</v>
      </c>
      <c r="I125" s="21">
        <f t="shared" si="2"/>
        <v>320</v>
      </c>
    </row>
    <row r="126" ht="15.75" customHeight="1">
      <c r="A126" s="18">
        <f t="shared" si="3"/>
        <v>45801</v>
      </c>
      <c r="B126" s="19">
        <f t="shared" si="1"/>
        <v>45795</v>
      </c>
      <c r="C126" s="22">
        <v>45795.69118055556</v>
      </c>
      <c r="D126" s="5" t="s">
        <v>249</v>
      </c>
      <c r="E126" s="9" t="s">
        <v>171</v>
      </c>
      <c r="F126" s="9" t="str">
        <f t="array" ref="F126:G126">XLOOKUP($E126,product_epicenter!$A$2:$A$101,product_epicenter!$B$2:$C$101)</f>
        <v>Mineral Water 1 litre </v>
      </c>
      <c r="G126" s="21">
        <v>20.0</v>
      </c>
      <c r="H126" s="9">
        <v>5.0</v>
      </c>
      <c r="I126" s="21">
        <f t="shared" si="2"/>
        <v>100</v>
      </c>
    </row>
    <row r="127" ht="15.75" customHeight="1">
      <c r="A127" s="18">
        <f t="shared" si="3"/>
        <v>45801</v>
      </c>
      <c r="B127" s="19">
        <f t="shared" si="1"/>
        <v>45795</v>
      </c>
      <c r="C127" s="22">
        <v>45795.69118055556</v>
      </c>
      <c r="D127" s="5" t="s">
        <v>249</v>
      </c>
      <c r="E127" s="9" t="s">
        <v>121</v>
      </c>
      <c r="F127" s="9" t="str">
        <f t="array" ref="F127:G127">XLOOKUP($E127,product_epicenter!$A$2:$A$101,product_epicenter!$B$2:$C$101)</f>
        <v>Lemon 1kg </v>
      </c>
      <c r="G127" s="21">
        <v>80.0</v>
      </c>
      <c r="H127" s="9">
        <v>3.0</v>
      </c>
      <c r="I127" s="21">
        <f t="shared" si="2"/>
        <v>240</v>
      </c>
    </row>
    <row r="128" ht="15.75" customHeight="1">
      <c r="A128" s="18">
        <f t="shared" si="3"/>
        <v>45801</v>
      </c>
      <c r="B128" s="19">
        <f t="shared" si="1"/>
        <v>45795</v>
      </c>
      <c r="C128" s="22">
        <v>45795.700902777775</v>
      </c>
      <c r="D128" s="5" t="s">
        <v>250</v>
      </c>
      <c r="E128" s="9" t="s">
        <v>143</v>
      </c>
      <c r="F128" s="9" t="str">
        <f t="array" ref="F128:G128">XLOOKUP($E128,product_epicenter!$A$2:$A$101,product_epicenter!$B$2:$C$101)</f>
        <v>Brown Rice 1kg </v>
      </c>
      <c r="G128" s="21">
        <v>100.0</v>
      </c>
      <c r="H128" s="9">
        <v>3.0</v>
      </c>
      <c r="I128" s="21">
        <f t="shared" si="2"/>
        <v>300</v>
      </c>
    </row>
    <row r="129" ht="15.75" customHeight="1">
      <c r="A129" s="18">
        <f t="shared" si="3"/>
        <v>45801</v>
      </c>
      <c r="B129" s="19">
        <f t="shared" si="1"/>
        <v>45795</v>
      </c>
      <c r="C129" s="22">
        <v>45795.700902777775</v>
      </c>
      <c r="D129" s="5" t="s">
        <v>250</v>
      </c>
      <c r="E129" s="9" t="s">
        <v>95</v>
      </c>
      <c r="F129" s="9" t="str">
        <f t="array" ref="F129:G129">XLOOKUP($E129,product_epicenter!$A$2:$A$101,product_epicenter!$B$2:$C$101)</f>
        <v>Pasta 500g </v>
      </c>
      <c r="G129" s="21">
        <v>150.0</v>
      </c>
      <c r="H129" s="9">
        <v>9.0</v>
      </c>
      <c r="I129" s="21">
        <f t="shared" si="2"/>
        <v>1350</v>
      </c>
    </row>
    <row r="130" ht="15.75" customHeight="1">
      <c r="A130" s="18">
        <f t="shared" si="3"/>
        <v>45801</v>
      </c>
      <c r="B130" s="19">
        <f t="shared" si="1"/>
        <v>45795</v>
      </c>
      <c r="C130" s="22">
        <v>45795.700902777775</v>
      </c>
      <c r="D130" s="5" t="s">
        <v>250</v>
      </c>
      <c r="E130" s="9" t="s">
        <v>3</v>
      </c>
      <c r="F130" s="9" t="str">
        <f t="array" ref="F130:G130">XLOOKUP($E130,product_epicenter!$A$2:$A$101,product_epicenter!$B$2:$C$101)</f>
        <v>Rice 1kg </v>
      </c>
      <c r="G130" s="21">
        <v>60.0</v>
      </c>
      <c r="H130" s="9">
        <v>6.0</v>
      </c>
      <c r="I130" s="21">
        <f t="shared" si="2"/>
        <v>360</v>
      </c>
    </row>
    <row r="131" ht="15.75" customHeight="1">
      <c r="A131" s="18">
        <f t="shared" si="3"/>
        <v>45801</v>
      </c>
      <c r="B131" s="19">
        <f t="shared" si="1"/>
        <v>45795</v>
      </c>
      <c r="C131" s="22">
        <v>45795.700902777775</v>
      </c>
      <c r="D131" s="5" t="s">
        <v>250</v>
      </c>
      <c r="E131" s="9" t="s">
        <v>177</v>
      </c>
      <c r="F131" s="9" t="str">
        <f t="array" ref="F131:G131">XLOOKUP($E131,product_epicenter!$A$2:$A$101,product_epicenter!$B$2:$C$101)</f>
        <v>Juice 1 litre </v>
      </c>
      <c r="G131" s="21">
        <v>150.0</v>
      </c>
      <c r="H131" s="9">
        <v>9.0</v>
      </c>
      <c r="I131" s="21">
        <f t="shared" si="2"/>
        <v>1350</v>
      </c>
    </row>
    <row r="132" ht="15.75" customHeight="1">
      <c r="A132" s="18">
        <f t="shared" si="3"/>
        <v>45801</v>
      </c>
      <c r="B132" s="19">
        <f t="shared" si="1"/>
        <v>45795</v>
      </c>
      <c r="C132" s="22">
        <v>45795.700902777775</v>
      </c>
      <c r="D132" s="5" t="s">
        <v>250</v>
      </c>
      <c r="E132" s="9" t="s">
        <v>169</v>
      </c>
      <c r="F132" s="9" t="str">
        <f t="array" ref="F132:G132">XLOOKUP($E132,product_epicenter!$A$2:$A$101,product_epicenter!$B$2:$C$101)</f>
        <v>Energy Drink 1 can </v>
      </c>
      <c r="G132" s="21">
        <v>100.0</v>
      </c>
      <c r="H132" s="9">
        <v>6.0</v>
      </c>
      <c r="I132" s="21">
        <f t="shared" si="2"/>
        <v>600</v>
      </c>
    </row>
    <row r="133" ht="15.75" customHeight="1">
      <c r="A133" s="18">
        <f t="shared" si="3"/>
        <v>45801</v>
      </c>
      <c r="B133" s="19">
        <f t="shared" si="1"/>
        <v>45795</v>
      </c>
      <c r="C133" s="22">
        <v>45795.70993055555</v>
      </c>
      <c r="D133" s="5" t="s">
        <v>251</v>
      </c>
      <c r="E133" s="9" t="s">
        <v>193</v>
      </c>
      <c r="F133" s="9" t="str">
        <f t="array" ref="F133:G133">XLOOKUP($E133,product_epicenter!$A$2:$A$101,product_epicenter!$B$2:$C$101)</f>
        <v>Lip Balm 1 tube </v>
      </c>
      <c r="G133" s="21">
        <v>100.0</v>
      </c>
      <c r="H133" s="9">
        <v>3.0</v>
      </c>
      <c r="I133" s="21">
        <f t="shared" si="2"/>
        <v>300</v>
      </c>
    </row>
    <row r="134" ht="15.75" customHeight="1">
      <c r="A134" s="18">
        <f t="shared" si="3"/>
        <v>45801</v>
      </c>
      <c r="B134" s="19">
        <f t="shared" si="1"/>
        <v>45795</v>
      </c>
      <c r="C134" s="22">
        <v>45795.70993055555</v>
      </c>
      <c r="D134" s="5" t="s">
        <v>251</v>
      </c>
      <c r="E134" s="9" t="s">
        <v>161</v>
      </c>
      <c r="F134" s="9" t="str">
        <f t="array" ref="F134:G134">XLOOKUP($E134,product_epicenter!$A$2:$A$101,product_epicenter!$B$2:$C$101)</f>
        <v>Aluminium Foil 1 roll </v>
      </c>
      <c r="G134" s="21">
        <v>120.0</v>
      </c>
      <c r="H134" s="9">
        <v>4.0</v>
      </c>
      <c r="I134" s="21">
        <f t="shared" si="2"/>
        <v>480</v>
      </c>
    </row>
    <row r="135" ht="15.75" customHeight="1">
      <c r="A135" s="18">
        <f t="shared" si="3"/>
        <v>45801</v>
      </c>
      <c r="B135" s="19">
        <f t="shared" si="1"/>
        <v>45795</v>
      </c>
      <c r="C135" s="22">
        <v>45795.70993055555</v>
      </c>
      <c r="D135" s="5" t="s">
        <v>251</v>
      </c>
      <c r="E135" s="9" t="s">
        <v>201</v>
      </c>
      <c r="F135" s="9" t="str">
        <f t="array" ref="F135:G135">XLOOKUP($E135,product_epicenter!$A$2:$A$101,product_epicenter!$B$2:$C$101)</f>
        <v>Cooking Vinegar 500ml </v>
      </c>
      <c r="G135" s="21">
        <v>90.0</v>
      </c>
      <c r="H135" s="9">
        <v>8.0</v>
      </c>
      <c r="I135" s="21">
        <f t="shared" si="2"/>
        <v>720</v>
      </c>
    </row>
    <row r="136" ht="15.75" customHeight="1">
      <c r="A136" s="18">
        <f t="shared" si="3"/>
        <v>45801</v>
      </c>
      <c r="B136" s="19">
        <f t="shared" si="1"/>
        <v>45795</v>
      </c>
      <c r="C136" s="22">
        <v>45795.71895833333</v>
      </c>
      <c r="D136" s="5" t="s">
        <v>252</v>
      </c>
      <c r="E136" s="9" t="s">
        <v>87</v>
      </c>
      <c r="F136" s="9" t="str">
        <f t="array" ref="F136:G136">XLOOKUP($E136,product_epicenter!$A$2:$A$101,product_epicenter!$B$2:$C$101)</f>
        <v>Coriander Powder 100g </v>
      </c>
      <c r="G136" s="21">
        <v>50.0</v>
      </c>
      <c r="H136" s="9">
        <v>8.0</v>
      </c>
      <c r="I136" s="21">
        <f t="shared" si="2"/>
        <v>400</v>
      </c>
    </row>
    <row r="137" ht="15.75" customHeight="1">
      <c r="A137" s="18">
        <f t="shared" si="3"/>
        <v>45801</v>
      </c>
      <c r="B137" s="19">
        <f t="shared" si="1"/>
        <v>45795</v>
      </c>
      <c r="C137" s="22">
        <v>45795.71895833333</v>
      </c>
      <c r="D137" s="5" t="s">
        <v>252</v>
      </c>
      <c r="E137" s="9" t="s">
        <v>49</v>
      </c>
      <c r="F137" s="9" t="str">
        <f t="array" ref="F137:G137">XLOOKUP($E137,product_epicenter!$A$2:$A$101,product_epicenter!$B$2:$C$101)</f>
        <v>Green Chillies 250g </v>
      </c>
      <c r="G137" s="21">
        <v>20.0</v>
      </c>
      <c r="H137" s="9">
        <v>1.0</v>
      </c>
      <c r="I137" s="21">
        <f t="shared" si="2"/>
        <v>20</v>
      </c>
    </row>
    <row r="138" ht="15.75" customHeight="1">
      <c r="A138" s="18">
        <f t="shared" si="3"/>
        <v>45801</v>
      </c>
      <c r="B138" s="19">
        <f t="shared" si="1"/>
        <v>45795</v>
      </c>
      <c r="C138" s="22">
        <v>45795.71895833333</v>
      </c>
      <c r="D138" s="5" t="s">
        <v>252</v>
      </c>
      <c r="E138" s="9" t="s">
        <v>195</v>
      </c>
      <c r="F138" s="9" t="str">
        <f t="array" ref="F138:G138">XLOOKUP($E138,product_epicenter!$A$2:$A$101,product_epicenter!$B$2:$C$101)</f>
        <v>Face Wash 250ml </v>
      </c>
      <c r="G138" s="21">
        <v>200.0</v>
      </c>
      <c r="H138" s="9">
        <v>4.0</v>
      </c>
      <c r="I138" s="21">
        <f t="shared" si="2"/>
        <v>800</v>
      </c>
    </row>
    <row r="139" ht="15.75" customHeight="1">
      <c r="A139" s="18">
        <f t="shared" si="3"/>
        <v>45801</v>
      </c>
      <c r="B139" s="19">
        <f t="shared" si="1"/>
        <v>45795</v>
      </c>
      <c r="C139" s="22">
        <v>45795.728680555556</v>
      </c>
      <c r="D139" s="5" t="s">
        <v>253</v>
      </c>
      <c r="E139" s="9" t="s">
        <v>41</v>
      </c>
      <c r="F139" s="9" t="str">
        <f t="array" ref="F139:G139">XLOOKUP($E139,product_epicenter!$A$2:$A$101,product_epicenter!$B$2:$C$101)</f>
        <v>Oranges 1kg </v>
      </c>
      <c r="G139" s="21">
        <v>100.0</v>
      </c>
      <c r="H139" s="9">
        <v>9.0</v>
      </c>
      <c r="I139" s="21">
        <f t="shared" si="2"/>
        <v>900</v>
      </c>
    </row>
    <row r="140" ht="15.75" customHeight="1">
      <c r="A140" s="18">
        <f t="shared" si="3"/>
        <v>45801</v>
      </c>
      <c r="B140" s="19">
        <f t="shared" si="1"/>
        <v>45795</v>
      </c>
      <c r="C140" s="22">
        <v>45795.728680555556</v>
      </c>
      <c r="D140" s="5" t="s">
        <v>253</v>
      </c>
      <c r="E140" s="9" t="s">
        <v>81</v>
      </c>
      <c r="F140" s="9" t="str">
        <f t="array" ref="F140:G140">XLOOKUP($E140,product_epicenter!$A$2:$A$101,product_epicenter!$B$2:$C$101)</f>
        <v>Cooking Oil 1 litre </v>
      </c>
      <c r="G140" s="21">
        <v>120.0</v>
      </c>
      <c r="H140" s="9">
        <v>7.0</v>
      </c>
      <c r="I140" s="21">
        <f t="shared" si="2"/>
        <v>840</v>
      </c>
    </row>
    <row r="141" ht="15.75" customHeight="1">
      <c r="A141" s="18">
        <f t="shared" si="3"/>
        <v>45801</v>
      </c>
      <c r="B141" s="19">
        <f t="shared" si="1"/>
        <v>45795</v>
      </c>
      <c r="C141" s="22">
        <v>45795.728680555556</v>
      </c>
      <c r="D141" s="5" t="s">
        <v>253</v>
      </c>
      <c r="E141" s="9" t="s">
        <v>103</v>
      </c>
      <c r="F141" s="9" t="str">
        <f t="array" ref="F141:G141">XLOOKUP($E141,product_epicenter!$A$2:$A$101,product_epicenter!$B$2:$C$101)</f>
        <v>Honey 500g </v>
      </c>
      <c r="G141" s="21">
        <v>300.0</v>
      </c>
      <c r="H141" s="9">
        <v>6.0</v>
      </c>
      <c r="I141" s="21">
        <f t="shared" si="2"/>
        <v>1800</v>
      </c>
    </row>
    <row r="142" ht="15.75" customHeight="1">
      <c r="A142" s="18">
        <f t="shared" si="3"/>
        <v>45801</v>
      </c>
      <c r="B142" s="19">
        <f t="shared" si="1"/>
        <v>45795</v>
      </c>
      <c r="C142" s="22">
        <v>45795.737708333334</v>
      </c>
      <c r="D142" s="5" t="s">
        <v>254</v>
      </c>
      <c r="E142" s="9" t="s">
        <v>53</v>
      </c>
      <c r="F142" s="9" t="str">
        <f t="array" ref="F142:G142">XLOOKUP($E142,product_epicenter!$A$2:$A$101,product_epicenter!$B$2:$C$101)</f>
        <v>Ginger 250g </v>
      </c>
      <c r="G142" s="21">
        <v>40.0</v>
      </c>
      <c r="H142" s="9">
        <v>5.0</v>
      </c>
      <c r="I142" s="21">
        <f t="shared" si="2"/>
        <v>200</v>
      </c>
    </row>
    <row r="143" ht="15.75" customHeight="1">
      <c r="A143" s="18">
        <f t="shared" si="3"/>
        <v>45801</v>
      </c>
      <c r="B143" s="19">
        <f t="shared" si="1"/>
        <v>45795</v>
      </c>
      <c r="C143" s="22">
        <v>45795.737708333334</v>
      </c>
      <c r="D143" s="5" t="s">
        <v>254</v>
      </c>
      <c r="E143" s="9" t="s">
        <v>167</v>
      </c>
      <c r="F143" s="9" t="str">
        <f t="array" ref="F143:G143">XLOOKUP($E143,product_epicenter!$A$2:$A$101,product_epicenter!$B$2:$C$101)</f>
        <v>Batteries 1 pack </v>
      </c>
      <c r="G143" s="21">
        <v>250.0</v>
      </c>
      <c r="H143" s="9">
        <v>5.0</v>
      </c>
      <c r="I143" s="21">
        <f t="shared" si="2"/>
        <v>1250</v>
      </c>
    </row>
    <row r="144" ht="15.75" customHeight="1">
      <c r="A144" s="18">
        <f t="shared" si="3"/>
        <v>45801</v>
      </c>
      <c r="B144" s="19">
        <f t="shared" si="1"/>
        <v>45795</v>
      </c>
      <c r="C144" s="22">
        <v>45795.737708333334</v>
      </c>
      <c r="D144" s="5" t="s">
        <v>254</v>
      </c>
      <c r="E144" s="9" t="s">
        <v>43</v>
      </c>
      <c r="F144" s="9" t="str">
        <f t="array" ref="F144:G144">XLOOKUP($E144,product_epicenter!$A$2:$A$101,product_epicenter!$B$2:$C$101)</f>
        <v>Potatoes 1kg </v>
      </c>
      <c r="G144" s="21">
        <v>30.0</v>
      </c>
      <c r="H144" s="9">
        <v>4.0</v>
      </c>
      <c r="I144" s="21">
        <f t="shared" si="2"/>
        <v>120</v>
      </c>
    </row>
    <row r="145" ht="15.75" customHeight="1">
      <c r="A145" s="18">
        <f t="shared" si="3"/>
        <v>45801</v>
      </c>
      <c r="B145" s="19">
        <f t="shared" si="1"/>
        <v>45795</v>
      </c>
      <c r="C145" s="22">
        <v>45795.737708333334</v>
      </c>
      <c r="D145" s="5" t="s">
        <v>254</v>
      </c>
      <c r="E145" s="9" t="s">
        <v>147</v>
      </c>
      <c r="F145" s="9" t="str">
        <f t="array" ref="F145:G145">XLOOKUP($E145,product_epicenter!$A$2:$A$101,product_epicenter!$B$2:$C$101)</f>
        <v>Baking Soda 500g </v>
      </c>
      <c r="G145" s="21">
        <v>50.0</v>
      </c>
      <c r="H145" s="9">
        <v>2.0</v>
      </c>
      <c r="I145" s="21">
        <f t="shared" si="2"/>
        <v>100</v>
      </c>
    </row>
    <row r="146" ht="15.75" customHeight="1">
      <c r="A146" s="18">
        <f t="shared" si="3"/>
        <v>45801</v>
      </c>
      <c r="B146" s="19">
        <f t="shared" si="1"/>
        <v>45795</v>
      </c>
      <c r="C146" s="22">
        <v>45795.737708333334</v>
      </c>
      <c r="D146" s="5" t="s">
        <v>254</v>
      </c>
      <c r="E146" s="9" t="s">
        <v>153</v>
      </c>
      <c r="F146" s="9" t="str">
        <f t="array" ref="F146:G146">XLOOKUP($E146,product_epicenter!$A$2:$A$101,product_epicenter!$B$2:$C$101)</f>
        <v>Bread Crumbs 500g </v>
      </c>
      <c r="G146" s="21">
        <v>90.0</v>
      </c>
      <c r="H146" s="9">
        <v>7.0</v>
      </c>
      <c r="I146" s="21">
        <f t="shared" si="2"/>
        <v>630</v>
      </c>
    </row>
    <row r="147" ht="15.75" customHeight="1">
      <c r="A147" s="18">
        <f t="shared" si="3"/>
        <v>45801</v>
      </c>
      <c r="B147" s="19">
        <f t="shared" si="1"/>
        <v>45795</v>
      </c>
      <c r="C147" s="22">
        <v>45795.74465277778</v>
      </c>
      <c r="D147" s="5" t="s">
        <v>255</v>
      </c>
      <c r="E147" s="9" t="s">
        <v>191</v>
      </c>
      <c r="F147" s="9" t="str">
        <f t="array" ref="F147:G147">XLOOKUP($E147,product_epicenter!$A$2:$A$101,product_epicenter!$B$2:$C$101)</f>
        <v>Nail Polish 1 bottle </v>
      </c>
      <c r="G147" s="21">
        <v>120.0</v>
      </c>
      <c r="H147" s="9">
        <v>8.0</v>
      </c>
      <c r="I147" s="21">
        <f t="shared" si="2"/>
        <v>960</v>
      </c>
    </row>
    <row r="148" ht="15.75" customHeight="1">
      <c r="A148" s="18">
        <f t="shared" si="3"/>
        <v>45801</v>
      </c>
      <c r="B148" s="19">
        <f t="shared" si="1"/>
        <v>45795</v>
      </c>
      <c r="C148" s="22">
        <v>45795.74465277778</v>
      </c>
      <c r="D148" s="5" t="s">
        <v>255</v>
      </c>
      <c r="E148" s="9" t="s">
        <v>165</v>
      </c>
      <c r="F148" s="9" t="str">
        <f t="array" ref="F148:G148">XLOOKUP($E148,product_epicenter!$A$2:$A$101,product_epicenter!$B$2:$C$101)</f>
        <v>Candles 1 pack </v>
      </c>
      <c r="G148" s="21">
        <v>80.0</v>
      </c>
      <c r="H148" s="9">
        <v>7.0</v>
      </c>
      <c r="I148" s="21">
        <f t="shared" si="2"/>
        <v>560</v>
      </c>
    </row>
    <row r="149" ht="15.75" customHeight="1">
      <c r="A149" s="18">
        <f t="shared" si="3"/>
        <v>45801</v>
      </c>
      <c r="B149" s="19">
        <f t="shared" si="1"/>
        <v>45795</v>
      </c>
      <c r="C149" s="22">
        <v>45795.74465277778</v>
      </c>
      <c r="D149" s="5" t="s">
        <v>255</v>
      </c>
      <c r="E149" s="9" t="s">
        <v>127</v>
      </c>
      <c r="F149" s="9" t="str">
        <f t="array" ref="F149:G149">XLOOKUP($E149,product_epicenter!$A$2:$A$101,product_epicenter!$B$2:$C$101)</f>
        <v>Pomegranate 1kg </v>
      </c>
      <c r="G149" s="21">
        <v>200.0</v>
      </c>
      <c r="H149" s="9">
        <v>6.0</v>
      </c>
      <c r="I149" s="21">
        <f t="shared" si="2"/>
        <v>1200</v>
      </c>
    </row>
    <row r="150" ht="15.75" customHeight="1">
      <c r="A150" s="18">
        <f t="shared" si="3"/>
        <v>45801</v>
      </c>
      <c r="B150" s="19">
        <f t="shared" si="1"/>
        <v>45795</v>
      </c>
      <c r="C150" s="22">
        <v>45795.74465277778</v>
      </c>
      <c r="D150" s="5" t="s">
        <v>255</v>
      </c>
      <c r="E150" s="9" t="s">
        <v>183</v>
      </c>
      <c r="F150" s="9" t="str">
        <f t="array" ref="F150:G150">XLOOKUP($E150,product_epicenter!$A$2:$A$101,product_epicenter!$B$2:$C$101)</f>
        <v>Body Lotion 500ml </v>
      </c>
      <c r="G150" s="21">
        <v>250.0</v>
      </c>
      <c r="H150" s="9">
        <v>9.0</v>
      </c>
      <c r="I150" s="21">
        <f t="shared" si="2"/>
        <v>2250</v>
      </c>
    </row>
    <row r="151" ht="15.75" customHeight="1">
      <c r="A151" s="18">
        <f t="shared" si="3"/>
        <v>45801</v>
      </c>
      <c r="B151" s="19">
        <f t="shared" si="1"/>
        <v>45795</v>
      </c>
      <c r="C151" s="22">
        <v>45795.74465277778</v>
      </c>
      <c r="D151" s="5" t="s">
        <v>255</v>
      </c>
      <c r="E151" s="9" t="s">
        <v>129</v>
      </c>
      <c r="F151" s="9" t="str">
        <f t="array" ref="F151:G151">XLOOKUP($E151,product_epicenter!$A$2:$A$101,product_epicenter!$B$2:$C$101)</f>
        <v>Coconut 1 piece </v>
      </c>
      <c r="G151" s="21">
        <v>40.0</v>
      </c>
      <c r="H151" s="9">
        <v>2.0</v>
      </c>
      <c r="I151" s="21">
        <f t="shared" si="2"/>
        <v>80</v>
      </c>
    </row>
    <row r="152" ht="15.75" customHeight="1">
      <c r="A152" s="18">
        <f t="shared" si="3"/>
        <v>45801</v>
      </c>
      <c r="B152" s="19">
        <f t="shared" si="1"/>
        <v>45796</v>
      </c>
      <c r="C152" s="23" t="s">
        <v>256</v>
      </c>
      <c r="D152" s="5" t="s">
        <v>257</v>
      </c>
      <c r="E152" s="9" t="s">
        <v>175</v>
      </c>
      <c r="F152" s="9" t="str">
        <f t="array" ref="F152:G152">XLOOKUP($E152,product_epicenter!$A$2:$A$101,product_epicenter!$B$2:$C$101)</f>
        <v>Ice Tea 1 litre </v>
      </c>
      <c r="G152" s="21">
        <v>120.0</v>
      </c>
      <c r="H152" s="9">
        <v>9.0</v>
      </c>
      <c r="I152" s="21">
        <f t="shared" si="2"/>
        <v>1080</v>
      </c>
    </row>
    <row r="153" ht="15.75" customHeight="1">
      <c r="A153" s="18">
        <f t="shared" si="3"/>
        <v>45801</v>
      </c>
      <c r="B153" s="19">
        <f t="shared" si="1"/>
        <v>45796</v>
      </c>
      <c r="C153" s="23" t="s">
        <v>256</v>
      </c>
      <c r="D153" s="5" t="s">
        <v>257</v>
      </c>
      <c r="E153" s="9" t="s">
        <v>21</v>
      </c>
      <c r="F153" s="9" t="str">
        <f t="array" ref="F153:G153">XLOOKUP($E153,product_epicenter!$A$2:$A$101,product_epicenter!$B$2:$C$101)</f>
        <v>Salt 1kg </v>
      </c>
      <c r="G153" s="21">
        <v>20.0</v>
      </c>
      <c r="H153" s="9">
        <v>1.0</v>
      </c>
      <c r="I153" s="21">
        <f t="shared" si="2"/>
        <v>20</v>
      </c>
    </row>
    <row r="154" ht="15.75" customHeight="1">
      <c r="A154" s="18">
        <f t="shared" si="3"/>
        <v>45801</v>
      </c>
      <c r="B154" s="19">
        <f t="shared" si="1"/>
        <v>45796</v>
      </c>
      <c r="C154" s="23" t="s">
        <v>256</v>
      </c>
      <c r="D154" s="5" t="s">
        <v>257</v>
      </c>
      <c r="E154" s="9" t="s">
        <v>163</v>
      </c>
      <c r="F154" s="9" t="str">
        <f t="array" ref="F154:G154">XLOOKUP($E154,product_epicenter!$A$2:$A$101,product_epicenter!$B$2:$C$101)</f>
        <v>Matchsticks 1 pack </v>
      </c>
      <c r="G154" s="21">
        <v>20.0</v>
      </c>
      <c r="H154" s="9">
        <v>5.0</v>
      </c>
      <c r="I154" s="21">
        <f t="shared" si="2"/>
        <v>100</v>
      </c>
    </row>
    <row r="155" ht="15.75" customHeight="1">
      <c r="A155" s="18">
        <f t="shared" si="3"/>
        <v>45801</v>
      </c>
      <c r="B155" s="19">
        <f t="shared" si="1"/>
        <v>45796</v>
      </c>
      <c r="C155" s="23" t="s">
        <v>258</v>
      </c>
      <c r="D155" s="5" t="s">
        <v>259</v>
      </c>
      <c r="E155" s="9" t="s">
        <v>189</v>
      </c>
      <c r="F155" s="9" t="str">
        <f t="array" ref="F155:G155">XLOOKUP($E155,product_epicenter!$A$2:$A$101,product_epicenter!$B$2:$C$101)</f>
        <v>Razor 1 pack </v>
      </c>
      <c r="G155" s="21">
        <v>200.0</v>
      </c>
      <c r="H155" s="9">
        <v>3.0</v>
      </c>
      <c r="I155" s="21">
        <f t="shared" si="2"/>
        <v>600</v>
      </c>
    </row>
    <row r="156" ht="15.75" customHeight="1">
      <c r="A156" s="18">
        <f t="shared" si="3"/>
        <v>45801</v>
      </c>
      <c r="B156" s="19">
        <f t="shared" si="1"/>
        <v>45796</v>
      </c>
      <c r="C156" s="23" t="s">
        <v>258</v>
      </c>
      <c r="D156" s="5" t="s">
        <v>259</v>
      </c>
      <c r="E156" s="9" t="s">
        <v>47</v>
      </c>
      <c r="F156" s="9" t="str">
        <f t="array" ref="F156:G156">XLOOKUP($E156,product_epicenter!$A$2:$A$101,product_epicenter!$B$2:$C$101)</f>
        <v>Tomatoes 1kg </v>
      </c>
      <c r="G156" s="21">
        <v>50.0</v>
      </c>
      <c r="H156" s="9">
        <v>4.0</v>
      </c>
      <c r="I156" s="21">
        <f t="shared" si="2"/>
        <v>200</v>
      </c>
    </row>
    <row r="157" ht="15.75" customHeight="1">
      <c r="A157" s="18">
        <f t="shared" si="3"/>
        <v>45801</v>
      </c>
      <c r="B157" s="19">
        <f t="shared" si="1"/>
        <v>45796</v>
      </c>
      <c r="C157" s="23" t="s">
        <v>258</v>
      </c>
      <c r="D157" s="5" t="s">
        <v>259</v>
      </c>
      <c r="E157" s="9" t="s">
        <v>33</v>
      </c>
      <c r="F157" s="9" t="str">
        <f t="array" ref="F157:G157">XLOOKUP($E157,product_epicenter!$A$2:$A$101,product_epicenter!$B$2:$C$101)</f>
        <v>Chicken 1kg </v>
      </c>
      <c r="G157" s="21">
        <v>250.0</v>
      </c>
      <c r="H157" s="9">
        <v>2.0</v>
      </c>
      <c r="I157" s="21">
        <f t="shared" si="2"/>
        <v>500</v>
      </c>
    </row>
    <row r="158" ht="15.75" customHeight="1">
      <c r="A158" s="18">
        <f t="shared" si="3"/>
        <v>45801</v>
      </c>
      <c r="B158" s="19">
        <f t="shared" si="1"/>
        <v>45796</v>
      </c>
      <c r="C158" s="23" t="s">
        <v>258</v>
      </c>
      <c r="D158" s="5" t="s">
        <v>259</v>
      </c>
      <c r="E158" s="9" t="s">
        <v>81</v>
      </c>
      <c r="F158" s="9" t="str">
        <f t="array" ref="F158:G158">XLOOKUP($E158,product_epicenter!$A$2:$A$101,product_epicenter!$B$2:$C$101)</f>
        <v>Cooking Oil 1 litre </v>
      </c>
      <c r="G158" s="21">
        <v>120.0</v>
      </c>
      <c r="H158" s="9">
        <v>5.0</v>
      </c>
      <c r="I158" s="21">
        <f t="shared" si="2"/>
        <v>600</v>
      </c>
    </row>
    <row r="159" ht="15.75" customHeight="1">
      <c r="A159" s="18">
        <f t="shared" si="3"/>
        <v>45801</v>
      </c>
      <c r="B159" s="19">
        <f t="shared" si="1"/>
        <v>45796</v>
      </c>
      <c r="C159" s="23" t="s">
        <v>258</v>
      </c>
      <c r="D159" s="5" t="s">
        <v>259</v>
      </c>
      <c r="E159" s="9" t="s">
        <v>193</v>
      </c>
      <c r="F159" s="9" t="str">
        <f t="array" ref="F159:G159">XLOOKUP($E159,product_epicenter!$A$2:$A$101,product_epicenter!$B$2:$C$101)</f>
        <v>Lip Balm 1 tube </v>
      </c>
      <c r="G159" s="21">
        <v>100.0</v>
      </c>
      <c r="H159" s="9">
        <v>5.0</v>
      </c>
      <c r="I159" s="21">
        <f t="shared" si="2"/>
        <v>500</v>
      </c>
    </row>
    <row r="160" ht="15.75" customHeight="1">
      <c r="A160" s="18">
        <f t="shared" si="3"/>
        <v>45801</v>
      </c>
      <c r="B160" s="19">
        <f t="shared" si="1"/>
        <v>45796</v>
      </c>
      <c r="C160" s="23" t="s">
        <v>260</v>
      </c>
      <c r="D160" s="5" t="s">
        <v>261</v>
      </c>
      <c r="E160" s="9" t="s">
        <v>125</v>
      </c>
      <c r="F160" s="9" t="str">
        <f t="array" ref="F160:G160">XLOOKUP($E160,product_epicenter!$A$2:$A$101,product_epicenter!$B$2:$C$101)</f>
        <v>Mangoes 1kg </v>
      </c>
      <c r="G160" s="21">
        <v>250.0</v>
      </c>
      <c r="H160" s="9">
        <v>6.0</v>
      </c>
      <c r="I160" s="21">
        <f t="shared" si="2"/>
        <v>1500</v>
      </c>
    </row>
    <row r="161" ht="15.75" customHeight="1">
      <c r="A161" s="18">
        <f t="shared" si="3"/>
        <v>45801</v>
      </c>
      <c r="B161" s="19">
        <f t="shared" si="1"/>
        <v>45796</v>
      </c>
      <c r="C161" s="23" t="s">
        <v>260</v>
      </c>
      <c r="D161" s="5" t="s">
        <v>261</v>
      </c>
      <c r="E161" s="9" t="s">
        <v>7</v>
      </c>
      <c r="F161" s="9" t="str">
        <f t="array" ref="F161:G161">XLOOKUP($E161,product_epicenter!$A$2:$A$101,product_epicenter!$B$2:$C$101)</f>
        <v>Sugar 1kg </v>
      </c>
      <c r="G161" s="21">
        <v>45.0</v>
      </c>
      <c r="H161" s="9">
        <v>5.0</v>
      </c>
      <c r="I161" s="21">
        <f t="shared" si="2"/>
        <v>225</v>
      </c>
    </row>
    <row r="162" ht="15.75" customHeight="1">
      <c r="A162" s="18">
        <f t="shared" si="3"/>
        <v>45801</v>
      </c>
      <c r="B162" s="19">
        <f t="shared" si="1"/>
        <v>45796</v>
      </c>
      <c r="C162" s="23" t="s">
        <v>262</v>
      </c>
      <c r="D162" s="5" t="s">
        <v>263</v>
      </c>
      <c r="E162" s="9" t="s">
        <v>91</v>
      </c>
      <c r="F162" s="9" t="str">
        <f t="array" ref="F162:G162">XLOOKUP($E162,product_epicenter!$A$2:$A$101,product_epicenter!$B$2:$C$101)</f>
        <v>Vinegar 500ml </v>
      </c>
      <c r="G162" s="21">
        <v>90.0</v>
      </c>
      <c r="H162" s="9">
        <v>7.0</v>
      </c>
      <c r="I162" s="21">
        <f t="shared" si="2"/>
        <v>630</v>
      </c>
    </row>
    <row r="163" ht="15.75" customHeight="1">
      <c r="A163" s="18">
        <f t="shared" si="3"/>
        <v>45801</v>
      </c>
      <c r="B163" s="19">
        <f t="shared" si="1"/>
        <v>45796</v>
      </c>
      <c r="C163" s="23" t="s">
        <v>262</v>
      </c>
      <c r="D163" s="5" t="s">
        <v>263</v>
      </c>
      <c r="E163" s="9" t="s">
        <v>161</v>
      </c>
      <c r="F163" s="9" t="str">
        <f t="array" ref="F163:G163">XLOOKUP($E163,product_epicenter!$A$2:$A$101,product_epicenter!$B$2:$C$101)</f>
        <v>Aluminium Foil 1 roll </v>
      </c>
      <c r="G163" s="21">
        <v>120.0</v>
      </c>
      <c r="H163" s="9">
        <v>3.0</v>
      </c>
      <c r="I163" s="21">
        <f t="shared" si="2"/>
        <v>360</v>
      </c>
    </row>
    <row r="164" ht="15.75" customHeight="1">
      <c r="A164" s="18">
        <f t="shared" si="3"/>
        <v>45801</v>
      </c>
      <c r="B164" s="19">
        <f t="shared" si="1"/>
        <v>45796</v>
      </c>
      <c r="C164" s="23" t="s">
        <v>262</v>
      </c>
      <c r="D164" s="5" t="s">
        <v>263</v>
      </c>
      <c r="E164" s="9" t="s">
        <v>197</v>
      </c>
      <c r="F164" s="9" t="str">
        <f t="array" ref="F164:G164">XLOOKUP($E164,product_epicenter!$A$2:$A$101,product_epicenter!$B$2:$C$101)</f>
        <v>Hand Sanitizer 500ml </v>
      </c>
      <c r="G164" s="21">
        <v>200.0</v>
      </c>
      <c r="H164" s="9">
        <v>1.0</v>
      </c>
      <c r="I164" s="21">
        <f t="shared" si="2"/>
        <v>200</v>
      </c>
    </row>
    <row r="165" ht="15.75" customHeight="1">
      <c r="A165" s="18">
        <f t="shared" si="3"/>
        <v>45801</v>
      </c>
      <c r="B165" s="19">
        <f t="shared" si="1"/>
        <v>45796</v>
      </c>
      <c r="C165" s="23" t="s">
        <v>262</v>
      </c>
      <c r="D165" s="5" t="s">
        <v>263</v>
      </c>
      <c r="E165" s="9" t="s">
        <v>153</v>
      </c>
      <c r="F165" s="9" t="str">
        <f t="array" ref="F165:G165">XLOOKUP($E165,product_epicenter!$A$2:$A$101,product_epicenter!$B$2:$C$101)</f>
        <v>Bread Crumbs 500g </v>
      </c>
      <c r="G165" s="21">
        <v>90.0</v>
      </c>
      <c r="H165" s="9">
        <v>8.0</v>
      </c>
      <c r="I165" s="21">
        <f t="shared" si="2"/>
        <v>720</v>
      </c>
    </row>
    <row r="166" ht="15.75" customHeight="1">
      <c r="A166" s="18">
        <f t="shared" si="3"/>
        <v>45801</v>
      </c>
      <c r="B166" s="19">
        <f t="shared" si="1"/>
        <v>45796</v>
      </c>
      <c r="C166" s="23" t="s">
        <v>262</v>
      </c>
      <c r="D166" s="5" t="s">
        <v>263</v>
      </c>
      <c r="E166" s="9" t="s">
        <v>87</v>
      </c>
      <c r="F166" s="9" t="str">
        <f t="array" ref="F166:G166">XLOOKUP($E166,product_epicenter!$A$2:$A$101,product_epicenter!$B$2:$C$101)</f>
        <v>Coriander Powder 100g </v>
      </c>
      <c r="G166" s="21">
        <v>50.0</v>
      </c>
      <c r="H166" s="9">
        <v>8.0</v>
      </c>
      <c r="I166" s="21">
        <f t="shared" si="2"/>
        <v>400</v>
      </c>
    </row>
    <row r="167" ht="15.75" customHeight="1">
      <c r="A167" s="18">
        <f t="shared" si="3"/>
        <v>45801</v>
      </c>
      <c r="B167" s="19">
        <f t="shared" si="1"/>
        <v>45796</v>
      </c>
      <c r="C167" s="23" t="s">
        <v>264</v>
      </c>
      <c r="D167" s="5" t="s">
        <v>265</v>
      </c>
      <c r="E167" s="9" t="s">
        <v>171</v>
      </c>
      <c r="F167" s="9" t="str">
        <f t="array" ref="F167:G167">XLOOKUP($E167,product_epicenter!$A$2:$A$101,product_epicenter!$B$2:$C$101)</f>
        <v>Mineral Water 1 litre </v>
      </c>
      <c r="G167" s="21">
        <v>20.0</v>
      </c>
      <c r="H167" s="9">
        <v>9.0</v>
      </c>
      <c r="I167" s="21">
        <f t="shared" si="2"/>
        <v>180</v>
      </c>
    </row>
    <row r="168" ht="15.75" customHeight="1">
      <c r="A168" s="18">
        <f t="shared" si="3"/>
        <v>45801</v>
      </c>
      <c r="B168" s="19">
        <f t="shared" si="1"/>
        <v>45796</v>
      </c>
      <c r="C168" s="23" t="s">
        <v>264</v>
      </c>
      <c r="D168" s="5" t="s">
        <v>265</v>
      </c>
      <c r="E168" s="9" t="s">
        <v>149</v>
      </c>
      <c r="F168" s="9" t="str">
        <f t="array" ref="F168:G168">XLOOKUP($E168,product_epicenter!$A$2:$A$101,product_epicenter!$B$2:$C$101)</f>
        <v>Baking Powder 250g </v>
      </c>
      <c r="G168" s="21">
        <v>80.0</v>
      </c>
      <c r="H168" s="9">
        <v>6.0</v>
      </c>
      <c r="I168" s="21">
        <f t="shared" si="2"/>
        <v>480</v>
      </c>
    </row>
    <row r="169" ht="15.75" customHeight="1">
      <c r="A169" s="18">
        <f t="shared" si="3"/>
        <v>45801</v>
      </c>
      <c r="B169" s="19">
        <f t="shared" si="1"/>
        <v>45796</v>
      </c>
      <c r="C169" s="23" t="s">
        <v>264</v>
      </c>
      <c r="D169" s="5" t="s">
        <v>265</v>
      </c>
      <c r="E169" s="9" t="s">
        <v>113</v>
      </c>
      <c r="F169" s="9" t="str">
        <f t="array" ref="F169:G169">XLOOKUP($E169,product_epicenter!$A$2:$A$101,product_epicenter!$B$2:$C$101)</f>
        <v>Walnuts 500g </v>
      </c>
      <c r="G169" s="21">
        <v>700.0</v>
      </c>
      <c r="H169" s="9">
        <v>2.0</v>
      </c>
      <c r="I169" s="21">
        <f t="shared" si="2"/>
        <v>1400</v>
      </c>
    </row>
    <row r="170" ht="15.75" customHeight="1">
      <c r="A170" s="18">
        <f t="shared" si="3"/>
        <v>45801</v>
      </c>
      <c r="B170" s="19">
        <f t="shared" si="1"/>
        <v>45796</v>
      </c>
      <c r="C170" s="23" t="s">
        <v>264</v>
      </c>
      <c r="D170" s="5" t="s">
        <v>265</v>
      </c>
      <c r="E170" s="9" t="s">
        <v>193</v>
      </c>
      <c r="F170" s="9" t="str">
        <f t="array" ref="F170:G170">XLOOKUP($E170,product_epicenter!$A$2:$A$101,product_epicenter!$B$2:$C$101)</f>
        <v>Lip Balm 1 tube </v>
      </c>
      <c r="G170" s="21">
        <v>100.0</v>
      </c>
      <c r="H170" s="9">
        <v>9.0</v>
      </c>
      <c r="I170" s="21">
        <f t="shared" si="2"/>
        <v>900</v>
      </c>
    </row>
    <row r="171" ht="15.75" customHeight="1">
      <c r="A171" s="18">
        <f t="shared" si="3"/>
        <v>45801</v>
      </c>
      <c r="B171" s="19">
        <f t="shared" si="1"/>
        <v>45796</v>
      </c>
      <c r="C171" s="23" t="s">
        <v>264</v>
      </c>
      <c r="D171" s="5" t="s">
        <v>265</v>
      </c>
      <c r="E171" s="9" t="s">
        <v>151</v>
      </c>
      <c r="F171" s="9" t="str">
        <f t="array" ref="F171:G171">XLOOKUP($E171,product_epicenter!$A$2:$A$101,product_epicenter!$B$2:$C$101)</f>
        <v>Cake Mix 1 box </v>
      </c>
      <c r="G171" s="21">
        <v>200.0</v>
      </c>
      <c r="H171" s="9">
        <v>5.0</v>
      </c>
      <c r="I171" s="21">
        <f t="shared" si="2"/>
        <v>1000</v>
      </c>
    </row>
    <row r="172" ht="15.75" customHeight="1">
      <c r="A172" s="18">
        <f t="shared" si="3"/>
        <v>45801</v>
      </c>
      <c r="B172" s="19">
        <f t="shared" si="1"/>
        <v>45796</v>
      </c>
      <c r="C172" s="23" t="s">
        <v>264</v>
      </c>
      <c r="D172" s="5" t="s">
        <v>265</v>
      </c>
      <c r="E172" s="9" t="s">
        <v>159</v>
      </c>
      <c r="F172" s="9" t="str">
        <f t="array" ref="F172:G172">XLOOKUP($E172,product_epicenter!$A$2:$A$101,product_epicenter!$B$2:$C$101)</f>
        <v>Plastic Wrap 1 roll </v>
      </c>
      <c r="G172" s="21">
        <v>150.0</v>
      </c>
      <c r="H172" s="9">
        <v>7.0</v>
      </c>
      <c r="I172" s="21">
        <f t="shared" si="2"/>
        <v>1050</v>
      </c>
    </row>
    <row r="173" ht="15.75" customHeight="1">
      <c r="A173" s="18">
        <f t="shared" si="3"/>
        <v>45801</v>
      </c>
      <c r="B173" s="19">
        <f t="shared" si="1"/>
        <v>45796</v>
      </c>
      <c r="C173" s="23" t="s">
        <v>266</v>
      </c>
      <c r="D173" s="5" t="s">
        <v>267</v>
      </c>
      <c r="E173" s="9" t="s">
        <v>85</v>
      </c>
      <c r="F173" s="9" t="str">
        <f t="array" ref="F173:G173">XLOOKUP($E173,product_epicenter!$A$2:$A$101,product_epicenter!$B$2:$C$101)</f>
        <v>Cumin Seeds 100g </v>
      </c>
      <c r="G173" s="21">
        <v>40.0</v>
      </c>
      <c r="H173" s="9">
        <v>2.0</v>
      </c>
      <c r="I173" s="21">
        <f t="shared" si="2"/>
        <v>80</v>
      </c>
    </row>
    <row r="174" ht="15.75" customHeight="1">
      <c r="A174" s="18">
        <f t="shared" si="3"/>
        <v>45801</v>
      </c>
      <c r="B174" s="19">
        <f t="shared" si="1"/>
        <v>45796</v>
      </c>
      <c r="C174" s="23" t="s">
        <v>266</v>
      </c>
      <c r="D174" s="5" t="s">
        <v>267</v>
      </c>
      <c r="E174" s="9" t="s">
        <v>111</v>
      </c>
      <c r="F174" s="9" t="str">
        <f t="array" ref="F174:G174">XLOOKUP($E174,product_epicenter!$A$2:$A$101,product_epicenter!$B$2:$C$101)</f>
        <v>Almonds 500g </v>
      </c>
      <c r="G174" s="21">
        <v>500.0</v>
      </c>
      <c r="H174" s="9">
        <v>6.0</v>
      </c>
      <c r="I174" s="21">
        <f t="shared" si="2"/>
        <v>3000</v>
      </c>
    </row>
    <row r="175" ht="15.75" customHeight="1">
      <c r="A175" s="18">
        <f t="shared" si="3"/>
        <v>45801</v>
      </c>
      <c r="B175" s="19">
        <f t="shared" si="1"/>
        <v>45796</v>
      </c>
      <c r="C175" s="23" t="s">
        <v>266</v>
      </c>
      <c r="D175" s="5" t="s">
        <v>267</v>
      </c>
      <c r="E175" s="9" t="s">
        <v>51</v>
      </c>
      <c r="F175" s="9" t="str">
        <f t="array" ref="F175:G175">XLOOKUP($E175,product_epicenter!$A$2:$A$101,product_epicenter!$B$2:$C$101)</f>
        <v>Garlic 250g </v>
      </c>
      <c r="G175" s="21">
        <v>50.0</v>
      </c>
      <c r="H175" s="9">
        <v>7.0</v>
      </c>
      <c r="I175" s="21">
        <f t="shared" si="2"/>
        <v>350</v>
      </c>
    </row>
    <row r="176" ht="15.75" customHeight="1">
      <c r="A176" s="18">
        <f t="shared" si="3"/>
        <v>45801</v>
      </c>
      <c r="B176" s="19">
        <f t="shared" si="1"/>
        <v>45796</v>
      </c>
      <c r="C176" s="23" t="s">
        <v>266</v>
      </c>
      <c r="D176" s="5" t="s">
        <v>267</v>
      </c>
      <c r="E176" s="9" t="s">
        <v>33</v>
      </c>
      <c r="F176" s="9" t="str">
        <f t="array" ref="F176:G176">XLOOKUP($E176,product_epicenter!$A$2:$A$101,product_epicenter!$B$2:$C$101)</f>
        <v>Chicken 1kg </v>
      </c>
      <c r="G176" s="21">
        <v>250.0</v>
      </c>
      <c r="H176" s="9">
        <v>4.0</v>
      </c>
      <c r="I176" s="21">
        <f t="shared" si="2"/>
        <v>1000</v>
      </c>
    </row>
    <row r="177" ht="15.75" customHeight="1">
      <c r="A177" s="18">
        <f t="shared" si="3"/>
        <v>45801</v>
      </c>
      <c r="B177" s="19">
        <f t="shared" si="1"/>
        <v>45796</v>
      </c>
      <c r="C177" s="23" t="s">
        <v>268</v>
      </c>
      <c r="D177" s="5" t="s">
        <v>269</v>
      </c>
      <c r="E177" s="9" t="s">
        <v>7</v>
      </c>
      <c r="F177" s="9" t="str">
        <f t="array" ref="F177:G177">XLOOKUP($E177,product_epicenter!$A$2:$A$101,product_epicenter!$B$2:$C$101)</f>
        <v>Sugar 1kg </v>
      </c>
      <c r="G177" s="21">
        <v>45.0</v>
      </c>
      <c r="H177" s="9">
        <v>1.0</v>
      </c>
      <c r="I177" s="21">
        <f t="shared" si="2"/>
        <v>45</v>
      </c>
    </row>
    <row r="178" ht="15.75" customHeight="1">
      <c r="A178" s="18">
        <f t="shared" si="3"/>
        <v>45801</v>
      </c>
      <c r="B178" s="19">
        <f t="shared" si="1"/>
        <v>45796</v>
      </c>
      <c r="C178" s="23" t="s">
        <v>268</v>
      </c>
      <c r="D178" s="5" t="s">
        <v>269</v>
      </c>
      <c r="E178" s="9" t="s">
        <v>113</v>
      </c>
      <c r="F178" s="9" t="str">
        <f t="array" ref="F178:G178">XLOOKUP($E178,product_epicenter!$A$2:$A$101,product_epicenter!$B$2:$C$101)</f>
        <v>Walnuts 500g </v>
      </c>
      <c r="G178" s="21">
        <v>700.0</v>
      </c>
      <c r="H178" s="9">
        <v>4.0</v>
      </c>
      <c r="I178" s="21">
        <f t="shared" si="2"/>
        <v>2800</v>
      </c>
    </row>
    <row r="179" ht="15.75" customHeight="1">
      <c r="A179" s="18">
        <f t="shared" si="3"/>
        <v>45801</v>
      </c>
      <c r="B179" s="19">
        <f t="shared" si="1"/>
        <v>45796</v>
      </c>
      <c r="C179" s="23" t="s">
        <v>268</v>
      </c>
      <c r="D179" s="5" t="s">
        <v>269</v>
      </c>
      <c r="E179" s="9" t="s">
        <v>47</v>
      </c>
      <c r="F179" s="9" t="str">
        <f t="array" ref="F179:G179">XLOOKUP($E179,product_epicenter!$A$2:$A$101,product_epicenter!$B$2:$C$101)</f>
        <v>Tomatoes 1kg </v>
      </c>
      <c r="G179" s="21">
        <v>50.0</v>
      </c>
      <c r="H179" s="9">
        <v>8.0</v>
      </c>
      <c r="I179" s="21">
        <f t="shared" si="2"/>
        <v>400</v>
      </c>
    </row>
    <row r="180" ht="15.75" customHeight="1">
      <c r="A180" s="18">
        <f t="shared" si="3"/>
        <v>45801</v>
      </c>
      <c r="B180" s="19">
        <f t="shared" si="1"/>
        <v>45796</v>
      </c>
      <c r="C180" s="23" t="s">
        <v>270</v>
      </c>
      <c r="D180" s="5" t="s">
        <v>271</v>
      </c>
      <c r="E180" s="9" t="s">
        <v>131</v>
      </c>
      <c r="F180" s="9" t="str">
        <f t="array" ref="F180:G180">XLOOKUP($E180,product_epicenter!$A$2:$A$101,product_epicenter!$B$2:$C$101)</f>
        <v>Yogurt 500g </v>
      </c>
      <c r="G180" s="21">
        <v>80.0</v>
      </c>
      <c r="H180" s="9">
        <v>1.0</v>
      </c>
      <c r="I180" s="21">
        <f t="shared" si="2"/>
        <v>80</v>
      </c>
    </row>
    <row r="181" ht="15.75" customHeight="1">
      <c r="A181" s="18">
        <f t="shared" si="3"/>
        <v>45801</v>
      </c>
      <c r="B181" s="19">
        <f t="shared" si="1"/>
        <v>45796</v>
      </c>
      <c r="C181" s="23" t="s">
        <v>270</v>
      </c>
      <c r="D181" s="5" t="s">
        <v>271</v>
      </c>
      <c r="E181" s="9" t="s">
        <v>19</v>
      </c>
      <c r="F181" s="9" t="str">
        <f t="array" ref="F181:G181">XLOOKUP($E181,product_epicenter!$A$2:$A$101,product_epicenter!$B$2:$C$101)</f>
        <v>Green Peas 1kg </v>
      </c>
      <c r="G181" s="21">
        <v>120.0</v>
      </c>
      <c r="H181" s="9">
        <v>7.0</v>
      </c>
      <c r="I181" s="21">
        <f t="shared" si="2"/>
        <v>840</v>
      </c>
    </row>
    <row r="182" ht="15.75" customHeight="1">
      <c r="A182" s="18">
        <f t="shared" si="3"/>
        <v>45801</v>
      </c>
      <c r="B182" s="19">
        <f t="shared" si="1"/>
        <v>45796</v>
      </c>
      <c r="C182" s="23" t="s">
        <v>270</v>
      </c>
      <c r="D182" s="5" t="s">
        <v>271</v>
      </c>
      <c r="E182" s="9" t="s">
        <v>73</v>
      </c>
      <c r="F182" s="9" t="str">
        <f t="array" ref="F182:G182">XLOOKUP($E182,product_epicenter!$A$2:$A$101,product_epicenter!$B$2:$C$101)</f>
        <v>Floor Cleaner 1 litre </v>
      </c>
      <c r="G182" s="21">
        <v>150.0</v>
      </c>
      <c r="H182" s="9">
        <v>5.0</v>
      </c>
      <c r="I182" s="21">
        <f t="shared" si="2"/>
        <v>750</v>
      </c>
    </row>
    <row r="183" ht="15.75" customHeight="1">
      <c r="A183" s="18">
        <f t="shared" si="3"/>
        <v>45801</v>
      </c>
      <c r="B183" s="19">
        <f t="shared" si="1"/>
        <v>45796</v>
      </c>
      <c r="C183" s="23" t="s">
        <v>270</v>
      </c>
      <c r="D183" s="5" t="s">
        <v>271</v>
      </c>
      <c r="E183" s="9" t="s">
        <v>171</v>
      </c>
      <c r="F183" s="9" t="str">
        <f t="array" ref="F183:G183">XLOOKUP($E183,product_epicenter!$A$2:$A$101,product_epicenter!$B$2:$C$101)</f>
        <v>Mineral Water 1 litre </v>
      </c>
      <c r="G183" s="21">
        <v>20.0</v>
      </c>
      <c r="H183" s="9">
        <v>6.0</v>
      </c>
      <c r="I183" s="21">
        <f t="shared" si="2"/>
        <v>120</v>
      </c>
    </row>
    <row r="184" ht="15.75" customHeight="1">
      <c r="A184" s="18">
        <f t="shared" si="3"/>
        <v>45801</v>
      </c>
      <c r="B184" s="19">
        <f t="shared" si="1"/>
        <v>45796</v>
      </c>
      <c r="C184" s="23" t="s">
        <v>270</v>
      </c>
      <c r="D184" s="5" t="s">
        <v>271</v>
      </c>
      <c r="E184" s="9" t="s">
        <v>157</v>
      </c>
      <c r="F184" s="9" t="str">
        <f t="array" ref="F184:G184">XLOOKUP($E184,product_epicenter!$A$2:$A$101,product_epicenter!$B$2:$C$101)</f>
        <v>Butter Paper 1 roll </v>
      </c>
      <c r="G184" s="21">
        <v>100.0</v>
      </c>
      <c r="H184" s="9">
        <v>3.0</v>
      </c>
      <c r="I184" s="21">
        <f t="shared" si="2"/>
        <v>300</v>
      </c>
    </row>
    <row r="185" ht="15.75" customHeight="1">
      <c r="A185" s="18">
        <f t="shared" si="3"/>
        <v>45801</v>
      </c>
      <c r="B185" s="19">
        <f t="shared" si="1"/>
        <v>45796</v>
      </c>
      <c r="C185" s="23" t="s">
        <v>272</v>
      </c>
      <c r="D185" s="5" t="s">
        <v>273</v>
      </c>
      <c r="E185" s="9" t="s">
        <v>181</v>
      </c>
      <c r="F185" s="9" t="str">
        <f t="array" ref="F185:G185">XLOOKUP($E185,product_epicenter!$A$2:$A$101,product_epicenter!$B$2:$C$101)</f>
        <v>Hand Wash 500ml </v>
      </c>
      <c r="G185" s="21">
        <v>150.0</v>
      </c>
      <c r="H185" s="9">
        <v>3.0</v>
      </c>
      <c r="I185" s="21">
        <f t="shared" si="2"/>
        <v>450</v>
      </c>
    </row>
    <row r="186" ht="15.75" customHeight="1">
      <c r="A186" s="18">
        <f t="shared" si="3"/>
        <v>45801</v>
      </c>
      <c r="B186" s="19">
        <f t="shared" si="1"/>
        <v>45796</v>
      </c>
      <c r="C186" s="23" t="s">
        <v>272</v>
      </c>
      <c r="D186" s="5" t="s">
        <v>273</v>
      </c>
      <c r="E186" s="9" t="s">
        <v>201</v>
      </c>
      <c r="F186" s="9" t="str">
        <f t="array" ref="F186:G186">XLOOKUP($E186,product_epicenter!$A$2:$A$101,product_epicenter!$B$2:$C$101)</f>
        <v>Cooking Vinegar 500ml </v>
      </c>
      <c r="G186" s="21">
        <v>90.0</v>
      </c>
      <c r="H186" s="9">
        <v>9.0</v>
      </c>
      <c r="I186" s="21">
        <f t="shared" si="2"/>
        <v>810</v>
      </c>
    </row>
    <row r="187" ht="15.75" customHeight="1">
      <c r="A187" s="18">
        <f t="shared" si="3"/>
        <v>45801</v>
      </c>
      <c r="B187" s="19">
        <f t="shared" si="1"/>
        <v>45796</v>
      </c>
      <c r="C187" s="23" t="s">
        <v>272</v>
      </c>
      <c r="D187" s="5" t="s">
        <v>273</v>
      </c>
      <c r="E187" s="9" t="s">
        <v>167</v>
      </c>
      <c r="F187" s="9" t="str">
        <f t="array" ref="F187:G187">XLOOKUP($E187,product_epicenter!$A$2:$A$101,product_epicenter!$B$2:$C$101)</f>
        <v>Batteries 1 pack </v>
      </c>
      <c r="G187" s="21">
        <v>250.0</v>
      </c>
      <c r="H187" s="9">
        <v>5.0</v>
      </c>
      <c r="I187" s="21">
        <f t="shared" si="2"/>
        <v>1250</v>
      </c>
    </row>
    <row r="188" ht="15.75" customHeight="1">
      <c r="A188" s="18">
        <f t="shared" si="3"/>
        <v>45801</v>
      </c>
      <c r="B188" s="19">
        <f t="shared" si="1"/>
        <v>45796</v>
      </c>
      <c r="C188" s="23" t="s">
        <v>272</v>
      </c>
      <c r="D188" s="5" t="s">
        <v>273</v>
      </c>
      <c r="E188" s="9" t="s">
        <v>55</v>
      </c>
      <c r="F188" s="9" t="str">
        <f t="array" ref="F188:G188">XLOOKUP($E188,product_epicenter!$A$2:$A$101,product_epicenter!$B$2:$C$101)</f>
        <v>Biscuits 1 pack </v>
      </c>
      <c r="G188" s="21">
        <v>30.0</v>
      </c>
      <c r="H188" s="9">
        <v>1.0</v>
      </c>
      <c r="I188" s="21">
        <f t="shared" si="2"/>
        <v>30</v>
      </c>
    </row>
    <row r="189" ht="15.75" customHeight="1">
      <c r="A189" s="18">
        <f t="shared" si="3"/>
        <v>45801</v>
      </c>
      <c r="B189" s="19">
        <f t="shared" si="1"/>
        <v>45796</v>
      </c>
      <c r="C189" s="23" t="s">
        <v>272</v>
      </c>
      <c r="D189" s="5" t="s">
        <v>273</v>
      </c>
      <c r="E189" s="9" t="s">
        <v>37</v>
      </c>
      <c r="F189" s="9" t="str">
        <f t="array" ref="F189:G189">XLOOKUP($E189,product_epicenter!$A$2:$A$101,product_epicenter!$B$2:$C$101)</f>
        <v>Apples 1kg </v>
      </c>
      <c r="G189" s="21">
        <v>200.0</v>
      </c>
      <c r="H189" s="9">
        <v>2.0</v>
      </c>
      <c r="I189" s="21">
        <f t="shared" si="2"/>
        <v>400</v>
      </c>
    </row>
    <row r="190" ht="15.75" customHeight="1">
      <c r="A190" s="18">
        <f t="shared" si="3"/>
        <v>45801</v>
      </c>
      <c r="B190" s="19">
        <f t="shared" si="1"/>
        <v>45796</v>
      </c>
      <c r="C190" s="23" t="s">
        <v>274</v>
      </c>
      <c r="D190" s="5" t="s">
        <v>275</v>
      </c>
      <c r="E190" s="9" t="s">
        <v>17</v>
      </c>
      <c r="F190" s="9" t="str">
        <f t="array" ref="F190:G190">XLOOKUP($E190,product_epicenter!$A$2:$A$101,product_epicenter!$B$2:$C$101)</f>
        <v>Dry Fruits Mix 1kg </v>
      </c>
      <c r="G190" s="21">
        <v>850.0</v>
      </c>
      <c r="H190" s="9">
        <v>4.0</v>
      </c>
      <c r="I190" s="21">
        <f t="shared" si="2"/>
        <v>3400</v>
      </c>
    </row>
    <row r="191" ht="15.75" customHeight="1">
      <c r="A191" s="18">
        <f t="shared" si="3"/>
        <v>45801</v>
      </c>
      <c r="B191" s="19">
        <f t="shared" si="1"/>
        <v>45796</v>
      </c>
      <c r="C191" s="23" t="s">
        <v>274</v>
      </c>
      <c r="D191" s="5" t="s">
        <v>275</v>
      </c>
      <c r="E191" s="9" t="s">
        <v>29</v>
      </c>
      <c r="F191" s="9" t="str">
        <f t="array" ref="F191:G191">XLOOKUP($E191,product_epicenter!$A$2:$A$101,product_epicenter!$B$2:$C$101)</f>
        <v>Cheese 200g </v>
      </c>
      <c r="G191" s="21">
        <v>150.0</v>
      </c>
      <c r="H191" s="9">
        <v>3.0</v>
      </c>
      <c r="I191" s="21">
        <f t="shared" si="2"/>
        <v>450</v>
      </c>
    </row>
    <row r="192" ht="15.75" customHeight="1">
      <c r="A192" s="18">
        <f t="shared" si="3"/>
        <v>45801</v>
      </c>
      <c r="B192" s="19">
        <f t="shared" si="1"/>
        <v>45796</v>
      </c>
      <c r="C192" s="23" t="s">
        <v>274</v>
      </c>
      <c r="D192" s="5" t="s">
        <v>275</v>
      </c>
      <c r="E192" s="9" t="s">
        <v>195</v>
      </c>
      <c r="F192" s="9" t="str">
        <f t="array" ref="F192:G192">XLOOKUP($E192,product_epicenter!$A$2:$A$101,product_epicenter!$B$2:$C$101)</f>
        <v>Face Wash 250ml </v>
      </c>
      <c r="G192" s="21">
        <v>200.0</v>
      </c>
      <c r="H192" s="9">
        <v>9.0</v>
      </c>
      <c r="I192" s="21">
        <f t="shared" si="2"/>
        <v>1800</v>
      </c>
    </row>
    <row r="193" ht="15.75" customHeight="1">
      <c r="A193" s="18">
        <f t="shared" si="3"/>
        <v>45801</v>
      </c>
      <c r="B193" s="19">
        <f t="shared" si="1"/>
        <v>45796</v>
      </c>
      <c r="C193" s="23" t="s">
        <v>276</v>
      </c>
      <c r="D193" s="5" t="s">
        <v>277</v>
      </c>
      <c r="E193" s="9" t="s">
        <v>135</v>
      </c>
      <c r="F193" s="9" t="str">
        <f t="array" ref="F193:G193">XLOOKUP($E193,product_epicenter!$A$2:$A$101,product_epicenter!$B$2:$C$101)</f>
        <v>Ice Cubes 1 pack </v>
      </c>
      <c r="G193" s="21">
        <v>50.0</v>
      </c>
      <c r="H193" s="9">
        <v>4.0</v>
      </c>
      <c r="I193" s="21">
        <f t="shared" si="2"/>
        <v>200</v>
      </c>
    </row>
    <row r="194" ht="15.75" customHeight="1">
      <c r="A194" s="18">
        <f t="shared" si="3"/>
        <v>45801</v>
      </c>
      <c r="B194" s="19">
        <f t="shared" si="1"/>
        <v>45796</v>
      </c>
      <c r="C194" s="23" t="s">
        <v>276</v>
      </c>
      <c r="D194" s="5" t="s">
        <v>277</v>
      </c>
      <c r="E194" s="9" t="s">
        <v>43</v>
      </c>
      <c r="F194" s="9" t="str">
        <f t="array" ref="F194:G194">XLOOKUP($E194,product_epicenter!$A$2:$A$101,product_epicenter!$B$2:$C$101)</f>
        <v>Potatoes 1kg </v>
      </c>
      <c r="G194" s="21">
        <v>30.0</v>
      </c>
      <c r="H194" s="9">
        <v>6.0</v>
      </c>
      <c r="I194" s="21">
        <f t="shared" si="2"/>
        <v>180</v>
      </c>
    </row>
    <row r="195" ht="15.75" customHeight="1">
      <c r="A195" s="18">
        <f t="shared" si="3"/>
        <v>45801</v>
      </c>
      <c r="B195" s="19">
        <f t="shared" si="1"/>
        <v>45796</v>
      </c>
      <c r="C195" s="23" t="s">
        <v>276</v>
      </c>
      <c r="D195" s="5" t="s">
        <v>277</v>
      </c>
      <c r="E195" s="9" t="s">
        <v>81</v>
      </c>
      <c r="F195" s="9" t="str">
        <f t="array" ref="F195:G195">XLOOKUP($E195,product_epicenter!$A$2:$A$101,product_epicenter!$B$2:$C$101)</f>
        <v>Cooking Oil 1 litre </v>
      </c>
      <c r="G195" s="21">
        <v>120.0</v>
      </c>
      <c r="H195" s="9">
        <v>8.0</v>
      </c>
      <c r="I195" s="21">
        <f t="shared" si="2"/>
        <v>960</v>
      </c>
    </row>
    <row r="196" ht="15.75" customHeight="1">
      <c r="A196" s="18">
        <f t="shared" si="3"/>
        <v>45801</v>
      </c>
      <c r="B196" s="19">
        <f t="shared" si="1"/>
        <v>45796</v>
      </c>
      <c r="C196" s="23" t="s">
        <v>278</v>
      </c>
      <c r="D196" s="5" t="s">
        <v>279</v>
      </c>
      <c r="E196" s="9" t="s">
        <v>81</v>
      </c>
      <c r="F196" s="9" t="str">
        <f t="array" ref="F196:G196">XLOOKUP($E196,product_epicenter!$A$2:$A$101,product_epicenter!$B$2:$C$101)</f>
        <v>Cooking Oil 1 litre </v>
      </c>
      <c r="G196" s="21">
        <v>120.0</v>
      </c>
      <c r="H196" s="9">
        <v>4.0</v>
      </c>
      <c r="I196" s="21">
        <f t="shared" si="2"/>
        <v>480</v>
      </c>
    </row>
    <row r="197" ht="15.75" customHeight="1">
      <c r="A197" s="18">
        <f t="shared" si="3"/>
        <v>45801</v>
      </c>
      <c r="B197" s="19">
        <f t="shared" si="1"/>
        <v>45796</v>
      </c>
      <c r="C197" s="23" t="s">
        <v>278</v>
      </c>
      <c r="D197" s="5" t="s">
        <v>279</v>
      </c>
      <c r="E197" s="9" t="s">
        <v>167</v>
      </c>
      <c r="F197" s="9" t="str">
        <f t="array" ref="F197:G197">XLOOKUP($E197,product_epicenter!$A$2:$A$101,product_epicenter!$B$2:$C$101)</f>
        <v>Batteries 1 pack </v>
      </c>
      <c r="G197" s="21">
        <v>250.0</v>
      </c>
      <c r="H197" s="9">
        <v>1.0</v>
      </c>
      <c r="I197" s="21">
        <f t="shared" si="2"/>
        <v>250</v>
      </c>
    </row>
    <row r="198" ht="15.75" customHeight="1">
      <c r="A198" s="18">
        <f t="shared" si="3"/>
        <v>45801</v>
      </c>
      <c r="B198" s="19">
        <f t="shared" si="1"/>
        <v>45796</v>
      </c>
      <c r="C198" s="23" t="s">
        <v>278</v>
      </c>
      <c r="D198" s="5" t="s">
        <v>279</v>
      </c>
      <c r="E198" s="9" t="s">
        <v>141</v>
      </c>
      <c r="F198" s="9" t="str">
        <f t="array" ref="F198:G198">XLOOKUP($E198,product_epicenter!$A$2:$A$101,product_epicenter!$B$2:$C$101)</f>
        <v>Basmati Rice 1kg </v>
      </c>
      <c r="G198" s="21">
        <v>120.0</v>
      </c>
      <c r="H198" s="9">
        <v>6.0</v>
      </c>
      <c r="I198" s="21">
        <f t="shared" si="2"/>
        <v>720</v>
      </c>
    </row>
    <row r="199" ht="15.75" customHeight="1">
      <c r="A199" s="18">
        <f t="shared" si="3"/>
        <v>45801</v>
      </c>
      <c r="B199" s="19">
        <f t="shared" si="1"/>
        <v>45796</v>
      </c>
      <c r="C199" s="23" t="s">
        <v>278</v>
      </c>
      <c r="D199" s="5" t="s">
        <v>279</v>
      </c>
      <c r="E199" s="9" t="s">
        <v>161</v>
      </c>
      <c r="F199" s="9" t="str">
        <f t="array" ref="F199:G199">XLOOKUP($E199,product_epicenter!$A$2:$A$101,product_epicenter!$B$2:$C$101)</f>
        <v>Aluminium Foil 1 roll </v>
      </c>
      <c r="G199" s="21">
        <v>120.0</v>
      </c>
      <c r="H199" s="9">
        <v>8.0</v>
      </c>
      <c r="I199" s="21">
        <f t="shared" si="2"/>
        <v>960</v>
      </c>
    </row>
    <row r="200" ht="15.75" customHeight="1">
      <c r="A200" s="18">
        <f t="shared" si="3"/>
        <v>45801</v>
      </c>
      <c r="B200" s="19">
        <f t="shared" si="1"/>
        <v>45796</v>
      </c>
      <c r="C200" s="23" t="s">
        <v>280</v>
      </c>
      <c r="D200" s="5" t="s">
        <v>281</v>
      </c>
      <c r="E200" s="9" t="s">
        <v>131</v>
      </c>
      <c r="F200" s="9" t="str">
        <f t="array" ref="F200:G200">XLOOKUP($E200,product_epicenter!$A$2:$A$101,product_epicenter!$B$2:$C$101)</f>
        <v>Yogurt 500g </v>
      </c>
      <c r="G200" s="21">
        <v>80.0</v>
      </c>
      <c r="H200" s="9">
        <v>8.0</v>
      </c>
      <c r="I200" s="21">
        <f t="shared" si="2"/>
        <v>640</v>
      </c>
    </row>
    <row r="201" ht="15.75" customHeight="1">
      <c r="A201" s="18">
        <f t="shared" si="3"/>
        <v>45801</v>
      </c>
      <c r="B201" s="19">
        <f t="shared" si="1"/>
        <v>45796</v>
      </c>
      <c r="C201" s="23" t="s">
        <v>280</v>
      </c>
      <c r="D201" s="5" t="s">
        <v>281</v>
      </c>
      <c r="E201" s="9" t="s">
        <v>141</v>
      </c>
      <c r="F201" s="9" t="str">
        <f t="array" ref="F201:G201">XLOOKUP($E201,product_epicenter!$A$2:$A$101,product_epicenter!$B$2:$C$101)</f>
        <v>Basmati Rice 1kg </v>
      </c>
      <c r="G201" s="21">
        <v>120.0</v>
      </c>
      <c r="H201" s="9">
        <v>8.0</v>
      </c>
      <c r="I201" s="21">
        <f t="shared" si="2"/>
        <v>960</v>
      </c>
    </row>
    <row r="202" ht="15.75" customHeight="1">
      <c r="A202" s="18">
        <f t="shared" si="3"/>
        <v>45801</v>
      </c>
      <c r="B202" s="19">
        <f t="shared" si="1"/>
        <v>45796</v>
      </c>
      <c r="C202" s="23" t="s">
        <v>280</v>
      </c>
      <c r="D202" s="5" t="s">
        <v>281</v>
      </c>
      <c r="E202" s="9" t="s">
        <v>197</v>
      </c>
      <c r="F202" s="9" t="str">
        <f t="array" ref="F202:G202">XLOOKUP($E202,product_epicenter!$A$2:$A$101,product_epicenter!$B$2:$C$101)</f>
        <v>Hand Sanitizer 500ml </v>
      </c>
      <c r="G202" s="21">
        <v>200.0</v>
      </c>
      <c r="H202" s="9">
        <v>2.0</v>
      </c>
      <c r="I202" s="21">
        <f t="shared" si="2"/>
        <v>400</v>
      </c>
    </row>
    <row r="203" ht="15.75" customHeight="1">
      <c r="A203" s="18">
        <f t="shared" si="3"/>
        <v>45801</v>
      </c>
      <c r="B203" s="19">
        <f t="shared" si="1"/>
        <v>45796</v>
      </c>
      <c r="C203" s="23" t="s">
        <v>280</v>
      </c>
      <c r="D203" s="5" t="s">
        <v>281</v>
      </c>
      <c r="E203" s="9" t="s">
        <v>195</v>
      </c>
      <c r="F203" s="9" t="str">
        <f t="array" ref="F203:G203">XLOOKUP($E203,product_epicenter!$A$2:$A$101,product_epicenter!$B$2:$C$101)</f>
        <v>Face Wash 250ml </v>
      </c>
      <c r="G203" s="21">
        <v>200.0</v>
      </c>
      <c r="H203" s="9">
        <v>9.0</v>
      </c>
      <c r="I203" s="21">
        <f t="shared" si="2"/>
        <v>1800</v>
      </c>
    </row>
    <row r="204" ht="15.75" customHeight="1">
      <c r="A204" s="18">
        <f t="shared" si="3"/>
        <v>45801</v>
      </c>
      <c r="B204" s="19">
        <f t="shared" si="1"/>
        <v>45796</v>
      </c>
      <c r="C204" s="23" t="s">
        <v>282</v>
      </c>
      <c r="D204" s="5" t="s">
        <v>283</v>
      </c>
      <c r="E204" s="9" t="s">
        <v>189</v>
      </c>
      <c r="F204" s="9" t="str">
        <f t="array" ref="F204:G204">XLOOKUP($E204,product_epicenter!$A$2:$A$101,product_epicenter!$B$2:$C$101)</f>
        <v>Razor 1 pack </v>
      </c>
      <c r="G204" s="21">
        <v>200.0</v>
      </c>
      <c r="H204" s="9">
        <v>1.0</v>
      </c>
      <c r="I204" s="21">
        <f t="shared" si="2"/>
        <v>200</v>
      </c>
    </row>
    <row r="205" ht="15.75" customHeight="1">
      <c r="A205" s="18">
        <f t="shared" si="3"/>
        <v>45801</v>
      </c>
      <c r="B205" s="19">
        <f t="shared" si="1"/>
        <v>45796</v>
      </c>
      <c r="C205" s="23" t="s">
        <v>282</v>
      </c>
      <c r="D205" s="5" t="s">
        <v>283</v>
      </c>
      <c r="E205" s="9" t="s">
        <v>159</v>
      </c>
      <c r="F205" s="9" t="str">
        <f t="array" ref="F205:G205">XLOOKUP($E205,product_epicenter!$A$2:$A$101,product_epicenter!$B$2:$C$101)</f>
        <v>Plastic Wrap 1 roll </v>
      </c>
      <c r="G205" s="21">
        <v>150.0</v>
      </c>
      <c r="H205" s="9">
        <v>2.0</v>
      </c>
      <c r="I205" s="21">
        <f t="shared" si="2"/>
        <v>300</v>
      </c>
    </row>
    <row r="206" ht="15.75" customHeight="1">
      <c r="A206" s="18">
        <f t="shared" si="3"/>
        <v>45801</v>
      </c>
      <c r="B206" s="19">
        <f t="shared" si="1"/>
        <v>45796</v>
      </c>
      <c r="C206" s="23" t="s">
        <v>282</v>
      </c>
      <c r="D206" s="5" t="s">
        <v>283</v>
      </c>
      <c r="E206" s="9" t="s">
        <v>73</v>
      </c>
      <c r="F206" s="9" t="str">
        <f t="array" ref="F206:G206">XLOOKUP($E206,product_epicenter!$A$2:$A$101,product_epicenter!$B$2:$C$101)</f>
        <v>Floor Cleaner 1 litre </v>
      </c>
      <c r="G206" s="21">
        <v>150.0</v>
      </c>
      <c r="H206" s="9">
        <v>9.0</v>
      </c>
      <c r="I206" s="21">
        <f t="shared" si="2"/>
        <v>1350</v>
      </c>
    </row>
    <row r="207" ht="15.75" customHeight="1">
      <c r="A207" s="18">
        <f t="shared" si="3"/>
        <v>45801</v>
      </c>
      <c r="B207" s="19">
        <f t="shared" si="1"/>
        <v>45796</v>
      </c>
      <c r="C207" s="23" t="s">
        <v>284</v>
      </c>
      <c r="D207" s="5" t="s">
        <v>285</v>
      </c>
      <c r="E207" s="9" t="s">
        <v>185</v>
      </c>
      <c r="F207" s="9" t="str">
        <f t="array" ref="F207:G207">XLOOKUP($E207,product_epicenter!$A$2:$A$101,product_epicenter!$B$2:$C$101)</f>
        <v>Hair Conditioner 500ml </v>
      </c>
      <c r="G207" s="21">
        <v>300.0</v>
      </c>
      <c r="H207" s="9">
        <v>2.0</v>
      </c>
      <c r="I207" s="21">
        <f t="shared" si="2"/>
        <v>600</v>
      </c>
    </row>
    <row r="208" ht="15.75" customHeight="1">
      <c r="A208" s="18">
        <f t="shared" si="3"/>
        <v>45801</v>
      </c>
      <c r="B208" s="19">
        <f t="shared" si="1"/>
        <v>45796</v>
      </c>
      <c r="C208" s="23" t="s">
        <v>284</v>
      </c>
      <c r="D208" s="5" t="s">
        <v>285</v>
      </c>
      <c r="E208" s="9" t="s">
        <v>67</v>
      </c>
      <c r="F208" s="9" t="str">
        <f t="array" ref="F208:G208">XLOOKUP($E208,product_epicenter!$A$2:$A$101,product_epicenter!$B$2:$C$101)</f>
        <v>Toothpaste 1 tube </v>
      </c>
      <c r="G208" s="21">
        <v>80.0</v>
      </c>
      <c r="H208" s="9">
        <v>4.0</v>
      </c>
      <c r="I208" s="21">
        <f t="shared" si="2"/>
        <v>320</v>
      </c>
    </row>
    <row r="209" ht="15.75" customHeight="1">
      <c r="A209" s="18">
        <f t="shared" si="3"/>
        <v>45801</v>
      </c>
      <c r="B209" s="19">
        <f t="shared" si="1"/>
        <v>45796</v>
      </c>
      <c r="C209" s="23" t="s">
        <v>284</v>
      </c>
      <c r="D209" s="5" t="s">
        <v>285</v>
      </c>
      <c r="E209" s="9" t="s">
        <v>167</v>
      </c>
      <c r="F209" s="9" t="str">
        <f t="array" ref="F209:G209">XLOOKUP($E209,product_epicenter!$A$2:$A$101,product_epicenter!$B$2:$C$101)</f>
        <v>Batteries 1 pack </v>
      </c>
      <c r="G209" s="21">
        <v>250.0</v>
      </c>
      <c r="H209" s="9">
        <v>9.0</v>
      </c>
      <c r="I209" s="21">
        <f t="shared" si="2"/>
        <v>2250</v>
      </c>
    </row>
    <row r="210" ht="15.75" customHeight="1">
      <c r="A210" s="18">
        <f t="shared" si="3"/>
        <v>45801</v>
      </c>
      <c r="B210" s="19">
        <f t="shared" si="1"/>
        <v>45796</v>
      </c>
      <c r="C210" s="23" t="s">
        <v>284</v>
      </c>
      <c r="D210" s="5" t="s">
        <v>285</v>
      </c>
      <c r="E210" s="9" t="s">
        <v>153</v>
      </c>
      <c r="F210" s="9" t="str">
        <f t="array" ref="F210:G210">XLOOKUP($E210,product_epicenter!$A$2:$A$101,product_epicenter!$B$2:$C$101)</f>
        <v>Bread Crumbs 500g </v>
      </c>
      <c r="G210" s="21">
        <v>90.0</v>
      </c>
      <c r="H210" s="9">
        <v>3.0</v>
      </c>
      <c r="I210" s="21">
        <f t="shared" si="2"/>
        <v>270</v>
      </c>
    </row>
    <row r="211" ht="15.75" customHeight="1">
      <c r="A211" s="18">
        <f t="shared" si="3"/>
        <v>45801</v>
      </c>
      <c r="B211" s="19">
        <f t="shared" si="1"/>
        <v>45796</v>
      </c>
      <c r="C211" s="23" t="s">
        <v>284</v>
      </c>
      <c r="D211" s="5" t="s">
        <v>285</v>
      </c>
      <c r="E211" s="9" t="s">
        <v>159</v>
      </c>
      <c r="F211" s="9" t="str">
        <f t="array" ref="F211:G211">XLOOKUP($E211,product_epicenter!$A$2:$A$101,product_epicenter!$B$2:$C$101)</f>
        <v>Plastic Wrap 1 roll </v>
      </c>
      <c r="G211" s="21">
        <v>150.0</v>
      </c>
      <c r="H211" s="9">
        <v>2.0</v>
      </c>
      <c r="I211" s="21">
        <f t="shared" si="2"/>
        <v>300</v>
      </c>
    </row>
    <row r="212" ht="15.75" customHeight="1">
      <c r="A212" s="18">
        <f t="shared" si="3"/>
        <v>45801</v>
      </c>
      <c r="B212" s="19">
        <f t="shared" si="1"/>
        <v>45796</v>
      </c>
      <c r="C212" s="23" t="s">
        <v>286</v>
      </c>
      <c r="D212" s="5" t="s">
        <v>287</v>
      </c>
      <c r="E212" s="9" t="s">
        <v>15</v>
      </c>
      <c r="F212" s="9" t="str">
        <f t="array" ref="F212:G212">XLOOKUP($E212,product_epicenter!$A$2:$A$101,product_epicenter!$B$2:$C$101)</f>
        <v>Tea 250g </v>
      </c>
      <c r="G212" s="21">
        <v>155.0</v>
      </c>
      <c r="H212" s="9">
        <v>7.0</v>
      </c>
      <c r="I212" s="21">
        <f t="shared" si="2"/>
        <v>1085</v>
      </c>
    </row>
    <row r="213" ht="15.75" customHeight="1">
      <c r="A213" s="18">
        <f t="shared" si="3"/>
        <v>45801</v>
      </c>
      <c r="B213" s="19">
        <f t="shared" si="1"/>
        <v>45796</v>
      </c>
      <c r="C213" s="23" t="s">
        <v>286</v>
      </c>
      <c r="D213" s="5" t="s">
        <v>287</v>
      </c>
      <c r="E213" s="9" t="s">
        <v>145</v>
      </c>
      <c r="F213" s="9" t="str">
        <f t="array" ref="F213:G213">XLOOKUP($E213,product_epicenter!$A$2:$A$101,product_epicenter!$B$2:$C$101)</f>
        <v>Quinoa 500g </v>
      </c>
      <c r="G213" s="21">
        <v>350.0</v>
      </c>
      <c r="H213" s="9">
        <v>4.0</v>
      </c>
      <c r="I213" s="21">
        <f t="shared" si="2"/>
        <v>1400</v>
      </c>
    </row>
    <row r="214" ht="15.75" customHeight="1">
      <c r="A214" s="18">
        <f t="shared" si="3"/>
        <v>45801</v>
      </c>
      <c r="B214" s="19">
        <f t="shared" si="1"/>
        <v>45796</v>
      </c>
      <c r="C214" s="23" t="s">
        <v>286</v>
      </c>
      <c r="D214" s="5" t="s">
        <v>287</v>
      </c>
      <c r="E214" s="9" t="s">
        <v>27</v>
      </c>
      <c r="F214" s="9" t="str">
        <f t="array" ref="F214:G214">XLOOKUP($E214,product_epicenter!$A$2:$A$101,product_epicenter!$B$2:$C$101)</f>
        <v>Butter 500g </v>
      </c>
      <c r="G214" s="21">
        <v>250.0</v>
      </c>
      <c r="H214" s="9">
        <v>5.0</v>
      </c>
      <c r="I214" s="21">
        <f t="shared" si="2"/>
        <v>1250</v>
      </c>
    </row>
    <row r="215" ht="15.75" customHeight="1">
      <c r="A215" s="18">
        <f t="shared" si="3"/>
        <v>45801</v>
      </c>
      <c r="B215" s="19">
        <f t="shared" si="1"/>
        <v>45796</v>
      </c>
      <c r="C215" s="23" t="s">
        <v>286</v>
      </c>
      <c r="D215" s="5" t="s">
        <v>287</v>
      </c>
      <c r="E215" s="9" t="s">
        <v>187</v>
      </c>
      <c r="F215" s="9" t="str">
        <f t="array" ref="F215:G215">XLOOKUP($E215,product_epicenter!$A$2:$A$101,product_epicenter!$B$2:$C$101)</f>
        <v>Shaving Cream 100g </v>
      </c>
      <c r="G215" s="21">
        <v>150.0</v>
      </c>
      <c r="H215" s="9">
        <v>4.0</v>
      </c>
      <c r="I215" s="21">
        <f t="shared" si="2"/>
        <v>600</v>
      </c>
    </row>
    <row r="216" ht="15.75" customHeight="1">
      <c r="A216" s="18">
        <f t="shared" si="3"/>
        <v>45801</v>
      </c>
      <c r="B216" s="19">
        <f t="shared" si="1"/>
        <v>45796</v>
      </c>
      <c r="C216" s="23" t="s">
        <v>288</v>
      </c>
      <c r="D216" s="5" t="s">
        <v>289</v>
      </c>
      <c r="E216" s="9" t="s">
        <v>27</v>
      </c>
      <c r="F216" s="9" t="str">
        <f t="array" ref="F216:G216">XLOOKUP($E216,product_epicenter!$A$2:$A$101,product_epicenter!$B$2:$C$101)</f>
        <v>Butter 500g </v>
      </c>
      <c r="G216" s="21">
        <v>250.0</v>
      </c>
      <c r="H216" s="9">
        <v>5.0</v>
      </c>
      <c r="I216" s="21">
        <f t="shared" si="2"/>
        <v>1250</v>
      </c>
    </row>
    <row r="217" ht="15.75" customHeight="1">
      <c r="A217" s="18">
        <f t="shared" si="3"/>
        <v>45801</v>
      </c>
      <c r="B217" s="19">
        <f t="shared" si="1"/>
        <v>45796</v>
      </c>
      <c r="C217" s="23" t="s">
        <v>288</v>
      </c>
      <c r="D217" s="5" t="s">
        <v>289</v>
      </c>
      <c r="E217" s="9" t="s">
        <v>71</v>
      </c>
      <c r="F217" s="9" t="str">
        <f t="array" ref="F217:G217">XLOOKUP($E217,product_epicenter!$A$2:$A$101,product_epicenter!$B$2:$C$101)</f>
        <v>Dishwashing Liquid 500ml </v>
      </c>
      <c r="G217" s="21">
        <v>100.0</v>
      </c>
      <c r="H217" s="9">
        <v>6.0</v>
      </c>
      <c r="I217" s="21">
        <f t="shared" si="2"/>
        <v>600</v>
      </c>
    </row>
    <row r="218" ht="15.75" customHeight="1">
      <c r="A218" s="18">
        <f t="shared" si="3"/>
        <v>45801</v>
      </c>
      <c r="B218" s="19">
        <f t="shared" si="1"/>
        <v>45796</v>
      </c>
      <c r="C218" s="23" t="s">
        <v>288</v>
      </c>
      <c r="D218" s="5" t="s">
        <v>289</v>
      </c>
      <c r="E218" s="9" t="s">
        <v>67</v>
      </c>
      <c r="F218" s="9" t="str">
        <f t="array" ref="F218:G218">XLOOKUP($E218,product_epicenter!$A$2:$A$101,product_epicenter!$B$2:$C$101)</f>
        <v>Toothpaste 1 tube </v>
      </c>
      <c r="G218" s="21">
        <v>80.0</v>
      </c>
      <c r="H218" s="9">
        <v>9.0</v>
      </c>
      <c r="I218" s="21">
        <f t="shared" si="2"/>
        <v>720</v>
      </c>
    </row>
    <row r="219" ht="15.75" customHeight="1">
      <c r="A219" s="18">
        <f t="shared" si="3"/>
        <v>45801</v>
      </c>
      <c r="B219" s="19">
        <f t="shared" si="1"/>
        <v>45796</v>
      </c>
      <c r="C219" s="23" t="s">
        <v>288</v>
      </c>
      <c r="D219" s="5" t="s">
        <v>289</v>
      </c>
      <c r="E219" s="9" t="s">
        <v>33</v>
      </c>
      <c r="F219" s="9" t="str">
        <f t="array" ref="F219:G219">XLOOKUP($E219,product_epicenter!$A$2:$A$101,product_epicenter!$B$2:$C$101)</f>
        <v>Chicken 1kg </v>
      </c>
      <c r="G219" s="21">
        <v>250.0</v>
      </c>
      <c r="H219" s="9">
        <v>7.0</v>
      </c>
      <c r="I219" s="21">
        <f t="shared" si="2"/>
        <v>1750</v>
      </c>
    </row>
    <row r="220" ht="15.75" customHeight="1">
      <c r="A220" s="18">
        <f t="shared" si="3"/>
        <v>45801</v>
      </c>
      <c r="B220" s="19">
        <f t="shared" si="1"/>
        <v>45796</v>
      </c>
      <c r="C220" s="23" t="s">
        <v>290</v>
      </c>
      <c r="D220" s="5" t="s">
        <v>291</v>
      </c>
      <c r="E220" s="9" t="s">
        <v>71</v>
      </c>
      <c r="F220" s="9" t="str">
        <f t="array" ref="F220:G220">XLOOKUP($E220,product_epicenter!$A$2:$A$101,product_epicenter!$B$2:$C$101)</f>
        <v>Dishwashing Liquid 500ml </v>
      </c>
      <c r="G220" s="21">
        <v>100.0</v>
      </c>
      <c r="H220" s="9">
        <v>5.0</v>
      </c>
      <c r="I220" s="21">
        <f t="shared" si="2"/>
        <v>500</v>
      </c>
    </row>
    <row r="221" ht="15.75" customHeight="1">
      <c r="A221" s="18">
        <f t="shared" si="3"/>
        <v>45801</v>
      </c>
      <c r="B221" s="19">
        <f t="shared" si="1"/>
        <v>45796</v>
      </c>
      <c r="C221" s="23" t="s">
        <v>290</v>
      </c>
      <c r="D221" s="5" t="s">
        <v>291</v>
      </c>
      <c r="E221" s="9" t="s">
        <v>25</v>
      </c>
      <c r="F221" s="9" t="str">
        <f t="array" ref="F221:G221">XLOOKUP($E221,product_epicenter!$A$2:$A$101,product_epicenter!$B$2:$C$101)</f>
        <v>Bread 500g </v>
      </c>
      <c r="G221" s="21">
        <v>40.0</v>
      </c>
      <c r="H221" s="9">
        <v>9.0</v>
      </c>
      <c r="I221" s="21">
        <f t="shared" si="2"/>
        <v>360</v>
      </c>
    </row>
    <row r="222" ht="15.75" customHeight="1">
      <c r="A222" s="18">
        <f t="shared" si="3"/>
        <v>45801</v>
      </c>
      <c r="B222" s="19">
        <f t="shared" si="1"/>
        <v>45796</v>
      </c>
      <c r="C222" s="23" t="s">
        <v>290</v>
      </c>
      <c r="D222" s="5" t="s">
        <v>291</v>
      </c>
      <c r="E222" s="9" t="s">
        <v>131</v>
      </c>
      <c r="F222" s="9" t="str">
        <f t="array" ref="F222:G222">XLOOKUP($E222,product_epicenter!$A$2:$A$101,product_epicenter!$B$2:$C$101)</f>
        <v>Yogurt 500g </v>
      </c>
      <c r="G222" s="21">
        <v>80.0</v>
      </c>
      <c r="H222" s="9">
        <v>1.0</v>
      </c>
      <c r="I222" s="21">
        <f t="shared" si="2"/>
        <v>80</v>
      </c>
    </row>
    <row r="223" ht="15.75" customHeight="1">
      <c r="A223" s="18">
        <f t="shared" si="3"/>
        <v>45801</v>
      </c>
      <c r="B223" s="19">
        <f t="shared" si="1"/>
        <v>45796</v>
      </c>
      <c r="C223" s="23" t="s">
        <v>290</v>
      </c>
      <c r="D223" s="5" t="s">
        <v>291</v>
      </c>
      <c r="E223" s="9" t="s">
        <v>113</v>
      </c>
      <c r="F223" s="9" t="str">
        <f t="array" ref="F223:G223">XLOOKUP($E223,product_epicenter!$A$2:$A$101,product_epicenter!$B$2:$C$101)</f>
        <v>Walnuts 500g </v>
      </c>
      <c r="G223" s="21">
        <v>700.0</v>
      </c>
      <c r="H223" s="9">
        <v>2.0</v>
      </c>
      <c r="I223" s="21">
        <f t="shared" si="2"/>
        <v>1400</v>
      </c>
    </row>
    <row r="224" ht="15.75" customHeight="1">
      <c r="A224" s="18">
        <f t="shared" si="3"/>
        <v>45801</v>
      </c>
      <c r="B224" s="19">
        <f t="shared" si="1"/>
        <v>45796</v>
      </c>
      <c r="C224" s="23" t="s">
        <v>292</v>
      </c>
      <c r="D224" s="5" t="s">
        <v>293</v>
      </c>
      <c r="E224" s="9" t="s">
        <v>169</v>
      </c>
      <c r="F224" s="9" t="str">
        <f t="array" ref="F224:G224">XLOOKUP($E224,product_epicenter!$A$2:$A$101,product_epicenter!$B$2:$C$101)</f>
        <v>Energy Drink 1 can </v>
      </c>
      <c r="G224" s="21">
        <v>100.0</v>
      </c>
      <c r="H224" s="9">
        <v>1.0</v>
      </c>
      <c r="I224" s="21">
        <f t="shared" si="2"/>
        <v>100</v>
      </c>
    </row>
    <row r="225" ht="15.75" customHeight="1">
      <c r="A225" s="18">
        <f t="shared" si="3"/>
        <v>45801</v>
      </c>
      <c r="B225" s="19">
        <f t="shared" si="1"/>
        <v>45796</v>
      </c>
      <c r="C225" s="23" t="s">
        <v>292</v>
      </c>
      <c r="D225" s="5" t="s">
        <v>293</v>
      </c>
      <c r="E225" s="9" t="s">
        <v>81</v>
      </c>
      <c r="F225" s="9" t="str">
        <f t="array" ref="F225:G225">XLOOKUP($E225,product_epicenter!$A$2:$A$101,product_epicenter!$B$2:$C$101)</f>
        <v>Cooking Oil 1 litre </v>
      </c>
      <c r="G225" s="21">
        <v>120.0</v>
      </c>
      <c r="H225" s="9">
        <v>1.0</v>
      </c>
      <c r="I225" s="21">
        <f t="shared" si="2"/>
        <v>120</v>
      </c>
    </row>
    <row r="226" ht="15.75" customHeight="1">
      <c r="A226" s="18">
        <f t="shared" si="3"/>
        <v>45801</v>
      </c>
      <c r="B226" s="19">
        <f t="shared" si="1"/>
        <v>45796</v>
      </c>
      <c r="C226" s="23" t="s">
        <v>292</v>
      </c>
      <c r="D226" s="5" t="s">
        <v>293</v>
      </c>
      <c r="E226" s="9" t="s">
        <v>105</v>
      </c>
      <c r="F226" s="9" t="str">
        <f t="array" ref="F226:G226">XLOOKUP($E226,product_epicenter!$A$2:$A$101,product_epicenter!$B$2:$C$101)</f>
        <v>Jam 500g </v>
      </c>
      <c r="G226" s="21">
        <v>150.0</v>
      </c>
      <c r="H226" s="9">
        <v>2.0</v>
      </c>
      <c r="I226" s="21">
        <f t="shared" si="2"/>
        <v>300</v>
      </c>
    </row>
    <row r="227" ht="15.75" customHeight="1">
      <c r="A227" s="18">
        <f t="shared" si="3"/>
        <v>45801</v>
      </c>
      <c r="B227" s="19">
        <f t="shared" si="1"/>
        <v>45796</v>
      </c>
      <c r="C227" s="23" t="s">
        <v>292</v>
      </c>
      <c r="D227" s="5" t="s">
        <v>293</v>
      </c>
      <c r="E227" s="9" t="s">
        <v>37</v>
      </c>
      <c r="F227" s="9" t="str">
        <f t="array" ref="F227:G227">XLOOKUP($E227,product_epicenter!$A$2:$A$101,product_epicenter!$B$2:$C$101)</f>
        <v>Apples 1kg </v>
      </c>
      <c r="G227" s="21">
        <v>200.0</v>
      </c>
      <c r="H227" s="9">
        <v>4.0</v>
      </c>
      <c r="I227" s="21">
        <f t="shared" si="2"/>
        <v>800</v>
      </c>
    </row>
    <row r="228" ht="15.75" customHeight="1">
      <c r="A228" s="18">
        <f t="shared" si="3"/>
        <v>45801</v>
      </c>
      <c r="B228" s="19">
        <f t="shared" si="1"/>
        <v>45796</v>
      </c>
      <c r="C228" s="23" t="s">
        <v>294</v>
      </c>
      <c r="D228" s="5" t="s">
        <v>295</v>
      </c>
      <c r="E228" s="9" t="s">
        <v>193</v>
      </c>
      <c r="F228" s="9" t="str">
        <f t="array" ref="F228:G228">XLOOKUP($E228,product_epicenter!$A$2:$A$101,product_epicenter!$B$2:$C$101)</f>
        <v>Lip Balm 1 tube </v>
      </c>
      <c r="G228" s="21">
        <v>100.0</v>
      </c>
      <c r="H228" s="9">
        <v>2.0</v>
      </c>
      <c r="I228" s="21">
        <f t="shared" si="2"/>
        <v>200</v>
      </c>
    </row>
    <row r="229" ht="15.75" customHeight="1">
      <c r="A229" s="18">
        <f t="shared" si="3"/>
        <v>45801</v>
      </c>
      <c r="B229" s="19">
        <f t="shared" si="1"/>
        <v>45796</v>
      </c>
      <c r="C229" s="23" t="s">
        <v>294</v>
      </c>
      <c r="D229" s="5" t="s">
        <v>295</v>
      </c>
      <c r="E229" s="9" t="s">
        <v>51</v>
      </c>
      <c r="F229" s="9" t="str">
        <f t="array" ref="F229:G229">XLOOKUP($E229,product_epicenter!$A$2:$A$101,product_epicenter!$B$2:$C$101)</f>
        <v>Garlic 250g </v>
      </c>
      <c r="G229" s="21">
        <v>50.0</v>
      </c>
      <c r="H229" s="9">
        <v>3.0</v>
      </c>
      <c r="I229" s="21">
        <f t="shared" si="2"/>
        <v>150</v>
      </c>
    </row>
    <row r="230" ht="15.75" customHeight="1">
      <c r="A230" s="18">
        <f t="shared" si="3"/>
        <v>45801</v>
      </c>
      <c r="B230" s="19">
        <f t="shared" si="1"/>
        <v>45796</v>
      </c>
      <c r="C230" s="23" t="s">
        <v>294</v>
      </c>
      <c r="D230" s="5" t="s">
        <v>295</v>
      </c>
      <c r="E230" s="9" t="s">
        <v>183</v>
      </c>
      <c r="F230" s="9" t="str">
        <f t="array" ref="F230:G230">XLOOKUP($E230,product_epicenter!$A$2:$A$101,product_epicenter!$B$2:$C$101)</f>
        <v>Body Lotion 500ml </v>
      </c>
      <c r="G230" s="21">
        <v>250.0</v>
      </c>
      <c r="H230" s="9">
        <v>1.0</v>
      </c>
      <c r="I230" s="21">
        <f t="shared" si="2"/>
        <v>250</v>
      </c>
    </row>
    <row r="231" ht="15.75" customHeight="1">
      <c r="A231" s="18">
        <f t="shared" si="3"/>
        <v>45801</v>
      </c>
      <c r="B231" s="19">
        <f t="shared" si="1"/>
        <v>45796</v>
      </c>
      <c r="C231" s="23" t="s">
        <v>294</v>
      </c>
      <c r="D231" s="5" t="s">
        <v>295</v>
      </c>
      <c r="E231" s="9" t="s">
        <v>15</v>
      </c>
      <c r="F231" s="9" t="str">
        <f t="array" ref="F231:G231">XLOOKUP($E231,product_epicenter!$A$2:$A$101,product_epicenter!$B$2:$C$101)</f>
        <v>Tea 250g </v>
      </c>
      <c r="G231" s="21">
        <v>155.0</v>
      </c>
      <c r="H231" s="9">
        <v>7.0</v>
      </c>
      <c r="I231" s="21">
        <f t="shared" si="2"/>
        <v>1085</v>
      </c>
    </row>
    <row r="232" ht="15.75" customHeight="1">
      <c r="A232" s="18">
        <f t="shared" si="3"/>
        <v>45801</v>
      </c>
      <c r="B232" s="19">
        <f t="shared" si="1"/>
        <v>45796</v>
      </c>
      <c r="C232" s="23" t="s">
        <v>294</v>
      </c>
      <c r="D232" s="5" t="s">
        <v>295</v>
      </c>
      <c r="E232" s="9" t="s">
        <v>41</v>
      </c>
      <c r="F232" s="9" t="str">
        <f t="array" ref="F232:G232">XLOOKUP($E232,product_epicenter!$A$2:$A$101,product_epicenter!$B$2:$C$101)</f>
        <v>Oranges 1kg </v>
      </c>
      <c r="G232" s="21">
        <v>100.0</v>
      </c>
      <c r="H232" s="9">
        <v>8.0</v>
      </c>
      <c r="I232" s="21">
        <f t="shared" si="2"/>
        <v>800</v>
      </c>
    </row>
    <row r="233" ht="15.75" customHeight="1">
      <c r="A233" s="18">
        <f t="shared" si="3"/>
        <v>45801</v>
      </c>
      <c r="B233" s="19">
        <f t="shared" si="1"/>
        <v>45796</v>
      </c>
      <c r="C233" s="23" t="s">
        <v>296</v>
      </c>
      <c r="D233" s="5" t="s">
        <v>297</v>
      </c>
      <c r="E233" s="9" t="s">
        <v>75</v>
      </c>
      <c r="F233" s="9" t="str">
        <f t="array" ref="F233:G233">XLOOKUP($E233,product_epicenter!$A$2:$A$101,product_epicenter!$B$2:$C$101)</f>
        <v>Toilet Cleaner 1 litre </v>
      </c>
      <c r="G233" s="21">
        <v>120.0</v>
      </c>
      <c r="H233" s="9">
        <v>3.0</v>
      </c>
      <c r="I233" s="21">
        <f t="shared" si="2"/>
        <v>360</v>
      </c>
    </row>
    <row r="234" ht="15.75" customHeight="1">
      <c r="A234" s="18">
        <f t="shared" si="3"/>
        <v>45801</v>
      </c>
      <c r="B234" s="19">
        <f t="shared" si="1"/>
        <v>45796</v>
      </c>
      <c r="C234" s="23" t="s">
        <v>296</v>
      </c>
      <c r="D234" s="5" t="s">
        <v>297</v>
      </c>
      <c r="E234" s="9" t="s">
        <v>83</v>
      </c>
      <c r="F234" s="9" t="str">
        <f t="array" ref="F234:G234">XLOOKUP($E234,product_epicenter!$A$2:$A$101,product_epicenter!$B$2:$C$101)</f>
        <v>Mustard Seeds 100g </v>
      </c>
      <c r="G234" s="21">
        <v>30.0</v>
      </c>
      <c r="H234" s="9">
        <v>7.0</v>
      </c>
      <c r="I234" s="21">
        <f t="shared" si="2"/>
        <v>210</v>
      </c>
    </row>
    <row r="235" ht="15.75" customHeight="1">
      <c r="A235" s="18">
        <f t="shared" si="3"/>
        <v>45801</v>
      </c>
      <c r="B235" s="19">
        <f t="shared" si="1"/>
        <v>45796</v>
      </c>
      <c r="C235" s="23" t="s">
        <v>296</v>
      </c>
      <c r="D235" s="5" t="s">
        <v>297</v>
      </c>
      <c r="E235" s="9" t="s">
        <v>41</v>
      </c>
      <c r="F235" s="9" t="str">
        <f t="array" ref="F235:G235">XLOOKUP($E235,product_epicenter!$A$2:$A$101,product_epicenter!$B$2:$C$101)</f>
        <v>Oranges 1kg </v>
      </c>
      <c r="G235" s="21">
        <v>100.0</v>
      </c>
      <c r="H235" s="9">
        <v>4.0</v>
      </c>
      <c r="I235" s="21">
        <f t="shared" si="2"/>
        <v>400</v>
      </c>
    </row>
    <row r="236" ht="15.75" customHeight="1">
      <c r="A236" s="18">
        <f t="shared" si="3"/>
        <v>45801</v>
      </c>
      <c r="B236" s="19">
        <f t="shared" si="1"/>
        <v>45796</v>
      </c>
      <c r="C236" s="23" t="s">
        <v>298</v>
      </c>
      <c r="D236" s="5" t="s">
        <v>299</v>
      </c>
      <c r="E236" s="9" t="s">
        <v>121</v>
      </c>
      <c r="F236" s="9" t="str">
        <f t="array" ref="F236:G236">XLOOKUP($E236,product_epicenter!$A$2:$A$101,product_epicenter!$B$2:$C$101)</f>
        <v>Lemon 1kg </v>
      </c>
      <c r="G236" s="21">
        <v>80.0</v>
      </c>
      <c r="H236" s="9">
        <v>9.0</v>
      </c>
      <c r="I236" s="21">
        <f t="shared" si="2"/>
        <v>720</v>
      </c>
    </row>
    <row r="237" ht="15.75" customHeight="1">
      <c r="A237" s="18">
        <f t="shared" si="3"/>
        <v>45801</v>
      </c>
      <c r="B237" s="19">
        <f t="shared" si="1"/>
        <v>45796</v>
      </c>
      <c r="C237" s="23" t="s">
        <v>298</v>
      </c>
      <c r="D237" s="5" t="s">
        <v>299</v>
      </c>
      <c r="E237" s="9" t="s">
        <v>179</v>
      </c>
      <c r="F237" s="9" t="str">
        <f t="array" ref="F237:G237">XLOOKUP($E237,product_epicenter!$A$2:$A$101,product_epicenter!$B$2:$C$101)</f>
        <v>Sports Drink 1 litre </v>
      </c>
      <c r="G237" s="21">
        <v>200.0</v>
      </c>
      <c r="H237" s="9">
        <v>8.0</v>
      </c>
      <c r="I237" s="21">
        <f t="shared" si="2"/>
        <v>1600</v>
      </c>
    </row>
    <row r="238" ht="15.75" customHeight="1">
      <c r="A238" s="18">
        <f t="shared" si="3"/>
        <v>45801</v>
      </c>
      <c r="B238" s="19">
        <f t="shared" si="1"/>
        <v>45796</v>
      </c>
      <c r="C238" s="23" t="s">
        <v>298</v>
      </c>
      <c r="D238" s="5" t="s">
        <v>299</v>
      </c>
      <c r="E238" s="9" t="s">
        <v>103</v>
      </c>
      <c r="F238" s="9" t="str">
        <f t="array" ref="F238:G238">XLOOKUP($E238,product_epicenter!$A$2:$A$101,product_epicenter!$B$2:$C$101)</f>
        <v>Honey 500g </v>
      </c>
      <c r="G238" s="21">
        <v>300.0</v>
      </c>
      <c r="H238" s="9">
        <v>8.0</v>
      </c>
      <c r="I238" s="21">
        <f t="shared" si="2"/>
        <v>2400</v>
      </c>
    </row>
    <row r="239" ht="15.75" customHeight="1">
      <c r="A239" s="18">
        <f t="shared" si="3"/>
        <v>45801</v>
      </c>
      <c r="B239" s="19">
        <f t="shared" si="1"/>
        <v>45796</v>
      </c>
      <c r="C239" s="23" t="s">
        <v>298</v>
      </c>
      <c r="D239" s="5" t="s">
        <v>299</v>
      </c>
      <c r="E239" s="9" t="s">
        <v>111</v>
      </c>
      <c r="F239" s="9" t="str">
        <f t="array" ref="F239:G239">XLOOKUP($E239,product_epicenter!$A$2:$A$101,product_epicenter!$B$2:$C$101)</f>
        <v>Almonds 500g </v>
      </c>
      <c r="G239" s="21">
        <v>500.0</v>
      </c>
      <c r="H239" s="9">
        <v>1.0</v>
      </c>
      <c r="I239" s="21">
        <f t="shared" si="2"/>
        <v>500</v>
      </c>
    </row>
    <row r="240" ht="15.75" customHeight="1">
      <c r="A240" s="18">
        <f t="shared" si="3"/>
        <v>45801</v>
      </c>
      <c r="B240" s="19">
        <f t="shared" si="1"/>
        <v>45796</v>
      </c>
      <c r="C240" s="23" t="s">
        <v>298</v>
      </c>
      <c r="D240" s="5" t="s">
        <v>299</v>
      </c>
      <c r="E240" s="9" t="s">
        <v>121</v>
      </c>
      <c r="F240" s="9" t="str">
        <f t="array" ref="F240:G240">XLOOKUP($E240,product_epicenter!$A$2:$A$101,product_epicenter!$B$2:$C$101)</f>
        <v>Lemon 1kg </v>
      </c>
      <c r="G240" s="21">
        <v>80.0</v>
      </c>
      <c r="H240" s="9">
        <v>9.0</v>
      </c>
      <c r="I240" s="21">
        <f t="shared" si="2"/>
        <v>720</v>
      </c>
    </row>
    <row r="241" ht="15.75" customHeight="1">
      <c r="A241" s="18">
        <f t="shared" si="3"/>
        <v>45801</v>
      </c>
      <c r="B241" s="19">
        <f t="shared" si="1"/>
        <v>45796</v>
      </c>
      <c r="C241" s="23" t="s">
        <v>300</v>
      </c>
      <c r="D241" s="5" t="s">
        <v>301</v>
      </c>
      <c r="E241" s="9" t="s">
        <v>157</v>
      </c>
      <c r="F241" s="9" t="str">
        <f t="array" ref="F241:G241">XLOOKUP($E241,product_epicenter!$A$2:$A$101,product_epicenter!$B$2:$C$101)</f>
        <v>Butter Paper 1 roll </v>
      </c>
      <c r="G241" s="21">
        <v>100.0</v>
      </c>
      <c r="H241" s="9">
        <v>3.0</v>
      </c>
      <c r="I241" s="21">
        <f t="shared" si="2"/>
        <v>300</v>
      </c>
    </row>
    <row r="242" ht="15.75" customHeight="1">
      <c r="A242" s="18">
        <f t="shared" si="3"/>
        <v>45801</v>
      </c>
      <c r="B242" s="19">
        <f t="shared" si="1"/>
        <v>45796</v>
      </c>
      <c r="C242" s="23" t="s">
        <v>300</v>
      </c>
      <c r="D242" s="5" t="s">
        <v>301</v>
      </c>
      <c r="E242" s="9" t="s">
        <v>11</v>
      </c>
      <c r="F242" s="9" t="str">
        <f t="array" ref="F242:G242">XLOOKUP($E242,product_epicenter!$A$2:$A$101,product_epicenter!$B$2:$C$101)</f>
        <v>Turmeric 100g </v>
      </c>
      <c r="G242" s="21">
        <v>200.0</v>
      </c>
      <c r="H242" s="9">
        <v>6.0</v>
      </c>
      <c r="I242" s="21">
        <f t="shared" si="2"/>
        <v>1200</v>
      </c>
    </row>
    <row r="243" ht="15.75" customHeight="1">
      <c r="A243" s="18">
        <f t="shared" si="3"/>
        <v>45801</v>
      </c>
      <c r="B243" s="19">
        <f t="shared" si="1"/>
        <v>45796</v>
      </c>
      <c r="C243" s="23" t="s">
        <v>300</v>
      </c>
      <c r="D243" s="5" t="s">
        <v>301</v>
      </c>
      <c r="E243" s="9" t="s">
        <v>143</v>
      </c>
      <c r="F243" s="9" t="str">
        <f t="array" ref="F243:G243">XLOOKUP($E243,product_epicenter!$A$2:$A$101,product_epicenter!$B$2:$C$101)</f>
        <v>Brown Rice 1kg </v>
      </c>
      <c r="G243" s="21">
        <v>100.0</v>
      </c>
      <c r="H243" s="9">
        <v>1.0</v>
      </c>
      <c r="I243" s="21">
        <f t="shared" si="2"/>
        <v>100</v>
      </c>
    </row>
    <row r="244" ht="15.75" customHeight="1">
      <c r="A244" s="18">
        <f t="shared" si="3"/>
        <v>45801</v>
      </c>
      <c r="B244" s="19">
        <f t="shared" si="1"/>
        <v>45796</v>
      </c>
      <c r="C244" s="23" t="s">
        <v>300</v>
      </c>
      <c r="D244" s="5" t="s">
        <v>301</v>
      </c>
      <c r="E244" s="9" t="s">
        <v>27</v>
      </c>
      <c r="F244" s="9" t="str">
        <f t="array" ref="F244:G244">XLOOKUP($E244,product_epicenter!$A$2:$A$101,product_epicenter!$B$2:$C$101)</f>
        <v>Butter 500g </v>
      </c>
      <c r="G244" s="21">
        <v>250.0</v>
      </c>
      <c r="H244" s="9">
        <v>8.0</v>
      </c>
      <c r="I244" s="21">
        <f t="shared" si="2"/>
        <v>2000</v>
      </c>
    </row>
    <row r="245" ht="15.75" customHeight="1">
      <c r="A245" s="18">
        <f t="shared" si="3"/>
        <v>45801</v>
      </c>
      <c r="B245" s="19">
        <f t="shared" si="1"/>
        <v>45796</v>
      </c>
      <c r="C245" s="23" t="s">
        <v>300</v>
      </c>
      <c r="D245" s="5" t="s">
        <v>301</v>
      </c>
      <c r="E245" s="9" t="s">
        <v>107</v>
      </c>
      <c r="F245" s="9" t="str">
        <f t="array" ref="F245:G245">XLOOKUP($E245,product_epicenter!$A$2:$A$101,product_epicenter!$B$2:$C$101)</f>
        <v>Peanut Butter 500g </v>
      </c>
      <c r="G245" s="21">
        <v>250.0</v>
      </c>
      <c r="H245" s="9">
        <v>4.0</v>
      </c>
      <c r="I245" s="21">
        <f t="shared" si="2"/>
        <v>1000</v>
      </c>
    </row>
    <row r="246" ht="15.75" customHeight="1">
      <c r="A246" s="18">
        <f t="shared" si="3"/>
        <v>45801</v>
      </c>
      <c r="B246" s="19">
        <f t="shared" si="1"/>
        <v>45796</v>
      </c>
      <c r="C246" s="23" t="s">
        <v>302</v>
      </c>
      <c r="D246" s="5" t="s">
        <v>303</v>
      </c>
      <c r="E246" s="9" t="s">
        <v>39</v>
      </c>
      <c r="F246" s="9" t="str">
        <f t="array" ref="F246:G246">XLOOKUP($E246,product_epicenter!$A$2:$A$101,product_epicenter!$B$2:$C$101)</f>
        <v>Bananas 1 dozen </v>
      </c>
      <c r="G246" s="21">
        <v>60.0</v>
      </c>
      <c r="H246" s="9">
        <v>3.0</v>
      </c>
      <c r="I246" s="21">
        <f t="shared" si="2"/>
        <v>180</v>
      </c>
    </row>
    <row r="247" ht="15.75" customHeight="1">
      <c r="A247" s="18">
        <f t="shared" si="3"/>
        <v>45801</v>
      </c>
      <c r="B247" s="19">
        <f t="shared" si="1"/>
        <v>45796</v>
      </c>
      <c r="C247" s="23" t="s">
        <v>302</v>
      </c>
      <c r="D247" s="5" t="s">
        <v>303</v>
      </c>
      <c r="E247" s="9" t="s">
        <v>61</v>
      </c>
      <c r="F247" s="9" t="str">
        <f t="array" ref="F247:G247">XLOOKUP($E247,product_epicenter!$A$2:$A$101,product_epicenter!$B$2:$C$101)</f>
        <v>Ice Cream 1 litre </v>
      </c>
      <c r="G247" s="21">
        <v>300.0</v>
      </c>
      <c r="H247" s="9">
        <v>7.0</v>
      </c>
      <c r="I247" s="21">
        <f t="shared" si="2"/>
        <v>2100</v>
      </c>
    </row>
    <row r="248" ht="15.75" customHeight="1">
      <c r="A248" s="18">
        <f t="shared" si="3"/>
        <v>45801</v>
      </c>
      <c r="B248" s="19">
        <f t="shared" si="1"/>
        <v>45796</v>
      </c>
      <c r="C248" s="23" t="s">
        <v>302</v>
      </c>
      <c r="D248" s="5" t="s">
        <v>303</v>
      </c>
      <c r="E248" s="9" t="s">
        <v>201</v>
      </c>
      <c r="F248" s="9" t="str">
        <f t="array" ref="F248:G248">XLOOKUP($E248,product_epicenter!$A$2:$A$101,product_epicenter!$B$2:$C$101)</f>
        <v>Cooking Vinegar 500ml </v>
      </c>
      <c r="G248" s="21">
        <v>90.0</v>
      </c>
      <c r="H248" s="9">
        <v>4.0</v>
      </c>
      <c r="I248" s="21">
        <f t="shared" si="2"/>
        <v>360</v>
      </c>
    </row>
    <row r="249" ht="15.75" customHeight="1">
      <c r="A249" s="18">
        <f t="shared" si="3"/>
        <v>45801</v>
      </c>
      <c r="B249" s="19">
        <f t="shared" si="1"/>
        <v>45796</v>
      </c>
      <c r="C249" s="23" t="s">
        <v>304</v>
      </c>
      <c r="D249" s="5" t="s">
        <v>305</v>
      </c>
      <c r="E249" s="9" t="s">
        <v>27</v>
      </c>
      <c r="F249" s="9" t="str">
        <f t="array" ref="F249:G249">XLOOKUP($E249,product_epicenter!$A$2:$A$101,product_epicenter!$B$2:$C$101)</f>
        <v>Butter 500g </v>
      </c>
      <c r="G249" s="21">
        <v>250.0</v>
      </c>
      <c r="H249" s="9">
        <v>9.0</v>
      </c>
      <c r="I249" s="21">
        <f t="shared" si="2"/>
        <v>2250</v>
      </c>
    </row>
    <row r="250" ht="15.75" customHeight="1">
      <c r="A250" s="18">
        <f t="shared" si="3"/>
        <v>45801</v>
      </c>
      <c r="B250" s="19">
        <f t="shared" si="1"/>
        <v>45796</v>
      </c>
      <c r="C250" s="23" t="s">
        <v>304</v>
      </c>
      <c r="D250" s="5" t="s">
        <v>305</v>
      </c>
      <c r="E250" s="9" t="s">
        <v>45</v>
      </c>
      <c r="F250" s="9" t="str">
        <f t="array" ref="F250:G250">XLOOKUP($E250,product_epicenter!$A$2:$A$101,product_epicenter!$B$2:$C$101)</f>
        <v>Onions 1kg </v>
      </c>
      <c r="G250" s="21">
        <v>40.0</v>
      </c>
      <c r="H250" s="9">
        <v>5.0</v>
      </c>
      <c r="I250" s="21">
        <f t="shared" si="2"/>
        <v>200</v>
      </c>
    </row>
    <row r="251" ht="15.75" customHeight="1">
      <c r="A251" s="18">
        <f t="shared" si="3"/>
        <v>45801</v>
      </c>
      <c r="B251" s="19">
        <f t="shared" si="1"/>
        <v>45796</v>
      </c>
      <c r="C251" s="23" t="s">
        <v>304</v>
      </c>
      <c r="D251" s="5" t="s">
        <v>305</v>
      </c>
      <c r="E251" s="9" t="s">
        <v>67</v>
      </c>
      <c r="F251" s="9" t="str">
        <f t="array" ref="F251:G251">XLOOKUP($E251,product_epicenter!$A$2:$A$101,product_epicenter!$B$2:$C$101)</f>
        <v>Toothpaste 1 tube </v>
      </c>
      <c r="G251" s="21">
        <v>80.0</v>
      </c>
      <c r="H251" s="9">
        <v>9.0</v>
      </c>
      <c r="I251" s="21">
        <f t="shared" si="2"/>
        <v>720</v>
      </c>
    </row>
    <row r="252" ht="15.75" customHeight="1">
      <c r="A252" s="18">
        <f t="shared" si="3"/>
        <v>45801</v>
      </c>
      <c r="B252" s="19">
        <f t="shared" si="1"/>
        <v>45796</v>
      </c>
      <c r="C252" s="23" t="s">
        <v>304</v>
      </c>
      <c r="D252" s="5" t="s">
        <v>305</v>
      </c>
      <c r="E252" s="9" t="s">
        <v>69</v>
      </c>
      <c r="F252" s="9" t="str">
        <f t="array" ref="F252:G252">XLOOKUP($E252,product_epicenter!$A$2:$A$101,product_epicenter!$B$2:$C$101)</f>
        <v>Detergent Powder 1kg </v>
      </c>
      <c r="G252" s="21">
        <v>150.0</v>
      </c>
      <c r="H252" s="9">
        <v>1.0</v>
      </c>
      <c r="I252" s="21">
        <f t="shared" si="2"/>
        <v>150</v>
      </c>
    </row>
    <row r="253" ht="15.75" customHeight="1">
      <c r="A253" s="18">
        <f t="shared" si="3"/>
        <v>45801</v>
      </c>
      <c r="B253" s="19">
        <f t="shared" si="1"/>
        <v>45796</v>
      </c>
      <c r="C253" s="23" t="s">
        <v>306</v>
      </c>
      <c r="D253" s="5" t="s">
        <v>307</v>
      </c>
      <c r="E253" s="9" t="s">
        <v>81</v>
      </c>
      <c r="F253" s="9" t="str">
        <f t="array" ref="F253:G253">XLOOKUP($E253,product_epicenter!$A$2:$A$101,product_epicenter!$B$2:$C$101)</f>
        <v>Cooking Oil 1 litre </v>
      </c>
      <c r="G253" s="21">
        <v>120.0</v>
      </c>
      <c r="H253" s="9">
        <v>7.0</v>
      </c>
      <c r="I253" s="21">
        <f t="shared" si="2"/>
        <v>840</v>
      </c>
    </row>
    <row r="254" ht="15.75" customHeight="1">
      <c r="A254" s="18">
        <f t="shared" si="3"/>
        <v>45801</v>
      </c>
      <c r="B254" s="19">
        <f t="shared" si="1"/>
        <v>45796</v>
      </c>
      <c r="C254" s="23" t="s">
        <v>306</v>
      </c>
      <c r="D254" s="5" t="s">
        <v>307</v>
      </c>
      <c r="E254" s="9" t="s">
        <v>135</v>
      </c>
      <c r="F254" s="9" t="str">
        <f t="array" ref="F254:G254">XLOOKUP($E254,product_epicenter!$A$2:$A$101,product_epicenter!$B$2:$C$101)</f>
        <v>Ice Cubes 1 pack </v>
      </c>
      <c r="G254" s="21">
        <v>50.0</v>
      </c>
      <c r="H254" s="9">
        <v>1.0</v>
      </c>
      <c r="I254" s="21">
        <f t="shared" si="2"/>
        <v>50</v>
      </c>
    </row>
    <row r="255" ht="15.75" customHeight="1">
      <c r="A255" s="18">
        <f t="shared" si="3"/>
        <v>45801</v>
      </c>
      <c r="B255" s="19">
        <f t="shared" si="1"/>
        <v>45796</v>
      </c>
      <c r="C255" s="23" t="s">
        <v>306</v>
      </c>
      <c r="D255" s="5" t="s">
        <v>307</v>
      </c>
      <c r="E255" s="9" t="s">
        <v>81</v>
      </c>
      <c r="F255" s="9" t="str">
        <f t="array" ref="F255:G255">XLOOKUP($E255,product_epicenter!$A$2:$A$101,product_epicenter!$B$2:$C$101)</f>
        <v>Cooking Oil 1 litre </v>
      </c>
      <c r="G255" s="21">
        <v>120.0</v>
      </c>
      <c r="H255" s="9">
        <v>9.0</v>
      </c>
      <c r="I255" s="21">
        <f t="shared" si="2"/>
        <v>1080</v>
      </c>
    </row>
    <row r="256" ht="15.75" customHeight="1">
      <c r="A256" s="18">
        <f t="shared" si="3"/>
        <v>45801</v>
      </c>
      <c r="B256" s="19">
        <f t="shared" si="1"/>
        <v>45796</v>
      </c>
      <c r="C256" s="23" t="s">
        <v>308</v>
      </c>
      <c r="D256" s="5" t="s">
        <v>309</v>
      </c>
      <c r="E256" s="9" t="s">
        <v>107</v>
      </c>
      <c r="F256" s="9" t="str">
        <f t="array" ref="F256:G256">XLOOKUP($E256,product_epicenter!$A$2:$A$101,product_epicenter!$B$2:$C$101)</f>
        <v>Peanut Butter 500g </v>
      </c>
      <c r="G256" s="21">
        <v>250.0</v>
      </c>
      <c r="H256" s="9">
        <v>8.0</v>
      </c>
      <c r="I256" s="21">
        <f t="shared" si="2"/>
        <v>2000</v>
      </c>
    </row>
    <row r="257" ht="15.75" customHeight="1">
      <c r="A257" s="18">
        <f t="shared" si="3"/>
        <v>45801</v>
      </c>
      <c r="B257" s="19">
        <f t="shared" si="1"/>
        <v>45796</v>
      </c>
      <c r="C257" s="23" t="s">
        <v>308</v>
      </c>
      <c r="D257" s="5" t="s">
        <v>309</v>
      </c>
      <c r="E257" s="9" t="s">
        <v>187</v>
      </c>
      <c r="F257" s="9" t="str">
        <f t="array" ref="F257:G257">XLOOKUP($E257,product_epicenter!$A$2:$A$101,product_epicenter!$B$2:$C$101)</f>
        <v>Shaving Cream 100g </v>
      </c>
      <c r="G257" s="21">
        <v>150.0</v>
      </c>
      <c r="H257" s="9">
        <v>2.0</v>
      </c>
      <c r="I257" s="21">
        <f t="shared" si="2"/>
        <v>300</v>
      </c>
    </row>
    <row r="258" ht="15.75" customHeight="1">
      <c r="A258" s="18">
        <f t="shared" si="3"/>
        <v>45801</v>
      </c>
      <c r="B258" s="19">
        <f t="shared" si="1"/>
        <v>45796</v>
      </c>
      <c r="C258" s="23" t="s">
        <v>308</v>
      </c>
      <c r="D258" s="5" t="s">
        <v>309</v>
      </c>
      <c r="E258" s="9" t="s">
        <v>87</v>
      </c>
      <c r="F258" s="9" t="str">
        <f t="array" ref="F258:G258">XLOOKUP($E258,product_epicenter!$A$2:$A$101,product_epicenter!$B$2:$C$101)</f>
        <v>Coriander Powder 100g </v>
      </c>
      <c r="G258" s="21">
        <v>50.0</v>
      </c>
      <c r="H258" s="9">
        <v>3.0</v>
      </c>
      <c r="I258" s="21">
        <f t="shared" si="2"/>
        <v>150</v>
      </c>
    </row>
    <row r="259" ht="15.75" customHeight="1">
      <c r="A259" s="18">
        <f t="shared" si="3"/>
        <v>45801</v>
      </c>
      <c r="B259" s="19">
        <f t="shared" si="1"/>
        <v>45796</v>
      </c>
      <c r="C259" s="23" t="s">
        <v>308</v>
      </c>
      <c r="D259" s="5" t="s">
        <v>309</v>
      </c>
      <c r="E259" s="9" t="s">
        <v>199</v>
      </c>
      <c r="F259" s="9" t="str">
        <f t="array" ref="F259:G259">XLOOKUP($E259,product_epicenter!$A$2:$A$101,product_epicenter!$B$2:$C$101)</f>
        <v>Face Mask 1 pack </v>
      </c>
      <c r="G259" s="21">
        <v>150.0</v>
      </c>
      <c r="H259" s="9">
        <v>2.0</v>
      </c>
      <c r="I259" s="21">
        <f t="shared" si="2"/>
        <v>300</v>
      </c>
    </row>
    <row r="260" ht="15.75" customHeight="1">
      <c r="A260" s="18">
        <f t="shared" si="3"/>
        <v>45801</v>
      </c>
      <c r="B260" s="19">
        <f t="shared" si="1"/>
        <v>45796</v>
      </c>
      <c r="C260" s="23" t="s">
        <v>310</v>
      </c>
      <c r="D260" s="5" t="s">
        <v>311</v>
      </c>
      <c r="E260" s="9" t="s">
        <v>131</v>
      </c>
      <c r="F260" s="9" t="str">
        <f t="array" ref="F260:G260">XLOOKUP($E260,product_epicenter!$A$2:$A$101,product_epicenter!$B$2:$C$101)</f>
        <v>Yogurt 500g </v>
      </c>
      <c r="G260" s="21">
        <v>80.0</v>
      </c>
      <c r="H260" s="9">
        <v>1.0</v>
      </c>
      <c r="I260" s="21">
        <f t="shared" si="2"/>
        <v>80</v>
      </c>
    </row>
    <row r="261" ht="15.75" customHeight="1">
      <c r="A261" s="18">
        <f t="shared" si="3"/>
        <v>45801</v>
      </c>
      <c r="B261" s="19">
        <f t="shared" si="1"/>
        <v>45796</v>
      </c>
      <c r="C261" s="23" t="s">
        <v>310</v>
      </c>
      <c r="D261" s="5" t="s">
        <v>311</v>
      </c>
      <c r="E261" s="9" t="s">
        <v>75</v>
      </c>
      <c r="F261" s="9" t="str">
        <f t="array" ref="F261:G261">XLOOKUP($E261,product_epicenter!$A$2:$A$101,product_epicenter!$B$2:$C$101)</f>
        <v>Toilet Cleaner 1 litre </v>
      </c>
      <c r="G261" s="21">
        <v>120.0</v>
      </c>
      <c r="H261" s="9">
        <v>3.0</v>
      </c>
      <c r="I261" s="21">
        <f t="shared" si="2"/>
        <v>360</v>
      </c>
    </row>
    <row r="262" ht="15.75" customHeight="1">
      <c r="A262" s="18">
        <f t="shared" si="3"/>
        <v>45801</v>
      </c>
      <c r="B262" s="19">
        <f t="shared" si="1"/>
        <v>45796</v>
      </c>
      <c r="C262" s="23" t="s">
        <v>310</v>
      </c>
      <c r="D262" s="5" t="s">
        <v>311</v>
      </c>
      <c r="E262" s="9" t="s">
        <v>101</v>
      </c>
      <c r="F262" s="9" t="str">
        <f t="array" ref="F262:G262">XLOOKUP($E262,product_epicenter!$A$2:$A$101,product_epicenter!$B$2:$C$101)</f>
        <v>Cornflakes 500g </v>
      </c>
      <c r="G262" s="21">
        <v>200.0</v>
      </c>
      <c r="H262" s="9">
        <v>3.0</v>
      </c>
      <c r="I262" s="21">
        <f t="shared" si="2"/>
        <v>600</v>
      </c>
    </row>
    <row r="263" ht="15.75" customHeight="1">
      <c r="A263" s="18">
        <f t="shared" si="3"/>
        <v>45801</v>
      </c>
      <c r="B263" s="19">
        <f t="shared" si="1"/>
        <v>45796</v>
      </c>
      <c r="C263" s="23" t="s">
        <v>312</v>
      </c>
      <c r="D263" s="5" t="s">
        <v>313</v>
      </c>
      <c r="E263" s="9" t="s">
        <v>119</v>
      </c>
      <c r="F263" s="9" t="str">
        <f t="array" ref="F263:G263">XLOOKUP($E263,product_epicenter!$A$2:$A$101,product_epicenter!$B$2:$C$101)</f>
        <v>Black Tea 250g </v>
      </c>
      <c r="G263" s="21">
        <v>300.0</v>
      </c>
      <c r="H263" s="9">
        <v>3.0</v>
      </c>
      <c r="I263" s="21">
        <f t="shared" si="2"/>
        <v>900</v>
      </c>
    </row>
    <row r="264" ht="15.75" customHeight="1">
      <c r="A264" s="18">
        <f t="shared" si="3"/>
        <v>45801</v>
      </c>
      <c r="B264" s="19">
        <f t="shared" si="1"/>
        <v>45796</v>
      </c>
      <c r="C264" s="23" t="s">
        <v>312</v>
      </c>
      <c r="D264" s="5" t="s">
        <v>313</v>
      </c>
      <c r="E264" s="9" t="s">
        <v>195</v>
      </c>
      <c r="F264" s="9" t="str">
        <f t="array" ref="F264:G264">XLOOKUP($E264,product_epicenter!$A$2:$A$101,product_epicenter!$B$2:$C$101)</f>
        <v>Face Wash 250ml </v>
      </c>
      <c r="G264" s="21">
        <v>200.0</v>
      </c>
      <c r="H264" s="9">
        <v>7.0</v>
      </c>
      <c r="I264" s="21">
        <f t="shared" si="2"/>
        <v>1400</v>
      </c>
    </row>
    <row r="265" ht="15.75" customHeight="1">
      <c r="A265" s="18">
        <f t="shared" si="3"/>
        <v>45801</v>
      </c>
      <c r="B265" s="19">
        <f t="shared" si="1"/>
        <v>45796</v>
      </c>
      <c r="C265" s="23" t="s">
        <v>312</v>
      </c>
      <c r="D265" s="5" t="s">
        <v>313</v>
      </c>
      <c r="E265" s="9" t="s">
        <v>55</v>
      </c>
      <c r="F265" s="9" t="str">
        <f t="array" ref="F265:G265">XLOOKUP($E265,product_epicenter!$A$2:$A$101,product_epicenter!$B$2:$C$101)</f>
        <v>Biscuits 1 pack </v>
      </c>
      <c r="G265" s="21">
        <v>30.0</v>
      </c>
      <c r="H265" s="9">
        <v>4.0</v>
      </c>
      <c r="I265" s="21">
        <f t="shared" si="2"/>
        <v>120</v>
      </c>
    </row>
    <row r="266" ht="15.75" customHeight="1">
      <c r="A266" s="18">
        <f t="shared" si="3"/>
        <v>45801</v>
      </c>
      <c r="B266" s="19">
        <f t="shared" si="1"/>
        <v>45796</v>
      </c>
      <c r="C266" s="23" t="s">
        <v>314</v>
      </c>
      <c r="D266" s="5" t="s">
        <v>315</v>
      </c>
      <c r="E266" s="9" t="s">
        <v>157</v>
      </c>
      <c r="F266" s="9" t="str">
        <f t="array" ref="F266:G266">XLOOKUP($E266,product_epicenter!$A$2:$A$101,product_epicenter!$B$2:$C$101)</f>
        <v>Butter Paper 1 roll </v>
      </c>
      <c r="G266" s="21">
        <v>100.0</v>
      </c>
      <c r="H266" s="9">
        <v>5.0</v>
      </c>
      <c r="I266" s="21">
        <f t="shared" si="2"/>
        <v>500</v>
      </c>
    </row>
    <row r="267" ht="15.75" customHeight="1">
      <c r="A267" s="18">
        <f t="shared" si="3"/>
        <v>45801</v>
      </c>
      <c r="B267" s="19">
        <f t="shared" si="1"/>
        <v>45796</v>
      </c>
      <c r="C267" s="23" t="s">
        <v>314</v>
      </c>
      <c r="D267" s="5" t="s">
        <v>315</v>
      </c>
      <c r="E267" s="9" t="s">
        <v>155</v>
      </c>
      <c r="F267" s="9" t="str">
        <f t="array" ref="F267:G267">XLOOKUP($E267,product_epicenter!$A$2:$A$101,product_epicenter!$B$2:$C$101)</f>
        <v>Whipped Cream 500ml </v>
      </c>
      <c r="G267" s="21">
        <v>250.0</v>
      </c>
      <c r="H267" s="9">
        <v>4.0</v>
      </c>
      <c r="I267" s="21">
        <f t="shared" si="2"/>
        <v>1000</v>
      </c>
    </row>
    <row r="268" ht="15.75" customHeight="1">
      <c r="A268" s="18">
        <f t="shared" si="3"/>
        <v>45801</v>
      </c>
      <c r="B268" s="19">
        <f t="shared" si="1"/>
        <v>45796</v>
      </c>
      <c r="C268" s="23" t="s">
        <v>314</v>
      </c>
      <c r="D268" s="5" t="s">
        <v>315</v>
      </c>
      <c r="E268" s="9" t="s">
        <v>155</v>
      </c>
      <c r="F268" s="9" t="str">
        <f t="array" ref="F268:G268">XLOOKUP($E268,product_epicenter!$A$2:$A$101,product_epicenter!$B$2:$C$101)</f>
        <v>Whipped Cream 500ml </v>
      </c>
      <c r="G268" s="21">
        <v>250.0</v>
      </c>
      <c r="H268" s="9">
        <v>8.0</v>
      </c>
      <c r="I268" s="21">
        <f t="shared" si="2"/>
        <v>2000</v>
      </c>
    </row>
    <row r="269" ht="15.75" customHeight="1">
      <c r="A269" s="18">
        <f t="shared" si="3"/>
        <v>45801</v>
      </c>
      <c r="B269" s="19">
        <f t="shared" si="1"/>
        <v>45796</v>
      </c>
      <c r="C269" s="23" t="s">
        <v>314</v>
      </c>
      <c r="D269" s="5" t="s">
        <v>315</v>
      </c>
      <c r="E269" s="9" t="s">
        <v>199</v>
      </c>
      <c r="F269" s="9" t="str">
        <f t="array" ref="F269:G269">XLOOKUP($E269,product_epicenter!$A$2:$A$101,product_epicenter!$B$2:$C$101)</f>
        <v>Face Mask 1 pack </v>
      </c>
      <c r="G269" s="21">
        <v>150.0</v>
      </c>
      <c r="H269" s="9">
        <v>7.0</v>
      </c>
      <c r="I269" s="21">
        <f t="shared" si="2"/>
        <v>1050</v>
      </c>
    </row>
    <row r="270" ht="15.75" customHeight="1">
      <c r="A270" s="18">
        <f t="shared" si="3"/>
        <v>45801</v>
      </c>
      <c r="B270" s="19">
        <f t="shared" si="1"/>
        <v>45796</v>
      </c>
      <c r="C270" s="23" t="s">
        <v>316</v>
      </c>
      <c r="D270" s="5" t="s">
        <v>317</v>
      </c>
      <c r="E270" s="9" t="s">
        <v>173</v>
      </c>
      <c r="F270" s="9" t="str">
        <f t="array" ref="F270:G270">XLOOKUP($E270,product_epicenter!$A$2:$A$101,product_epicenter!$B$2:$C$101)</f>
        <v>Coconut Water 1 litre </v>
      </c>
      <c r="G270" s="21">
        <v>80.0</v>
      </c>
      <c r="H270" s="9">
        <v>6.0</v>
      </c>
      <c r="I270" s="21">
        <f t="shared" si="2"/>
        <v>480</v>
      </c>
    </row>
    <row r="271" ht="15.75" customHeight="1">
      <c r="A271" s="18">
        <f t="shared" si="3"/>
        <v>45801</v>
      </c>
      <c r="B271" s="19">
        <f t="shared" si="1"/>
        <v>45796</v>
      </c>
      <c r="C271" s="23" t="s">
        <v>316</v>
      </c>
      <c r="D271" s="5" t="s">
        <v>317</v>
      </c>
      <c r="E271" s="9" t="s">
        <v>161</v>
      </c>
      <c r="F271" s="9" t="str">
        <f t="array" ref="F271:G271">XLOOKUP($E271,product_epicenter!$A$2:$A$101,product_epicenter!$B$2:$C$101)</f>
        <v>Aluminium Foil 1 roll </v>
      </c>
      <c r="G271" s="21">
        <v>120.0</v>
      </c>
      <c r="H271" s="9">
        <v>1.0</v>
      </c>
      <c r="I271" s="21">
        <f t="shared" si="2"/>
        <v>120</v>
      </c>
    </row>
    <row r="272" ht="15.75" customHeight="1">
      <c r="A272" s="18">
        <f t="shared" si="3"/>
        <v>45801</v>
      </c>
      <c r="B272" s="19">
        <f t="shared" si="1"/>
        <v>45796</v>
      </c>
      <c r="C272" s="23" t="s">
        <v>316</v>
      </c>
      <c r="D272" s="5" t="s">
        <v>317</v>
      </c>
      <c r="E272" s="9" t="s">
        <v>181</v>
      </c>
      <c r="F272" s="9" t="str">
        <f t="array" ref="F272:G272">XLOOKUP($E272,product_epicenter!$A$2:$A$101,product_epicenter!$B$2:$C$101)</f>
        <v>Hand Wash 500ml </v>
      </c>
      <c r="G272" s="21">
        <v>150.0</v>
      </c>
      <c r="H272" s="9">
        <v>5.0</v>
      </c>
      <c r="I272" s="21">
        <f t="shared" si="2"/>
        <v>750</v>
      </c>
    </row>
    <row r="273" ht="15.75" customHeight="1">
      <c r="A273" s="18">
        <f t="shared" si="3"/>
        <v>45801</v>
      </c>
      <c r="B273" s="19">
        <f t="shared" si="1"/>
        <v>45796</v>
      </c>
      <c r="C273" s="23" t="s">
        <v>318</v>
      </c>
      <c r="D273" s="5" t="s">
        <v>319</v>
      </c>
      <c r="E273" s="9" t="s">
        <v>5</v>
      </c>
      <c r="F273" s="9" t="str">
        <f t="array" ref="F273:G273">XLOOKUP($E273,product_epicenter!$A$2:$A$101,product_epicenter!$B$2:$C$101)</f>
        <v>Dal (Lentils) 1kg </v>
      </c>
      <c r="G273" s="21">
        <v>100.0</v>
      </c>
      <c r="H273" s="9">
        <v>8.0</v>
      </c>
      <c r="I273" s="21">
        <f t="shared" si="2"/>
        <v>800</v>
      </c>
    </row>
    <row r="274" ht="15.75" customHeight="1">
      <c r="A274" s="18">
        <f t="shared" si="3"/>
        <v>45801</v>
      </c>
      <c r="B274" s="19">
        <f t="shared" si="1"/>
        <v>45796</v>
      </c>
      <c r="C274" s="23" t="s">
        <v>318</v>
      </c>
      <c r="D274" s="5" t="s">
        <v>319</v>
      </c>
      <c r="E274" s="9" t="s">
        <v>91</v>
      </c>
      <c r="F274" s="9" t="str">
        <f t="array" ref="F274:G274">XLOOKUP($E274,product_epicenter!$A$2:$A$101,product_epicenter!$B$2:$C$101)</f>
        <v>Vinegar 500ml </v>
      </c>
      <c r="G274" s="21">
        <v>90.0</v>
      </c>
      <c r="H274" s="9">
        <v>1.0</v>
      </c>
      <c r="I274" s="21">
        <f t="shared" si="2"/>
        <v>90</v>
      </c>
    </row>
    <row r="275" ht="15.75" customHeight="1">
      <c r="A275" s="18">
        <f t="shared" si="3"/>
        <v>45801</v>
      </c>
      <c r="B275" s="19">
        <f t="shared" si="1"/>
        <v>45796</v>
      </c>
      <c r="C275" s="23" t="s">
        <v>318</v>
      </c>
      <c r="D275" s="5" t="s">
        <v>319</v>
      </c>
      <c r="E275" s="9" t="s">
        <v>167</v>
      </c>
      <c r="F275" s="9" t="str">
        <f t="array" ref="F275:G275">XLOOKUP($E275,product_epicenter!$A$2:$A$101,product_epicenter!$B$2:$C$101)</f>
        <v>Batteries 1 pack </v>
      </c>
      <c r="G275" s="21">
        <v>250.0</v>
      </c>
      <c r="H275" s="9">
        <v>1.0</v>
      </c>
      <c r="I275" s="21">
        <f t="shared" si="2"/>
        <v>250</v>
      </c>
    </row>
    <row r="276" ht="15.75" customHeight="1">
      <c r="A276" s="18">
        <f t="shared" si="3"/>
        <v>45801</v>
      </c>
      <c r="B276" s="19">
        <f t="shared" si="1"/>
        <v>45796</v>
      </c>
      <c r="C276" s="23" t="s">
        <v>318</v>
      </c>
      <c r="D276" s="5" t="s">
        <v>319</v>
      </c>
      <c r="E276" s="9" t="s">
        <v>97</v>
      </c>
      <c r="F276" s="9" t="str">
        <f t="array" ref="F276:G276">XLOOKUP($E276,product_epicenter!$A$2:$A$101,product_epicenter!$B$2:$C$101)</f>
        <v>Noodles 500g </v>
      </c>
      <c r="G276" s="21">
        <v>100.0</v>
      </c>
      <c r="H276" s="9">
        <v>9.0</v>
      </c>
      <c r="I276" s="21">
        <f t="shared" si="2"/>
        <v>900</v>
      </c>
    </row>
    <row r="277" ht="15.75" customHeight="1">
      <c r="A277" s="18">
        <f t="shared" si="3"/>
        <v>45801</v>
      </c>
      <c r="B277" s="19">
        <f t="shared" si="1"/>
        <v>45796</v>
      </c>
      <c r="C277" s="23" t="s">
        <v>318</v>
      </c>
      <c r="D277" s="5" t="s">
        <v>319</v>
      </c>
      <c r="E277" s="9" t="s">
        <v>61</v>
      </c>
      <c r="F277" s="9" t="str">
        <f t="array" ref="F277:G277">XLOOKUP($E277,product_epicenter!$A$2:$A$101,product_epicenter!$B$2:$C$101)</f>
        <v>Ice Cream 1 litre </v>
      </c>
      <c r="G277" s="21">
        <v>300.0</v>
      </c>
      <c r="H277" s="9">
        <v>9.0</v>
      </c>
      <c r="I277" s="21">
        <f t="shared" si="2"/>
        <v>2700</v>
      </c>
    </row>
    <row r="278" ht="15.75" customHeight="1">
      <c r="A278" s="18">
        <f t="shared" si="3"/>
        <v>45801</v>
      </c>
      <c r="B278" s="19">
        <f t="shared" si="1"/>
        <v>45796</v>
      </c>
      <c r="C278" s="23" t="s">
        <v>320</v>
      </c>
      <c r="D278" s="5" t="s">
        <v>321</v>
      </c>
      <c r="E278" s="9" t="s">
        <v>33</v>
      </c>
      <c r="F278" s="9" t="str">
        <f t="array" ref="F278:G278">XLOOKUP($E278,product_epicenter!$A$2:$A$101,product_epicenter!$B$2:$C$101)</f>
        <v>Chicken 1kg </v>
      </c>
      <c r="G278" s="21">
        <v>250.0</v>
      </c>
      <c r="H278" s="9">
        <v>1.0</v>
      </c>
      <c r="I278" s="21">
        <f t="shared" si="2"/>
        <v>250</v>
      </c>
    </row>
    <row r="279" ht="15.75" customHeight="1">
      <c r="A279" s="18">
        <f t="shared" si="3"/>
        <v>45801</v>
      </c>
      <c r="B279" s="19">
        <f t="shared" si="1"/>
        <v>45796</v>
      </c>
      <c r="C279" s="23" t="s">
        <v>320</v>
      </c>
      <c r="D279" s="5" t="s">
        <v>321</v>
      </c>
      <c r="E279" s="9" t="s">
        <v>121</v>
      </c>
      <c r="F279" s="9" t="str">
        <f t="array" ref="F279:G279">XLOOKUP($E279,product_epicenter!$A$2:$A$101,product_epicenter!$B$2:$C$101)</f>
        <v>Lemon 1kg </v>
      </c>
      <c r="G279" s="21">
        <v>80.0</v>
      </c>
      <c r="H279" s="9">
        <v>3.0</v>
      </c>
      <c r="I279" s="21">
        <f t="shared" si="2"/>
        <v>240</v>
      </c>
    </row>
    <row r="280" ht="15.75" customHeight="1">
      <c r="A280" s="18">
        <f t="shared" si="3"/>
        <v>45801</v>
      </c>
      <c r="B280" s="19">
        <f t="shared" si="1"/>
        <v>45796</v>
      </c>
      <c r="C280" s="23" t="s">
        <v>320</v>
      </c>
      <c r="D280" s="5" t="s">
        <v>321</v>
      </c>
      <c r="E280" s="9" t="s">
        <v>21</v>
      </c>
      <c r="F280" s="9" t="str">
        <f t="array" ref="F280:G280">XLOOKUP($E280,product_epicenter!$A$2:$A$101,product_epicenter!$B$2:$C$101)</f>
        <v>Salt 1kg </v>
      </c>
      <c r="G280" s="21">
        <v>20.0</v>
      </c>
      <c r="H280" s="9">
        <v>1.0</v>
      </c>
      <c r="I280" s="21">
        <f t="shared" si="2"/>
        <v>20</v>
      </c>
    </row>
    <row r="281" ht="15.75" customHeight="1">
      <c r="A281" s="18">
        <f t="shared" si="3"/>
        <v>45801</v>
      </c>
      <c r="B281" s="19">
        <f t="shared" si="1"/>
        <v>45796</v>
      </c>
      <c r="C281" s="23" t="s">
        <v>320</v>
      </c>
      <c r="D281" s="5" t="s">
        <v>321</v>
      </c>
      <c r="E281" s="9" t="s">
        <v>115</v>
      </c>
      <c r="F281" s="9" t="str">
        <f t="array" ref="F281:G281">XLOOKUP($E281,product_epicenter!$A$2:$A$101,product_epicenter!$B$2:$C$101)</f>
        <v>Raisins 500g </v>
      </c>
      <c r="G281" s="21">
        <v>400.0</v>
      </c>
      <c r="H281" s="9">
        <v>5.0</v>
      </c>
      <c r="I281" s="21">
        <f t="shared" si="2"/>
        <v>2000</v>
      </c>
    </row>
    <row r="282" ht="15.75" customHeight="1">
      <c r="A282" s="18">
        <f t="shared" si="3"/>
        <v>45801</v>
      </c>
      <c r="B282" s="19">
        <f t="shared" si="1"/>
        <v>45796</v>
      </c>
      <c r="C282" s="23" t="s">
        <v>320</v>
      </c>
      <c r="D282" s="5" t="s">
        <v>321</v>
      </c>
      <c r="E282" s="9" t="s">
        <v>65</v>
      </c>
      <c r="F282" s="9" t="str">
        <f t="array" ref="F282:G282">XLOOKUP($E282,product_epicenter!$A$2:$A$101,product_epicenter!$B$2:$C$101)</f>
        <v>Soap 1 bar </v>
      </c>
      <c r="G282" s="21">
        <v>40.0</v>
      </c>
      <c r="H282" s="9">
        <v>9.0</v>
      </c>
      <c r="I282" s="21">
        <f t="shared" si="2"/>
        <v>360</v>
      </c>
    </row>
    <row r="283" ht="15.75" customHeight="1">
      <c r="A283" s="18">
        <f t="shared" si="3"/>
        <v>45801</v>
      </c>
      <c r="B283" s="19">
        <f t="shared" si="1"/>
        <v>45796</v>
      </c>
      <c r="C283" s="23" t="s">
        <v>322</v>
      </c>
      <c r="D283" s="5" t="s">
        <v>323</v>
      </c>
      <c r="E283" s="9" t="s">
        <v>133</v>
      </c>
      <c r="F283" s="9" t="str">
        <f t="array" ref="F283:G283">XLOOKUP($E283,product_epicenter!$A$2:$A$101,product_epicenter!$B$2:$C$101)</f>
        <v>Paneer 1kg </v>
      </c>
      <c r="G283" s="21">
        <v>400.0</v>
      </c>
      <c r="H283" s="9">
        <v>3.0</v>
      </c>
      <c r="I283" s="21">
        <f t="shared" si="2"/>
        <v>1200</v>
      </c>
    </row>
    <row r="284" ht="15.75" customHeight="1">
      <c r="A284" s="18">
        <f t="shared" si="3"/>
        <v>45801</v>
      </c>
      <c r="B284" s="19">
        <f t="shared" si="1"/>
        <v>45796</v>
      </c>
      <c r="C284" s="23" t="s">
        <v>322</v>
      </c>
      <c r="D284" s="5" t="s">
        <v>323</v>
      </c>
      <c r="E284" s="9" t="s">
        <v>177</v>
      </c>
      <c r="F284" s="9" t="str">
        <f t="array" ref="F284:G284">XLOOKUP($E284,product_epicenter!$A$2:$A$101,product_epicenter!$B$2:$C$101)</f>
        <v>Juice 1 litre </v>
      </c>
      <c r="G284" s="21">
        <v>150.0</v>
      </c>
      <c r="H284" s="9">
        <v>7.0</v>
      </c>
      <c r="I284" s="21">
        <f t="shared" si="2"/>
        <v>1050</v>
      </c>
    </row>
    <row r="285" ht="15.75" customHeight="1">
      <c r="A285" s="18">
        <f t="shared" si="3"/>
        <v>45801</v>
      </c>
      <c r="B285" s="19">
        <f t="shared" si="1"/>
        <v>45796</v>
      </c>
      <c r="C285" s="23" t="s">
        <v>322</v>
      </c>
      <c r="D285" s="5" t="s">
        <v>323</v>
      </c>
      <c r="E285" s="9" t="s">
        <v>85</v>
      </c>
      <c r="F285" s="9" t="str">
        <f t="array" ref="F285:G285">XLOOKUP($E285,product_epicenter!$A$2:$A$101,product_epicenter!$B$2:$C$101)</f>
        <v>Cumin Seeds 100g </v>
      </c>
      <c r="G285" s="21">
        <v>40.0</v>
      </c>
      <c r="H285" s="9">
        <v>5.0</v>
      </c>
      <c r="I285" s="21">
        <f t="shared" si="2"/>
        <v>200</v>
      </c>
    </row>
    <row r="286" ht="15.75" customHeight="1">
      <c r="A286" s="18">
        <f t="shared" si="3"/>
        <v>45801</v>
      </c>
      <c r="B286" s="19">
        <f t="shared" si="1"/>
        <v>45796</v>
      </c>
      <c r="C286" s="23" t="s">
        <v>324</v>
      </c>
      <c r="D286" s="5" t="s">
        <v>325</v>
      </c>
      <c r="E286" s="9" t="s">
        <v>165</v>
      </c>
      <c r="F286" s="9" t="str">
        <f t="array" ref="F286:G286">XLOOKUP($E286,product_epicenter!$A$2:$A$101,product_epicenter!$B$2:$C$101)</f>
        <v>Candles 1 pack </v>
      </c>
      <c r="G286" s="21">
        <v>80.0</v>
      </c>
      <c r="H286" s="9">
        <v>6.0</v>
      </c>
      <c r="I286" s="21">
        <f t="shared" si="2"/>
        <v>480</v>
      </c>
    </row>
    <row r="287" ht="15.75" customHeight="1">
      <c r="A287" s="18">
        <f t="shared" si="3"/>
        <v>45801</v>
      </c>
      <c r="B287" s="19">
        <f t="shared" si="1"/>
        <v>45796</v>
      </c>
      <c r="C287" s="23" t="s">
        <v>324</v>
      </c>
      <c r="D287" s="5" t="s">
        <v>325</v>
      </c>
      <c r="E287" s="9" t="s">
        <v>177</v>
      </c>
      <c r="F287" s="9" t="str">
        <f t="array" ref="F287:G287">XLOOKUP($E287,product_epicenter!$A$2:$A$101,product_epicenter!$B$2:$C$101)</f>
        <v>Juice 1 litre </v>
      </c>
      <c r="G287" s="21">
        <v>150.0</v>
      </c>
      <c r="H287" s="9">
        <v>3.0</v>
      </c>
      <c r="I287" s="21">
        <f t="shared" si="2"/>
        <v>450</v>
      </c>
    </row>
    <row r="288" ht="15.75" customHeight="1">
      <c r="A288" s="18">
        <f t="shared" si="3"/>
        <v>45801</v>
      </c>
      <c r="B288" s="19">
        <f t="shared" si="1"/>
        <v>45796</v>
      </c>
      <c r="C288" s="23" t="s">
        <v>324</v>
      </c>
      <c r="D288" s="5" t="s">
        <v>325</v>
      </c>
      <c r="E288" s="9" t="s">
        <v>131</v>
      </c>
      <c r="F288" s="9" t="str">
        <f t="array" ref="F288:G288">XLOOKUP($E288,product_epicenter!$A$2:$A$101,product_epicenter!$B$2:$C$101)</f>
        <v>Yogurt 500g </v>
      </c>
      <c r="G288" s="21">
        <v>80.0</v>
      </c>
      <c r="H288" s="9">
        <v>6.0</v>
      </c>
      <c r="I288" s="21">
        <f t="shared" si="2"/>
        <v>480</v>
      </c>
    </row>
    <row r="289" ht="15.75" customHeight="1">
      <c r="A289" s="18">
        <f t="shared" si="3"/>
        <v>45801</v>
      </c>
      <c r="B289" s="19">
        <f t="shared" si="1"/>
        <v>45796</v>
      </c>
      <c r="C289" s="23" t="s">
        <v>326</v>
      </c>
      <c r="D289" s="5" t="s">
        <v>327</v>
      </c>
      <c r="E289" s="9" t="s">
        <v>61</v>
      </c>
      <c r="F289" s="9" t="str">
        <f t="array" ref="F289:G289">XLOOKUP($E289,product_epicenter!$A$2:$A$101,product_epicenter!$B$2:$C$101)</f>
        <v>Ice Cream 1 litre </v>
      </c>
      <c r="G289" s="21">
        <v>300.0</v>
      </c>
      <c r="H289" s="9">
        <v>7.0</v>
      </c>
      <c r="I289" s="21">
        <f t="shared" si="2"/>
        <v>2100</v>
      </c>
    </row>
    <row r="290" ht="15.75" customHeight="1">
      <c r="A290" s="18">
        <f t="shared" si="3"/>
        <v>45801</v>
      </c>
      <c r="B290" s="19">
        <f t="shared" si="1"/>
        <v>45796</v>
      </c>
      <c r="C290" s="23" t="s">
        <v>326</v>
      </c>
      <c r="D290" s="5" t="s">
        <v>327</v>
      </c>
      <c r="E290" s="9" t="s">
        <v>21</v>
      </c>
      <c r="F290" s="9" t="str">
        <f t="array" ref="F290:G290">XLOOKUP($E290,product_epicenter!$A$2:$A$101,product_epicenter!$B$2:$C$101)</f>
        <v>Salt 1kg </v>
      </c>
      <c r="G290" s="21">
        <v>20.0</v>
      </c>
      <c r="H290" s="9">
        <v>8.0</v>
      </c>
      <c r="I290" s="21">
        <f t="shared" si="2"/>
        <v>160</v>
      </c>
    </row>
    <row r="291" ht="15.75" customHeight="1">
      <c r="A291" s="18">
        <f t="shared" si="3"/>
        <v>45801</v>
      </c>
      <c r="B291" s="19">
        <f t="shared" si="1"/>
        <v>45796</v>
      </c>
      <c r="C291" s="23" t="s">
        <v>326</v>
      </c>
      <c r="D291" s="5" t="s">
        <v>327</v>
      </c>
      <c r="E291" s="9" t="s">
        <v>193</v>
      </c>
      <c r="F291" s="9" t="str">
        <f t="array" ref="F291:G291">XLOOKUP($E291,product_epicenter!$A$2:$A$101,product_epicenter!$B$2:$C$101)</f>
        <v>Lip Balm 1 tube </v>
      </c>
      <c r="G291" s="21">
        <v>100.0</v>
      </c>
      <c r="H291" s="9">
        <v>8.0</v>
      </c>
      <c r="I291" s="21">
        <f t="shared" si="2"/>
        <v>800</v>
      </c>
    </row>
    <row r="292" ht="15.75" customHeight="1">
      <c r="A292" s="18">
        <f t="shared" si="3"/>
        <v>45801</v>
      </c>
      <c r="B292" s="19">
        <f t="shared" si="1"/>
        <v>45796</v>
      </c>
      <c r="C292" s="23" t="s">
        <v>328</v>
      </c>
      <c r="D292" s="5" t="s">
        <v>329</v>
      </c>
      <c r="E292" s="9" t="s">
        <v>187</v>
      </c>
      <c r="F292" s="9" t="str">
        <f t="array" ref="F292:G292">XLOOKUP($E292,product_epicenter!$A$2:$A$101,product_epicenter!$B$2:$C$101)</f>
        <v>Shaving Cream 100g </v>
      </c>
      <c r="G292" s="21">
        <v>150.0</v>
      </c>
      <c r="H292" s="9">
        <v>6.0</v>
      </c>
      <c r="I292" s="21">
        <f t="shared" si="2"/>
        <v>900</v>
      </c>
    </row>
    <row r="293" ht="15.75" customHeight="1">
      <c r="A293" s="18">
        <f t="shared" si="3"/>
        <v>45801</v>
      </c>
      <c r="B293" s="19">
        <f t="shared" si="1"/>
        <v>45796</v>
      </c>
      <c r="C293" s="23" t="s">
        <v>328</v>
      </c>
      <c r="D293" s="5" t="s">
        <v>329</v>
      </c>
      <c r="E293" s="9" t="s">
        <v>185</v>
      </c>
      <c r="F293" s="9" t="str">
        <f t="array" ref="F293:G293">XLOOKUP($E293,product_epicenter!$A$2:$A$101,product_epicenter!$B$2:$C$101)</f>
        <v>Hair Conditioner 500ml </v>
      </c>
      <c r="G293" s="21">
        <v>300.0</v>
      </c>
      <c r="H293" s="9">
        <v>8.0</v>
      </c>
      <c r="I293" s="21">
        <f t="shared" si="2"/>
        <v>2400</v>
      </c>
    </row>
    <row r="294" ht="15.75" customHeight="1">
      <c r="A294" s="18">
        <f t="shared" si="3"/>
        <v>45801</v>
      </c>
      <c r="B294" s="19">
        <f t="shared" si="1"/>
        <v>45796</v>
      </c>
      <c r="C294" s="23" t="s">
        <v>328</v>
      </c>
      <c r="D294" s="5" t="s">
        <v>329</v>
      </c>
      <c r="E294" s="9" t="s">
        <v>139</v>
      </c>
      <c r="F294" s="9" t="str">
        <f t="array" ref="F294:G294">XLOOKUP($E294,product_epicenter!$A$2:$A$101,product_epicenter!$B$2:$C$101)</f>
        <v>Pickles 500g </v>
      </c>
      <c r="G294" s="21">
        <v>150.0</v>
      </c>
      <c r="H294" s="9">
        <v>3.0</v>
      </c>
      <c r="I294" s="21">
        <f t="shared" si="2"/>
        <v>450</v>
      </c>
    </row>
    <row r="295" ht="15.75" customHeight="1">
      <c r="A295" s="18">
        <f t="shared" si="3"/>
        <v>45801</v>
      </c>
      <c r="B295" s="19">
        <f t="shared" si="1"/>
        <v>45796</v>
      </c>
      <c r="C295" s="23" t="s">
        <v>328</v>
      </c>
      <c r="D295" s="5" t="s">
        <v>329</v>
      </c>
      <c r="E295" s="9" t="s">
        <v>25</v>
      </c>
      <c r="F295" s="9" t="str">
        <f t="array" ref="F295:G295">XLOOKUP($E295,product_epicenter!$A$2:$A$101,product_epicenter!$B$2:$C$101)</f>
        <v>Bread 500g </v>
      </c>
      <c r="G295" s="21">
        <v>40.0</v>
      </c>
      <c r="H295" s="9">
        <v>9.0</v>
      </c>
      <c r="I295" s="21">
        <f t="shared" si="2"/>
        <v>360</v>
      </c>
    </row>
    <row r="296" ht="15.75" customHeight="1">
      <c r="A296" s="18">
        <f t="shared" si="3"/>
        <v>45801</v>
      </c>
      <c r="B296" s="19">
        <f t="shared" si="1"/>
        <v>45796</v>
      </c>
      <c r="C296" s="23" t="s">
        <v>328</v>
      </c>
      <c r="D296" s="5" t="s">
        <v>329</v>
      </c>
      <c r="E296" s="9" t="s">
        <v>155</v>
      </c>
      <c r="F296" s="9" t="str">
        <f t="array" ref="F296:G296">XLOOKUP($E296,product_epicenter!$A$2:$A$101,product_epicenter!$B$2:$C$101)</f>
        <v>Whipped Cream 500ml </v>
      </c>
      <c r="G296" s="21">
        <v>250.0</v>
      </c>
      <c r="H296" s="9">
        <v>2.0</v>
      </c>
      <c r="I296" s="21">
        <f t="shared" si="2"/>
        <v>500</v>
      </c>
    </row>
    <row r="297" ht="15.75" customHeight="1">
      <c r="A297" s="18">
        <f t="shared" si="3"/>
        <v>45801</v>
      </c>
      <c r="B297" s="19">
        <f t="shared" si="1"/>
        <v>45796</v>
      </c>
      <c r="C297" s="23" t="s">
        <v>330</v>
      </c>
      <c r="D297" s="5" t="s">
        <v>331</v>
      </c>
      <c r="E297" s="9" t="s">
        <v>87</v>
      </c>
      <c r="F297" s="9" t="str">
        <f t="array" ref="F297:G297">XLOOKUP($E297,product_epicenter!$A$2:$A$101,product_epicenter!$B$2:$C$101)</f>
        <v>Coriander Powder 100g </v>
      </c>
      <c r="G297" s="21">
        <v>50.0</v>
      </c>
      <c r="H297" s="9">
        <v>2.0</v>
      </c>
      <c r="I297" s="21">
        <f t="shared" si="2"/>
        <v>100</v>
      </c>
    </row>
    <row r="298" ht="15.75" customHeight="1">
      <c r="A298" s="18">
        <f t="shared" si="3"/>
        <v>45801</v>
      </c>
      <c r="B298" s="19">
        <f t="shared" si="1"/>
        <v>45796</v>
      </c>
      <c r="C298" s="23" t="s">
        <v>330</v>
      </c>
      <c r="D298" s="5" t="s">
        <v>331</v>
      </c>
      <c r="E298" s="9" t="s">
        <v>95</v>
      </c>
      <c r="F298" s="9" t="str">
        <f t="array" ref="F298:G298">XLOOKUP($E298,product_epicenter!$A$2:$A$101,product_epicenter!$B$2:$C$101)</f>
        <v>Pasta 500g </v>
      </c>
      <c r="G298" s="21">
        <v>150.0</v>
      </c>
      <c r="H298" s="9">
        <v>3.0</v>
      </c>
      <c r="I298" s="21">
        <f t="shared" si="2"/>
        <v>450</v>
      </c>
    </row>
    <row r="299" ht="15.75" customHeight="1">
      <c r="A299" s="18">
        <f t="shared" si="3"/>
        <v>45801</v>
      </c>
      <c r="B299" s="19">
        <f t="shared" si="1"/>
        <v>45796</v>
      </c>
      <c r="C299" s="23" t="s">
        <v>330</v>
      </c>
      <c r="D299" s="5" t="s">
        <v>331</v>
      </c>
      <c r="E299" s="9" t="s">
        <v>171</v>
      </c>
      <c r="F299" s="9" t="str">
        <f t="array" ref="F299:G299">XLOOKUP($E299,product_epicenter!$A$2:$A$101,product_epicenter!$B$2:$C$101)</f>
        <v>Mineral Water 1 litre </v>
      </c>
      <c r="G299" s="21">
        <v>20.0</v>
      </c>
      <c r="H299" s="9">
        <v>5.0</v>
      </c>
      <c r="I299" s="21">
        <f t="shared" si="2"/>
        <v>100</v>
      </c>
    </row>
    <row r="300" ht="15.75" customHeight="1">
      <c r="A300" s="18">
        <f t="shared" si="3"/>
        <v>45801</v>
      </c>
      <c r="B300" s="19">
        <f t="shared" si="1"/>
        <v>45796</v>
      </c>
      <c r="C300" s="23" t="s">
        <v>330</v>
      </c>
      <c r="D300" s="5" t="s">
        <v>331</v>
      </c>
      <c r="E300" s="9" t="s">
        <v>181</v>
      </c>
      <c r="F300" s="9" t="str">
        <f t="array" ref="F300:G300">XLOOKUP($E300,product_epicenter!$A$2:$A$101,product_epicenter!$B$2:$C$101)</f>
        <v>Hand Wash 500ml </v>
      </c>
      <c r="G300" s="21">
        <v>150.0</v>
      </c>
      <c r="H300" s="9">
        <v>2.0</v>
      </c>
      <c r="I300" s="21">
        <f t="shared" si="2"/>
        <v>300</v>
      </c>
    </row>
    <row r="301" ht="15.75" customHeight="1">
      <c r="A301" s="18">
        <f t="shared" si="3"/>
        <v>45801</v>
      </c>
      <c r="B301" s="19">
        <f t="shared" si="1"/>
        <v>45796</v>
      </c>
      <c r="C301" s="23" t="s">
        <v>330</v>
      </c>
      <c r="D301" s="5" t="s">
        <v>331</v>
      </c>
      <c r="E301" s="9" t="s">
        <v>135</v>
      </c>
      <c r="F301" s="9" t="str">
        <f t="array" ref="F301:G301">XLOOKUP($E301,product_epicenter!$A$2:$A$101,product_epicenter!$B$2:$C$101)</f>
        <v>Ice Cubes 1 pack </v>
      </c>
      <c r="G301" s="21">
        <v>50.0</v>
      </c>
      <c r="H301" s="9">
        <v>4.0</v>
      </c>
      <c r="I301" s="21">
        <f t="shared" si="2"/>
        <v>200</v>
      </c>
    </row>
    <row r="302" ht="15.75" customHeight="1">
      <c r="A302" s="18">
        <f t="shared" si="3"/>
        <v>45801</v>
      </c>
      <c r="B302" s="19">
        <f t="shared" si="1"/>
        <v>45797</v>
      </c>
      <c r="C302" s="23" t="s">
        <v>332</v>
      </c>
      <c r="D302" s="5" t="s">
        <v>333</v>
      </c>
      <c r="E302" s="9" t="s">
        <v>173</v>
      </c>
      <c r="F302" s="9" t="str">
        <f t="array" ref="F302:G302">XLOOKUP($E302,product_epicenter!$A$2:$A$101,product_epicenter!$B$2:$C$101)</f>
        <v>Coconut Water 1 litre </v>
      </c>
      <c r="G302" s="21">
        <v>80.0</v>
      </c>
      <c r="H302" s="9">
        <v>1.0</v>
      </c>
      <c r="I302" s="21">
        <f t="shared" si="2"/>
        <v>80</v>
      </c>
    </row>
    <row r="303" ht="15.75" customHeight="1">
      <c r="A303" s="18">
        <f t="shared" si="3"/>
        <v>45801</v>
      </c>
      <c r="B303" s="19">
        <f t="shared" si="1"/>
        <v>45797</v>
      </c>
      <c r="C303" s="23" t="s">
        <v>332</v>
      </c>
      <c r="D303" s="5" t="s">
        <v>333</v>
      </c>
      <c r="E303" s="9" t="s">
        <v>29</v>
      </c>
      <c r="F303" s="9" t="str">
        <f t="array" ref="F303:G303">XLOOKUP($E303,product_epicenter!$A$2:$A$101,product_epicenter!$B$2:$C$101)</f>
        <v>Cheese 200g </v>
      </c>
      <c r="G303" s="21">
        <v>150.0</v>
      </c>
      <c r="H303" s="9">
        <v>6.0</v>
      </c>
      <c r="I303" s="21">
        <f t="shared" si="2"/>
        <v>900</v>
      </c>
    </row>
    <row r="304" ht="15.75" customHeight="1">
      <c r="A304" s="18">
        <f t="shared" si="3"/>
        <v>45801</v>
      </c>
      <c r="B304" s="19">
        <f t="shared" si="1"/>
        <v>45797</v>
      </c>
      <c r="C304" s="23" t="s">
        <v>332</v>
      </c>
      <c r="D304" s="5" t="s">
        <v>333</v>
      </c>
      <c r="E304" s="9" t="s">
        <v>51</v>
      </c>
      <c r="F304" s="9" t="str">
        <f t="array" ref="F304:G304">XLOOKUP($E304,product_epicenter!$A$2:$A$101,product_epicenter!$B$2:$C$101)</f>
        <v>Garlic 250g </v>
      </c>
      <c r="G304" s="21">
        <v>50.0</v>
      </c>
      <c r="H304" s="9">
        <v>6.0</v>
      </c>
      <c r="I304" s="21">
        <f t="shared" si="2"/>
        <v>300</v>
      </c>
    </row>
    <row r="305" ht="15.75" customHeight="1">
      <c r="A305" s="18">
        <f t="shared" si="3"/>
        <v>45801</v>
      </c>
      <c r="B305" s="19">
        <f t="shared" si="1"/>
        <v>45797</v>
      </c>
      <c r="C305" s="23" t="s">
        <v>334</v>
      </c>
      <c r="D305" s="5" t="s">
        <v>335</v>
      </c>
      <c r="E305" s="9" t="s">
        <v>9</v>
      </c>
      <c r="F305" s="9" t="str">
        <f t="array" ref="F305:G305">XLOOKUP($E305,product_epicenter!$A$2:$A$101,product_epicenter!$B$2:$C$101)</f>
        <v>Aata (Wheat Flour) 1kg </v>
      </c>
      <c r="G305" s="21">
        <v>40.0</v>
      </c>
      <c r="H305" s="9">
        <v>7.0</v>
      </c>
      <c r="I305" s="21">
        <f t="shared" si="2"/>
        <v>280</v>
      </c>
    </row>
    <row r="306" ht="15.75" customHeight="1">
      <c r="A306" s="18">
        <f t="shared" si="3"/>
        <v>45801</v>
      </c>
      <c r="B306" s="19">
        <f t="shared" si="1"/>
        <v>45797</v>
      </c>
      <c r="C306" s="23" t="s">
        <v>334</v>
      </c>
      <c r="D306" s="5" t="s">
        <v>335</v>
      </c>
      <c r="E306" s="9" t="s">
        <v>39</v>
      </c>
      <c r="F306" s="9" t="str">
        <f t="array" ref="F306:G306">XLOOKUP($E306,product_epicenter!$A$2:$A$101,product_epicenter!$B$2:$C$101)</f>
        <v>Bananas 1 dozen </v>
      </c>
      <c r="G306" s="21">
        <v>60.0</v>
      </c>
      <c r="H306" s="9">
        <v>4.0</v>
      </c>
      <c r="I306" s="21">
        <f t="shared" si="2"/>
        <v>240</v>
      </c>
    </row>
    <row r="307" ht="15.75" customHeight="1">
      <c r="A307" s="18">
        <f t="shared" si="3"/>
        <v>45801</v>
      </c>
      <c r="B307" s="19">
        <f t="shared" si="1"/>
        <v>45797</v>
      </c>
      <c r="C307" s="23" t="s">
        <v>334</v>
      </c>
      <c r="D307" s="5" t="s">
        <v>335</v>
      </c>
      <c r="E307" s="9" t="s">
        <v>35</v>
      </c>
      <c r="F307" s="9" t="str">
        <f t="array" ref="F307:G307">XLOOKUP($E307,product_epicenter!$A$2:$A$101,product_epicenter!$B$2:$C$101)</f>
        <v>Fish 1kg </v>
      </c>
      <c r="G307" s="21">
        <v>300.0</v>
      </c>
      <c r="H307" s="9">
        <v>6.0</v>
      </c>
      <c r="I307" s="21">
        <f t="shared" si="2"/>
        <v>1800</v>
      </c>
    </row>
    <row r="308" ht="15.75" customHeight="1">
      <c r="A308" s="18">
        <f t="shared" si="3"/>
        <v>45801</v>
      </c>
      <c r="B308" s="19">
        <f t="shared" si="1"/>
        <v>45797</v>
      </c>
      <c r="C308" s="23" t="s">
        <v>334</v>
      </c>
      <c r="D308" s="5" t="s">
        <v>335</v>
      </c>
      <c r="E308" s="9" t="s">
        <v>67</v>
      </c>
      <c r="F308" s="9" t="str">
        <f t="array" ref="F308:G308">XLOOKUP($E308,product_epicenter!$A$2:$A$101,product_epicenter!$B$2:$C$101)</f>
        <v>Toothpaste 1 tube </v>
      </c>
      <c r="G308" s="21">
        <v>80.0</v>
      </c>
      <c r="H308" s="9">
        <v>8.0</v>
      </c>
      <c r="I308" s="21">
        <f t="shared" si="2"/>
        <v>640</v>
      </c>
    </row>
    <row r="309" ht="15.75" customHeight="1">
      <c r="A309" s="18">
        <f t="shared" si="3"/>
        <v>45801</v>
      </c>
      <c r="B309" s="19">
        <f t="shared" si="1"/>
        <v>45797</v>
      </c>
      <c r="C309" s="23" t="s">
        <v>334</v>
      </c>
      <c r="D309" s="5" t="s">
        <v>335</v>
      </c>
      <c r="E309" s="9" t="s">
        <v>53</v>
      </c>
      <c r="F309" s="9" t="str">
        <f t="array" ref="F309:G309">XLOOKUP($E309,product_epicenter!$A$2:$A$101,product_epicenter!$B$2:$C$101)</f>
        <v>Ginger 250g </v>
      </c>
      <c r="G309" s="21">
        <v>40.0</v>
      </c>
      <c r="H309" s="9">
        <v>2.0</v>
      </c>
      <c r="I309" s="21">
        <f t="shared" si="2"/>
        <v>80</v>
      </c>
    </row>
    <row r="310" ht="15.75" customHeight="1">
      <c r="A310" s="18">
        <f t="shared" si="3"/>
        <v>45801</v>
      </c>
      <c r="B310" s="19">
        <f t="shared" si="1"/>
        <v>45797</v>
      </c>
      <c r="C310" s="23" t="s">
        <v>336</v>
      </c>
      <c r="D310" s="5" t="s">
        <v>337</v>
      </c>
      <c r="E310" s="9" t="s">
        <v>157</v>
      </c>
      <c r="F310" s="9" t="str">
        <f t="array" ref="F310:G310">XLOOKUP($E310,product_epicenter!$A$2:$A$101,product_epicenter!$B$2:$C$101)</f>
        <v>Butter Paper 1 roll </v>
      </c>
      <c r="G310" s="21">
        <v>100.0</v>
      </c>
      <c r="H310" s="9">
        <v>2.0</v>
      </c>
      <c r="I310" s="21">
        <f t="shared" si="2"/>
        <v>200</v>
      </c>
    </row>
    <row r="311" ht="15.75" customHeight="1">
      <c r="A311" s="18">
        <f t="shared" si="3"/>
        <v>45801</v>
      </c>
      <c r="B311" s="19">
        <f t="shared" si="1"/>
        <v>45797</v>
      </c>
      <c r="C311" s="23" t="s">
        <v>336</v>
      </c>
      <c r="D311" s="5" t="s">
        <v>337</v>
      </c>
      <c r="E311" s="9" t="s">
        <v>25</v>
      </c>
      <c r="F311" s="9" t="str">
        <f t="array" ref="F311:G311">XLOOKUP($E311,product_epicenter!$A$2:$A$101,product_epicenter!$B$2:$C$101)</f>
        <v>Bread 500g </v>
      </c>
      <c r="G311" s="21">
        <v>40.0</v>
      </c>
      <c r="H311" s="9">
        <v>3.0</v>
      </c>
      <c r="I311" s="21">
        <f t="shared" si="2"/>
        <v>120</v>
      </c>
    </row>
    <row r="312" ht="15.75" customHeight="1">
      <c r="A312" s="18">
        <f t="shared" si="3"/>
        <v>45801</v>
      </c>
      <c r="B312" s="19">
        <f t="shared" si="1"/>
        <v>45797</v>
      </c>
      <c r="C312" s="23" t="s">
        <v>338</v>
      </c>
      <c r="D312" s="5" t="s">
        <v>339</v>
      </c>
      <c r="E312" s="9" t="s">
        <v>123</v>
      </c>
      <c r="F312" s="9" t="str">
        <f t="array" ref="F312:G312">XLOOKUP($E312,product_epicenter!$A$2:$A$101,product_epicenter!$B$2:$C$101)</f>
        <v>Grapes 1kg </v>
      </c>
      <c r="G312" s="21">
        <v>150.0</v>
      </c>
      <c r="H312" s="9">
        <v>1.0</v>
      </c>
      <c r="I312" s="21">
        <f t="shared" si="2"/>
        <v>150</v>
      </c>
    </row>
    <row r="313" ht="15.75" customHeight="1">
      <c r="A313" s="18">
        <f t="shared" si="3"/>
        <v>45801</v>
      </c>
      <c r="B313" s="19">
        <f t="shared" si="1"/>
        <v>45797</v>
      </c>
      <c r="C313" s="23" t="s">
        <v>338</v>
      </c>
      <c r="D313" s="5" t="s">
        <v>339</v>
      </c>
      <c r="E313" s="9" t="s">
        <v>153</v>
      </c>
      <c r="F313" s="9" t="str">
        <f t="array" ref="F313:G313">XLOOKUP($E313,product_epicenter!$A$2:$A$101,product_epicenter!$B$2:$C$101)</f>
        <v>Bread Crumbs 500g </v>
      </c>
      <c r="G313" s="21">
        <v>90.0</v>
      </c>
      <c r="H313" s="9">
        <v>2.0</v>
      </c>
      <c r="I313" s="21">
        <f t="shared" si="2"/>
        <v>180</v>
      </c>
    </row>
    <row r="314" ht="15.75" customHeight="1">
      <c r="A314" s="18">
        <f t="shared" si="3"/>
        <v>45801</v>
      </c>
      <c r="B314" s="19">
        <f t="shared" si="1"/>
        <v>45797</v>
      </c>
      <c r="C314" s="23" t="s">
        <v>338</v>
      </c>
      <c r="D314" s="5" t="s">
        <v>339</v>
      </c>
      <c r="E314" s="9" t="s">
        <v>89</v>
      </c>
      <c r="F314" s="9" t="str">
        <f t="array" ref="F314:G314">XLOOKUP($E314,product_epicenter!$A$2:$A$101,product_epicenter!$B$2:$C$101)</f>
        <v>Chili Powder 100g </v>
      </c>
      <c r="G314" s="21">
        <v>60.0</v>
      </c>
      <c r="H314" s="9">
        <v>4.0</v>
      </c>
      <c r="I314" s="21">
        <f t="shared" si="2"/>
        <v>240</v>
      </c>
    </row>
    <row r="315" ht="15.75" customHeight="1">
      <c r="A315" s="18">
        <f t="shared" si="3"/>
        <v>45801</v>
      </c>
      <c r="B315" s="19">
        <f t="shared" si="1"/>
        <v>45797</v>
      </c>
      <c r="C315" s="23" t="s">
        <v>338</v>
      </c>
      <c r="D315" s="5" t="s">
        <v>339</v>
      </c>
      <c r="E315" s="9" t="s">
        <v>193</v>
      </c>
      <c r="F315" s="9" t="str">
        <f t="array" ref="F315:G315">XLOOKUP($E315,product_epicenter!$A$2:$A$101,product_epicenter!$B$2:$C$101)</f>
        <v>Lip Balm 1 tube </v>
      </c>
      <c r="G315" s="21">
        <v>100.0</v>
      </c>
      <c r="H315" s="9">
        <v>4.0</v>
      </c>
      <c r="I315" s="21">
        <f t="shared" si="2"/>
        <v>400</v>
      </c>
    </row>
    <row r="316" ht="15.75" customHeight="1">
      <c r="A316" s="18">
        <f t="shared" si="3"/>
        <v>45801</v>
      </c>
      <c r="B316" s="19">
        <f t="shared" si="1"/>
        <v>45797</v>
      </c>
      <c r="C316" s="23" t="s">
        <v>338</v>
      </c>
      <c r="D316" s="5" t="s">
        <v>339</v>
      </c>
      <c r="E316" s="9" t="s">
        <v>75</v>
      </c>
      <c r="F316" s="9" t="str">
        <f t="array" ref="F316:G316">XLOOKUP($E316,product_epicenter!$A$2:$A$101,product_epicenter!$B$2:$C$101)</f>
        <v>Toilet Cleaner 1 litre </v>
      </c>
      <c r="G316" s="21">
        <v>120.0</v>
      </c>
      <c r="H316" s="9">
        <v>6.0</v>
      </c>
      <c r="I316" s="21">
        <f t="shared" si="2"/>
        <v>720</v>
      </c>
    </row>
    <row r="317" ht="15.75" customHeight="1">
      <c r="A317" s="18">
        <f t="shared" si="3"/>
        <v>45801</v>
      </c>
      <c r="B317" s="19">
        <f t="shared" si="1"/>
        <v>45797</v>
      </c>
      <c r="C317" s="23" t="s">
        <v>340</v>
      </c>
      <c r="D317" s="5" t="s">
        <v>341</v>
      </c>
      <c r="E317" s="9" t="s">
        <v>181</v>
      </c>
      <c r="F317" s="9" t="str">
        <f t="array" ref="F317:G317">XLOOKUP($E317,product_epicenter!$A$2:$A$101,product_epicenter!$B$2:$C$101)</f>
        <v>Hand Wash 500ml </v>
      </c>
      <c r="G317" s="21">
        <v>150.0</v>
      </c>
      <c r="H317" s="9">
        <v>3.0</v>
      </c>
      <c r="I317" s="21">
        <f t="shared" si="2"/>
        <v>450</v>
      </c>
    </row>
    <row r="318" ht="15.75" customHeight="1">
      <c r="A318" s="18">
        <f t="shared" si="3"/>
        <v>45801</v>
      </c>
      <c r="B318" s="19">
        <f t="shared" si="1"/>
        <v>45797</v>
      </c>
      <c r="C318" s="23" t="s">
        <v>340</v>
      </c>
      <c r="D318" s="5" t="s">
        <v>341</v>
      </c>
      <c r="E318" s="9" t="s">
        <v>113</v>
      </c>
      <c r="F318" s="9" t="str">
        <f t="array" ref="F318:G318">XLOOKUP($E318,product_epicenter!$A$2:$A$101,product_epicenter!$B$2:$C$101)</f>
        <v>Walnuts 500g </v>
      </c>
      <c r="G318" s="21">
        <v>700.0</v>
      </c>
      <c r="H318" s="9">
        <v>7.0</v>
      </c>
      <c r="I318" s="21">
        <f t="shared" si="2"/>
        <v>4900</v>
      </c>
    </row>
    <row r="319" ht="15.75" customHeight="1">
      <c r="A319" s="18">
        <f t="shared" si="3"/>
        <v>45801</v>
      </c>
      <c r="B319" s="19">
        <f t="shared" si="1"/>
        <v>45797</v>
      </c>
      <c r="C319" s="23" t="s">
        <v>340</v>
      </c>
      <c r="D319" s="5" t="s">
        <v>341</v>
      </c>
      <c r="E319" s="9" t="s">
        <v>197</v>
      </c>
      <c r="F319" s="9" t="str">
        <f t="array" ref="F319:G319">XLOOKUP($E319,product_epicenter!$A$2:$A$101,product_epicenter!$B$2:$C$101)</f>
        <v>Hand Sanitizer 500ml </v>
      </c>
      <c r="G319" s="21">
        <v>200.0</v>
      </c>
      <c r="H319" s="9">
        <v>5.0</v>
      </c>
      <c r="I319" s="21">
        <f t="shared" si="2"/>
        <v>1000</v>
      </c>
    </row>
    <row r="320" ht="15.75" customHeight="1">
      <c r="A320" s="18">
        <f t="shared" si="3"/>
        <v>45801</v>
      </c>
      <c r="B320" s="19">
        <f t="shared" si="1"/>
        <v>45797</v>
      </c>
      <c r="C320" s="23" t="s">
        <v>340</v>
      </c>
      <c r="D320" s="5" t="s">
        <v>341</v>
      </c>
      <c r="E320" s="9" t="s">
        <v>51</v>
      </c>
      <c r="F320" s="9" t="str">
        <f t="array" ref="F320:G320">XLOOKUP($E320,product_epicenter!$A$2:$A$101,product_epicenter!$B$2:$C$101)</f>
        <v>Garlic 250g </v>
      </c>
      <c r="G320" s="21">
        <v>50.0</v>
      </c>
      <c r="H320" s="9">
        <v>7.0</v>
      </c>
      <c r="I320" s="21">
        <f t="shared" si="2"/>
        <v>350</v>
      </c>
    </row>
    <row r="321" ht="15.75" customHeight="1">
      <c r="A321" s="18">
        <f t="shared" si="3"/>
        <v>45801</v>
      </c>
      <c r="B321" s="19">
        <f t="shared" si="1"/>
        <v>45797</v>
      </c>
      <c r="C321" s="23" t="s">
        <v>340</v>
      </c>
      <c r="D321" s="5" t="s">
        <v>341</v>
      </c>
      <c r="E321" s="9" t="s">
        <v>177</v>
      </c>
      <c r="F321" s="9" t="str">
        <f t="array" ref="F321:G321">XLOOKUP($E321,product_epicenter!$A$2:$A$101,product_epicenter!$B$2:$C$101)</f>
        <v>Juice 1 litre </v>
      </c>
      <c r="G321" s="21">
        <v>150.0</v>
      </c>
      <c r="H321" s="9">
        <v>8.0</v>
      </c>
      <c r="I321" s="21">
        <f t="shared" si="2"/>
        <v>1200</v>
      </c>
    </row>
    <row r="322" ht="15.75" customHeight="1">
      <c r="A322" s="18">
        <f t="shared" si="3"/>
        <v>45801</v>
      </c>
      <c r="B322" s="19">
        <f t="shared" si="1"/>
        <v>45797</v>
      </c>
      <c r="C322" s="23" t="s">
        <v>340</v>
      </c>
      <c r="D322" s="5" t="s">
        <v>341</v>
      </c>
      <c r="E322" s="9" t="s">
        <v>77</v>
      </c>
      <c r="F322" s="9" t="str">
        <f t="array" ref="F322:G322">XLOOKUP($E322,product_epicenter!$A$2:$A$101,product_epicenter!$B$2:$C$101)</f>
        <v>Mosquito Repellent 1 pack </v>
      </c>
      <c r="G322" s="21">
        <v>90.0</v>
      </c>
      <c r="H322" s="9">
        <v>5.0</v>
      </c>
      <c r="I322" s="21">
        <f t="shared" si="2"/>
        <v>450</v>
      </c>
    </row>
    <row r="323" ht="15.75" customHeight="1">
      <c r="A323" s="18">
        <f t="shared" si="3"/>
        <v>45801</v>
      </c>
      <c r="B323" s="19">
        <f t="shared" si="1"/>
        <v>45797</v>
      </c>
      <c r="C323" s="23" t="s">
        <v>342</v>
      </c>
      <c r="D323" s="5" t="s">
        <v>343</v>
      </c>
      <c r="E323" s="9" t="s">
        <v>69</v>
      </c>
      <c r="F323" s="9" t="str">
        <f t="array" ref="F323:G323">XLOOKUP($E323,product_epicenter!$A$2:$A$101,product_epicenter!$B$2:$C$101)</f>
        <v>Detergent Powder 1kg </v>
      </c>
      <c r="G323" s="21">
        <v>150.0</v>
      </c>
      <c r="H323" s="9">
        <v>9.0</v>
      </c>
      <c r="I323" s="21">
        <f t="shared" si="2"/>
        <v>1350</v>
      </c>
    </row>
    <row r="324" ht="15.75" customHeight="1">
      <c r="A324" s="18">
        <f t="shared" si="3"/>
        <v>45801</v>
      </c>
      <c r="B324" s="19">
        <f t="shared" si="1"/>
        <v>45797</v>
      </c>
      <c r="C324" s="23" t="s">
        <v>342</v>
      </c>
      <c r="D324" s="5" t="s">
        <v>343</v>
      </c>
      <c r="E324" s="9" t="s">
        <v>49</v>
      </c>
      <c r="F324" s="9" t="str">
        <f t="array" ref="F324:G324">XLOOKUP($E324,product_epicenter!$A$2:$A$101,product_epicenter!$B$2:$C$101)</f>
        <v>Green Chillies 250g </v>
      </c>
      <c r="G324" s="21">
        <v>20.0</v>
      </c>
      <c r="H324" s="9">
        <v>6.0</v>
      </c>
      <c r="I324" s="21">
        <f t="shared" si="2"/>
        <v>120</v>
      </c>
    </row>
    <row r="325" ht="15.75" customHeight="1">
      <c r="A325" s="18">
        <f t="shared" si="3"/>
        <v>45801</v>
      </c>
      <c r="B325" s="19">
        <f t="shared" si="1"/>
        <v>45797</v>
      </c>
      <c r="C325" s="23" t="s">
        <v>342</v>
      </c>
      <c r="D325" s="5" t="s">
        <v>343</v>
      </c>
      <c r="E325" s="9" t="s">
        <v>131</v>
      </c>
      <c r="F325" s="9" t="str">
        <f t="array" ref="F325:G325">XLOOKUP($E325,product_epicenter!$A$2:$A$101,product_epicenter!$B$2:$C$101)</f>
        <v>Yogurt 500g </v>
      </c>
      <c r="G325" s="21">
        <v>80.0</v>
      </c>
      <c r="H325" s="9">
        <v>1.0</v>
      </c>
      <c r="I325" s="21">
        <f t="shared" si="2"/>
        <v>80</v>
      </c>
    </row>
    <row r="326" ht="15.75" customHeight="1">
      <c r="A326" s="18">
        <f t="shared" si="3"/>
        <v>45801</v>
      </c>
      <c r="B326" s="19">
        <f t="shared" si="1"/>
        <v>45797</v>
      </c>
      <c r="C326" s="23" t="s">
        <v>342</v>
      </c>
      <c r="D326" s="5" t="s">
        <v>343</v>
      </c>
      <c r="E326" s="9" t="s">
        <v>65</v>
      </c>
      <c r="F326" s="9" t="str">
        <f t="array" ref="F326:G326">XLOOKUP($E326,product_epicenter!$A$2:$A$101,product_epicenter!$B$2:$C$101)</f>
        <v>Soap 1 bar </v>
      </c>
      <c r="G326" s="21">
        <v>40.0</v>
      </c>
      <c r="H326" s="9">
        <v>1.0</v>
      </c>
      <c r="I326" s="21">
        <f t="shared" si="2"/>
        <v>40</v>
      </c>
    </row>
    <row r="327" ht="15.75" customHeight="1">
      <c r="A327" s="18">
        <f t="shared" si="3"/>
        <v>45801</v>
      </c>
      <c r="B327" s="19">
        <f t="shared" si="1"/>
        <v>45797</v>
      </c>
      <c r="C327" s="23" t="s">
        <v>344</v>
      </c>
      <c r="D327" s="5" t="s">
        <v>345</v>
      </c>
      <c r="E327" s="9" t="s">
        <v>93</v>
      </c>
      <c r="F327" s="9" t="str">
        <f t="array" ref="F327:G327">XLOOKUP($E327,product_epicenter!$A$2:$A$101,product_epicenter!$B$2:$C$101)</f>
        <v>Soy Sauce 500ml </v>
      </c>
      <c r="G327" s="21">
        <v>120.0</v>
      </c>
      <c r="H327" s="9">
        <v>7.0</v>
      </c>
      <c r="I327" s="21">
        <f t="shared" si="2"/>
        <v>840</v>
      </c>
    </row>
    <row r="328" ht="15.75" customHeight="1">
      <c r="A328" s="18">
        <f t="shared" si="3"/>
        <v>45801</v>
      </c>
      <c r="B328" s="19">
        <f t="shared" si="1"/>
        <v>45797</v>
      </c>
      <c r="C328" s="23" t="s">
        <v>344</v>
      </c>
      <c r="D328" s="5" t="s">
        <v>345</v>
      </c>
      <c r="E328" s="9" t="s">
        <v>103</v>
      </c>
      <c r="F328" s="9" t="str">
        <f t="array" ref="F328:G328">XLOOKUP($E328,product_epicenter!$A$2:$A$101,product_epicenter!$B$2:$C$101)</f>
        <v>Honey 500g </v>
      </c>
      <c r="G328" s="21">
        <v>300.0</v>
      </c>
      <c r="H328" s="9">
        <v>3.0</v>
      </c>
      <c r="I328" s="21">
        <f t="shared" si="2"/>
        <v>900</v>
      </c>
    </row>
    <row r="329" ht="15.75" customHeight="1">
      <c r="A329" s="18">
        <f t="shared" si="3"/>
        <v>45801</v>
      </c>
      <c r="B329" s="19">
        <f t="shared" si="1"/>
        <v>45797</v>
      </c>
      <c r="C329" s="23" t="s">
        <v>344</v>
      </c>
      <c r="D329" s="5" t="s">
        <v>345</v>
      </c>
      <c r="E329" s="9" t="s">
        <v>83</v>
      </c>
      <c r="F329" s="9" t="str">
        <f t="array" ref="F329:G329">XLOOKUP($E329,product_epicenter!$A$2:$A$101,product_epicenter!$B$2:$C$101)</f>
        <v>Mustard Seeds 100g </v>
      </c>
      <c r="G329" s="21">
        <v>30.0</v>
      </c>
      <c r="H329" s="9">
        <v>9.0</v>
      </c>
      <c r="I329" s="21">
        <f t="shared" si="2"/>
        <v>270</v>
      </c>
    </row>
    <row r="330" ht="15.75" customHeight="1">
      <c r="A330" s="18">
        <f t="shared" si="3"/>
        <v>45801</v>
      </c>
      <c r="B330" s="19">
        <f t="shared" si="1"/>
        <v>45797</v>
      </c>
      <c r="C330" s="23" t="s">
        <v>346</v>
      </c>
      <c r="D330" s="5" t="s">
        <v>347</v>
      </c>
      <c r="E330" s="9" t="s">
        <v>41</v>
      </c>
      <c r="F330" s="9" t="str">
        <f t="array" ref="F330:G330">XLOOKUP($E330,product_epicenter!$A$2:$A$101,product_epicenter!$B$2:$C$101)</f>
        <v>Oranges 1kg </v>
      </c>
      <c r="G330" s="21">
        <v>100.0</v>
      </c>
      <c r="H330" s="9">
        <v>1.0</v>
      </c>
      <c r="I330" s="21">
        <f t="shared" si="2"/>
        <v>100</v>
      </c>
    </row>
    <row r="331" ht="15.75" customHeight="1">
      <c r="A331" s="18">
        <f t="shared" si="3"/>
        <v>45801</v>
      </c>
      <c r="B331" s="19">
        <f t="shared" si="1"/>
        <v>45797</v>
      </c>
      <c r="C331" s="23" t="s">
        <v>346</v>
      </c>
      <c r="D331" s="5" t="s">
        <v>347</v>
      </c>
      <c r="E331" s="9" t="s">
        <v>63</v>
      </c>
      <c r="F331" s="9" t="str">
        <f t="array" ref="F331:G331">XLOOKUP($E331,product_epicenter!$A$2:$A$101,product_epicenter!$B$2:$C$101)</f>
        <v>Shampoo 1 bottle </v>
      </c>
      <c r="G331" s="21">
        <v>200.0</v>
      </c>
      <c r="H331" s="9">
        <v>5.0</v>
      </c>
      <c r="I331" s="21">
        <f t="shared" si="2"/>
        <v>1000</v>
      </c>
    </row>
    <row r="332" ht="15.75" customHeight="1">
      <c r="A332" s="18">
        <f t="shared" si="3"/>
        <v>45801</v>
      </c>
      <c r="B332" s="19">
        <f t="shared" si="1"/>
        <v>45797</v>
      </c>
      <c r="C332" s="23" t="s">
        <v>346</v>
      </c>
      <c r="D332" s="5" t="s">
        <v>347</v>
      </c>
      <c r="E332" s="9" t="s">
        <v>3</v>
      </c>
      <c r="F332" s="9" t="str">
        <f t="array" ref="F332:G332">XLOOKUP($E332,product_epicenter!$A$2:$A$101,product_epicenter!$B$2:$C$101)</f>
        <v>Rice 1kg </v>
      </c>
      <c r="G332" s="21">
        <v>60.0</v>
      </c>
      <c r="H332" s="9">
        <v>8.0</v>
      </c>
      <c r="I332" s="21">
        <f t="shared" si="2"/>
        <v>480</v>
      </c>
    </row>
    <row r="333" ht="15.75" customHeight="1">
      <c r="A333" s="18">
        <f t="shared" si="3"/>
        <v>45801</v>
      </c>
      <c r="B333" s="19">
        <f t="shared" si="1"/>
        <v>45797</v>
      </c>
      <c r="C333" s="23" t="s">
        <v>346</v>
      </c>
      <c r="D333" s="5" t="s">
        <v>347</v>
      </c>
      <c r="E333" s="9" t="s">
        <v>181</v>
      </c>
      <c r="F333" s="9" t="str">
        <f t="array" ref="F333:G333">XLOOKUP($E333,product_epicenter!$A$2:$A$101,product_epicenter!$B$2:$C$101)</f>
        <v>Hand Wash 500ml </v>
      </c>
      <c r="G333" s="21">
        <v>150.0</v>
      </c>
      <c r="H333" s="9">
        <v>5.0</v>
      </c>
      <c r="I333" s="21">
        <f t="shared" si="2"/>
        <v>750</v>
      </c>
    </row>
    <row r="334" ht="15.75" customHeight="1">
      <c r="A334" s="18">
        <f t="shared" si="3"/>
        <v>45801</v>
      </c>
      <c r="B334" s="19">
        <f t="shared" si="1"/>
        <v>45797</v>
      </c>
      <c r="C334" s="23" t="s">
        <v>346</v>
      </c>
      <c r="D334" s="5" t="s">
        <v>347</v>
      </c>
      <c r="E334" s="9" t="s">
        <v>141</v>
      </c>
      <c r="F334" s="9" t="str">
        <f t="array" ref="F334:G334">XLOOKUP($E334,product_epicenter!$A$2:$A$101,product_epicenter!$B$2:$C$101)</f>
        <v>Basmati Rice 1kg </v>
      </c>
      <c r="G334" s="21">
        <v>120.0</v>
      </c>
      <c r="H334" s="9">
        <v>3.0</v>
      </c>
      <c r="I334" s="21">
        <f t="shared" si="2"/>
        <v>360</v>
      </c>
    </row>
    <row r="335" ht="15.75" customHeight="1">
      <c r="A335" s="18">
        <f t="shared" si="3"/>
        <v>45801</v>
      </c>
      <c r="B335" s="19">
        <f t="shared" si="1"/>
        <v>45797</v>
      </c>
      <c r="C335" s="23" t="s">
        <v>348</v>
      </c>
      <c r="D335" s="5" t="s">
        <v>349</v>
      </c>
      <c r="E335" s="9" t="s">
        <v>35</v>
      </c>
      <c r="F335" s="9" t="str">
        <f t="array" ref="F335:G335">XLOOKUP($E335,product_epicenter!$A$2:$A$101,product_epicenter!$B$2:$C$101)</f>
        <v>Fish 1kg </v>
      </c>
      <c r="G335" s="21">
        <v>300.0</v>
      </c>
      <c r="H335" s="9">
        <v>6.0</v>
      </c>
      <c r="I335" s="21">
        <f t="shared" si="2"/>
        <v>1800</v>
      </c>
    </row>
    <row r="336" ht="15.75" customHeight="1">
      <c r="A336" s="18">
        <f t="shared" si="3"/>
        <v>45801</v>
      </c>
      <c r="B336" s="19">
        <f t="shared" si="1"/>
        <v>45797</v>
      </c>
      <c r="C336" s="23" t="s">
        <v>348</v>
      </c>
      <c r="D336" s="5" t="s">
        <v>349</v>
      </c>
      <c r="E336" s="9" t="s">
        <v>27</v>
      </c>
      <c r="F336" s="9" t="str">
        <f t="array" ref="F336:G336">XLOOKUP($E336,product_epicenter!$A$2:$A$101,product_epicenter!$B$2:$C$101)</f>
        <v>Butter 500g </v>
      </c>
      <c r="G336" s="21">
        <v>250.0</v>
      </c>
      <c r="H336" s="9">
        <v>8.0</v>
      </c>
      <c r="I336" s="21">
        <f t="shared" si="2"/>
        <v>2000</v>
      </c>
    </row>
    <row r="337" ht="15.75" customHeight="1">
      <c r="A337" s="18">
        <f t="shared" si="3"/>
        <v>45801</v>
      </c>
      <c r="B337" s="19">
        <f t="shared" si="1"/>
        <v>45797</v>
      </c>
      <c r="C337" s="23" t="s">
        <v>348</v>
      </c>
      <c r="D337" s="5" t="s">
        <v>349</v>
      </c>
      <c r="E337" s="9" t="s">
        <v>7</v>
      </c>
      <c r="F337" s="9" t="str">
        <f t="array" ref="F337:G337">XLOOKUP($E337,product_epicenter!$A$2:$A$101,product_epicenter!$B$2:$C$101)</f>
        <v>Sugar 1kg </v>
      </c>
      <c r="G337" s="21">
        <v>45.0</v>
      </c>
      <c r="H337" s="9">
        <v>2.0</v>
      </c>
      <c r="I337" s="21">
        <f t="shared" si="2"/>
        <v>90</v>
      </c>
    </row>
    <row r="338" ht="15.75" customHeight="1">
      <c r="A338" s="18">
        <f t="shared" si="3"/>
        <v>45801</v>
      </c>
      <c r="B338" s="19">
        <f t="shared" si="1"/>
        <v>45797</v>
      </c>
      <c r="C338" s="23" t="s">
        <v>348</v>
      </c>
      <c r="D338" s="5" t="s">
        <v>349</v>
      </c>
      <c r="E338" s="9" t="s">
        <v>197</v>
      </c>
      <c r="F338" s="9" t="str">
        <f t="array" ref="F338:G338">XLOOKUP($E338,product_epicenter!$A$2:$A$101,product_epicenter!$B$2:$C$101)</f>
        <v>Hand Sanitizer 500ml </v>
      </c>
      <c r="G338" s="21">
        <v>200.0</v>
      </c>
      <c r="H338" s="9">
        <v>8.0</v>
      </c>
      <c r="I338" s="21">
        <f t="shared" si="2"/>
        <v>1600</v>
      </c>
    </row>
    <row r="339" ht="15.75" customHeight="1">
      <c r="A339" s="18">
        <f t="shared" si="3"/>
        <v>45801</v>
      </c>
      <c r="B339" s="19">
        <f t="shared" si="1"/>
        <v>45797</v>
      </c>
      <c r="C339" s="23" t="s">
        <v>348</v>
      </c>
      <c r="D339" s="5" t="s">
        <v>349</v>
      </c>
      <c r="E339" s="9" t="s">
        <v>29</v>
      </c>
      <c r="F339" s="9" t="str">
        <f t="array" ref="F339:G339">XLOOKUP($E339,product_epicenter!$A$2:$A$101,product_epicenter!$B$2:$C$101)</f>
        <v>Cheese 200g </v>
      </c>
      <c r="G339" s="21">
        <v>150.0</v>
      </c>
      <c r="H339" s="9">
        <v>4.0</v>
      </c>
      <c r="I339" s="21">
        <f t="shared" si="2"/>
        <v>600</v>
      </c>
    </row>
    <row r="340" ht="15.75" customHeight="1">
      <c r="A340" s="18">
        <f t="shared" si="3"/>
        <v>45801</v>
      </c>
      <c r="B340" s="19">
        <f t="shared" si="1"/>
        <v>45797</v>
      </c>
      <c r="C340" s="23" t="s">
        <v>350</v>
      </c>
      <c r="D340" s="5" t="s">
        <v>351</v>
      </c>
      <c r="E340" s="9" t="s">
        <v>123</v>
      </c>
      <c r="F340" s="9" t="str">
        <f t="array" ref="F340:G340">XLOOKUP($E340,product_epicenter!$A$2:$A$101,product_epicenter!$B$2:$C$101)</f>
        <v>Grapes 1kg </v>
      </c>
      <c r="G340" s="21">
        <v>150.0</v>
      </c>
      <c r="H340" s="9">
        <v>5.0</v>
      </c>
      <c r="I340" s="21">
        <f t="shared" si="2"/>
        <v>750</v>
      </c>
    </row>
    <row r="341" ht="15.75" customHeight="1">
      <c r="A341" s="18">
        <f t="shared" si="3"/>
        <v>45801</v>
      </c>
      <c r="B341" s="19">
        <f t="shared" si="1"/>
        <v>45797</v>
      </c>
      <c r="C341" s="23" t="s">
        <v>350</v>
      </c>
      <c r="D341" s="5" t="s">
        <v>351</v>
      </c>
      <c r="E341" s="9" t="s">
        <v>63</v>
      </c>
      <c r="F341" s="9" t="str">
        <f t="array" ref="F341:G341">XLOOKUP($E341,product_epicenter!$A$2:$A$101,product_epicenter!$B$2:$C$101)</f>
        <v>Shampoo 1 bottle </v>
      </c>
      <c r="G341" s="21">
        <v>200.0</v>
      </c>
      <c r="H341" s="9">
        <v>1.0</v>
      </c>
      <c r="I341" s="21">
        <f t="shared" si="2"/>
        <v>200</v>
      </c>
    </row>
    <row r="342" ht="15.75" customHeight="1">
      <c r="A342" s="18">
        <f t="shared" si="3"/>
        <v>45801</v>
      </c>
      <c r="B342" s="19">
        <f t="shared" si="1"/>
        <v>45797</v>
      </c>
      <c r="C342" s="23" t="s">
        <v>350</v>
      </c>
      <c r="D342" s="5" t="s">
        <v>351</v>
      </c>
      <c r="E342" s="9" t="s">
        <v>61</v>
      </c>
      <c r="F342" s="9" t="str">
        <f t="array" ref="F342:G342">XLOOKUP($E342,product_epicenter!$A$2:$A$101,product_epicenter!$B$2:$C$101)</f>
        <v>Ice Cream 1 litre </v>
      </c>
      <c r="G342" s="21">
        <v>300.0</v>
      </c>
      <c r="H342" s="9">
        <v>8.0</v>
      </c>
      <c r="I342" s="21">
        <f t="shared" si="2"/>
        <v>2400</v>
      </c>
    </row>
    <row r="343" ht="15.75" customHeight="1">
      <c r="A343" s="18">
        <f t="shared" si="3"/>
        <v>45801</v>
      </c>
      <c r="B343" s="19">
        <f t="shared" si="1"/>
        <v>45797</v>
      </c>
      <c r="C343" s="23" t="s">
        <v>352</v>
      </c>
      <c r="D343" s="5" t="s">
        <v>353</v>
      </c>
      <c r="E343" s="9" t="s">
        <v>107</v>
      </c>
      <c r="F343" s="9" t="str">
        <f t="array" ref="F343:G343">XLOOKUP($E343,product_epicenter!$A$2:$A$101,product_epicenter!$B$2:$C$101)</f>
        <v>Peanut Butter 500g </v>
      </c>
      <c r="G343" s="21">
        <v>250.0</v>
      </c>
      <c r="H343" s="9">
        <v>9.0</v>
      </c>
      <c r="I343" s="21">
        <f t="shared" si="2"/>
        <v>2250</v>
      </c>
    </row>
    <row r="344" ht="15.75" customHeight="1">
      <c r="A344" s="18">
        <f t="shared" si="3"/>
        <v>45801</v>
      </c>
      <c r="B344" s="19">
        <f t="shared" si="1"/>
        <v>45797</v>
      </c>
      <c r="C344" s="23" t="s">
        <v>352</v>
      </c>
      <c r="D344" s="5" t="s">
        <v>353</v>
      </c>
      <c r="E344" s="9" t="s">
        <v>27</v>
      </c>
      <c r="F344" s="9" t="str">
        <f t="array" ref="F344:G344">XLOOKUP($E344,product_epicenter!$A$2:$A$101,product_epicenter!$B$2:$C$101)</f>
        <v>Butter 500g </v>
      </c>
      <c r="G344" s="21">
        <v>250.0</v>
      </c>
      <c r="H344" s="9">
        <v>7.0</v>
      </c>
      <c r="I344" s="21">
        <f t="shared" si="2"/>
        <v>1750</v>
      </c>
    </row>
    <row r="345" ht="15.75" customHeight="1">
      <c r="A345" s="18">
        <f t="shared" si="3"/>
        <v>45801</v>
      </c>
      <c r="B345" s="19">
        <f t="shared" si="1"/>
        <v>45797</v>
      </c>
      <c r="C345" s="23" t="s">
        <v>352</v>
      </c>
      <c r="D345" s="5" t="s">
        <v>353</v>
      </c>
      <c r="E345" s="9" t="s">
        <v>163</v>
      </c>
      <c r="F345" s="9" t="str">
        <f t="array" ref="F345:G345">XLOOKUP($E345,product_epicenter!$A$2:$A$101,product_epicenter!$B$2:$C$101)</f>
        <v>Matchsticks 1 pack </v>
      </c>
      <c r="G345" s="21">
        <v>20.0</v>
      </c>
      <c r="H345" s="9">
        <v>6.0</v>
      </c>
      <c r="I345" s="21">
        <f t="shared" si="2"/>
        <v>120</v>
      </c>
    </row>
    <row r="346" ht="15.75" customHeight="1">
      <c r="A346" s="18">
        <f t="shared" si="3"/>
        <v>45801</v>
      </c>
      <c r="B346" s="19">
        <f t="shared" si="1"/>
        <v>45797</v>
      </c>
      <c r="C346" s="23" t="s">
        <v>354</v>
      </c>
      <c r="D346" s="5" t="s">
        <v>355</v>
      </c>
      <c r="E346" s="9" t="s">
        <v>141</v>
      </c>
      <c r="F346" s="9" t="str">
        <f t="array" ref="F346:G346">XLOOKUP($E346,product_epicenter!$A$2:$A$101,product_epicenter!$B$2:$C$101)</f>
        <v>Basmati Rice 1kg </v>
      </c>
      <c r="G346" s="21">
        <v>120.0</v>
      </c>
      <c r="H346" s="9">
        <v>2.0</v>
      </c>
      <c r="I346" s="21">
        <f t="shared" si="2"/>
        <v>240</v>
      </c>
    </row>
    <row r="347" ht="15.75" customHeight="1">
      <c r="A347" s="18">
        <f t="shared" si="3"/>
        <v>45801</v>
      </c>
      <c r="B347" s="19">
        <f t="shared" si="1"/>
        <v>45797</v>
      </c>
      <c r="C347" s="23" t="s">
        <v>354</v>
      </c>
      <c r="D347" s="5" t="s">
        <v>355</v>
      </c>
      <c r="E347" s="9" t="s">
        <v>101</v>
      </c>
      <c r="F347" s="9" t="str">
        <f t="array" ref="F347:G347">XLOOKUP($E347,product_epicenter!$A$2:$A$101,product_epicenter!$B$2:$C$101)</f>
        <v>Cornflakes 500g </v>
      </c>
      <c r="G347" s="21">
        <v>200.0</v>
      </c>
      <c r="H347" s="9">
        <v>8.0</v>
      </c>
      <c r="I347" s="21">
        <f t="shared" si="2"/>
        <v>1600</v>
      </c>
    </row>
    <row r="348" ht="15.75" customHeight="1">
      <c r="A348" s="18">
        <f t="shared" si="3"/>
        <v>45801</v>
      </c>
      <c r="B348" s="19">
        <f t="shared" si="1"/>
        <v>45797</v>
      </c>
      <c r="C348" s="23" t="s">
        <v>354</v>
      </c>
      <c r="D348" s="5" t="s">
        <v>355</v>
      </c>
      <c r="E348" s="9" t="s">
        <v>107</v>
      </c>
      <c r="F348" s="9" t="str">
        <f t="array" ref="F348:G348">XLOOKUP($E348,product_epicenter!$A$2:$A$101,product_epicenter!$B$2:$C$101)</f>
        <v>Peanut Butter 500g </v>
      </c>
      <c r="G348" s="21">
        <v>250.0</v>
      </c>
      <c r="H348" s="9">
        <v>3.0</v>
      </c>
      <c r="I348" s="21">
        <f t="shared" si="2"/>
        <v>750</v>
      </c>
    </row>
    <row r="349" ht="15.75" customHeight="1">
      <c r="A349" s="18">
        <f t="shared" si="3"/>
        <v>45801</v>
      </c>
      <c r="B349" s="19">
        <f t="shared" si="1"/>
        <v>45797</v>
      </c>
      <c r="C349" s="23" t="s">
        <v>354</v>
      </c>
      <c r="D349" s="5" t="s">
        <v>355</v>
      </c>
      <c r="E349" s="9" t="s">
        <v>191</v>
      </c>
      <c r="F349" s="9" t="str">
        <f t="array" ref="F349:G349">XLOOKUP($E349,product_epicenter!$A$2:$A$101,product_epicenter!$B$2:$C$101)</f>
        <v>Nail Polish 1 bottle </v>
      </c>
      <c r="G349" s="21">
        <v>120.0</v>
      </c>
      <c r="H349" s="9">
        <v>9.0</v>
      </c>
      <c r="I349" s="21">
        <f t="shared" si="2"/>
        <v>1080</v>
      </c>
    </row>
    <row r="350" ht="15.75" customHeight="1">
      <c r="A350" s="18">
        <f t="shared" si="3"/>
        <v>45801</v>
      </c>
      <c r="B350" s="19">
        <f t="shared" si="1"/>
        <v>45797</v>
      </c>
      <c r="C350" s="23" t="s">
        <v>356</v>
      </c>
      <c r="D350" s="5" t="s">
        <v>357</v>
      </c>
      <c r="E350" s="9" t="s">
        <v>15</v>
      </c>
      <c r="F350" s="9" t="str">
        <f t="array" ref="F350:G350">XLOOKUP($E350,product_epicenter!$A$2:$A$101,product_epicenter!$B$2:$C$101)</f>
        <v>Tea 250g </v>
      </c>
      <c r="G350" s="21">
        <v>155.0</v>
      </c>
      <c r="H350" s="9">
        <v>7.0</v>
      </c>
      <c r="I350" s="21">
        <f t="shared" si="2"/>
        <v>1085</v>
      </c>
    </row>
    <row r="351" ht="15.75" customHeight="1">
      <c r="A351" s="18">
        <f t="shared" si="3"/>
        <v>45801</v>
      </c>
      <c r="B351" s="19">
        <f t="shared" si="1"/>
        <v>45797</v>
      </c>
      <c r="C351" s="23" t="s">
        <v>356</v>
      </c>
      <c r="D351" s="5" t="s">
        <v>357</v>
      </c>
      <c r="E351" s="9" t="s">
        <v>175</v>
      </c>
      <c r="F351" s="9" t="str">
        <f t="array" ref="F351:G351">XLOOKUP($E351,product_epicenter!$A$2:$A$101,product_epicenter!$B$2:$C$101)</f>
        <v>Ice Tea 1 litre </v>
      </c>
      <c r="G351" s="21">
        <v>120.0</v>
      </c>
      <c r="H351" s="9">
        <v>5.0</v>
      </c>
      <c r="I351" s="21">
        <f t="shared" si="2"/>
        <v>600</v>
      </c>
    </row>
    <row r="352" ht="15.75" customHeight="1">
      <c r="A352" s="18">
        <f t="shared" si="3"/>
        <v>45801</v>
      </c>
      <c r="B352" s="19">
        <f t="shared" si="1"/>
        <v>45797</v>
      </c>
      <c r="C352" s="23" t="s">
        <v>356</v>
      </c>
      <c r="D352" s="5" t="s">
        <v>357</v>
      </c>
      <c r="E352" s="9" t="s">
        <v>189</v>
      </c>
      <c r="F352" s="9" t="str">
        <f t="array" ref="F352:G352">XLOOKUP($E352,product_epicenter!$A$2:$A$101,product_epicenter!$B$2:$C$101)</f>
        <v>Razor 1 pack </v>
      </c>
      <c r="G352" s="21">
        <v>200.0</v>
      </c>
      <c r="H352" s="9">
        <v>9.0</v>
      </c>
      <c r="I352" s="21">
        <f t="shared" si="2"/>
        <v>1800</v>
      </c>
    </row>
    <row r="353" ht="15.75" customHeight="1">
      <c r="A353" s="18">
        <f t="shared" si="3"/>
        <v>45801</v>
      </c>
      <c r="B353" s="19">
        <f t="shared" si="1"/>
        <v>45797</v>
      </c>
      <c r="C353" s="23" t="s">
        <v>356</v>
      </c>
      <c r="D353" s="5" t="s">
        <v>357</v>
      </c>
      <c r="E353" s="9" t="s">
        <v>193</v>
      </c>
      <c r="F353" s="9" t="str">
        <f t="array" ref="F353:G353">XLOOKUP($E353,product_epicenter!$A$2:$A$101,product_epicenter!$B$2:$C$101)</f>
        <v>Lip Balm 1 tube </v>
      </c>
      <c r="G353" s="21">
        <v>100.0</v>
      </c>
      <c r="H353" s="9">
        <v>2.0</v>
      </c>
      <c r="I353" s="21">
        <f t="shared" si="2"/>
        <v>200</v>
      </c>
    </row>
    <row r="354" ht="15.75" customHeight="1">
      <c r="A354" s="18">
        <f t="shared" si="3"/>
        <v>45801</v>
      </c>
      <c r="B354" s="19">
        <f t="shared" si="1"/>
        <v>45797</v>
      </c>
      <c r="C354" s="23" t="s">
        <v>358</v>
      </c>
      <c r="D354" s="5" t="s">
        <v>359</v>
      </c>
      <c r="E354" s="9" t="s">
        <v>23</v>
      </c>
      <c r="F354" s="9" t="str">
        <f t="array" ref="F354:G354">XLOOKUP($E354,product_epicenter!$A$2:$A$101,product_epicenter!$B$2:$C$101)</f>
        <v>Milk 1 litre </v>
      </c>
      <c r="G354" s="21">
        <v>60.0</v>
      </c>
      <c r="H354" s="9">
        <v>2.0</v>
      </c>
      <c r="I354" s="21">
        <f t="shared" si="2"/>
        <v>120</v>
      </c>
    </row>
    <row r="355" ht="15.75" customHeight="1">
      <c r="A355" s="18">
        <f t="shared" si="3"/>
        <v>45801</v>
      </c>
      <c r="B355" s="19">
        <f t="shared" si="1"/>
        <v>45797</v>
      </c>
      <c r="C355" s="23" t="s">
        <v>358</v>
      </c>
      <c r="D355" s="5" t="s">
        <v>359</v>
      </c>
      <c r="E355" s="9" t="s">
        <v>21</v>
      </c>
      <c r="F355" s="9" t="str">
        <f t="array" ref="F355:G355">XLOOKUP($E355,product_epicenter!$A$2:$A$101,product_epicenter!$B$2:$C$101)</f>
        <v>Salt 1kg </v>
      </c>
      <c r="G355" s="21">
        <v>20.0</v>
      </c>
      <c r="H355" s="9">
        <v>3.0</v>
      </c>
      <c r="I355" s="21">
        <f t="shared" si="2"/>
        <v>60</v>
      </c>
    </row>
    <row r="356" ht="15.75" customHeight="1">
      <c r="A356" s="18">
        <f t="shared" si="3"/>
        <v>45801</v>
      </c>
      <c r="B356" s="19">
        <f t="shared" si="1"/>
        <v>45797</v>
      </c>
      <c r="C356" s="23" t="s">
        <v>358</v>
      </c>
      <c r="D356" s="5" t="s">
        <v>359</v>
      </c>
      <c r="E356" s="9" t="s">
        <v>183</v>
      </c>
      <c r="F356" s="9" t="str">
        <f t="array" ref="F356:G356">XLOOKUP($E356,product_epicenter!$A$2:$A$101,product_epicenter!$B$2:$C$101)</f>
        <v>Body Lotion 500ml </v>
      </c>
      <c r="G356" s="21">
        <v>250.0</v>
      </c>
      <c r="H356" s="9">
        <v>5.0</v>
      </c>
      <c r="I356" s="21">
        <f t="shared" si="2"/>
        <v>1250</v>
      </c>
    </row>
    <row r="357" ht="15.75" customHeight="1">
      <c r="A357" s="18">
        <f t="shared" si="3"/>
        <v>45801</v>
      </c>
      <c r="B357" s="19">
        <f t="shared" si="1"/>
        <v>45797</v>
      </c>
      <c r="C357" s="23" t="s">
        <v>360</v>
      </c>
      <c r="D357" s="5" t="s">
        <v>361</v>
      </c>
      <c r="E357" s="9" t="s">
        <v>101</v>
      </c>
      <c r="F357" s="9" t="str">
        <f t="array" ref="F357:G357">XLOOKUP($E357,product_epicenter!$A$2:$A$101,product_epicenter!$B$2:$C$101)</f>
        <v>Cornflakes 500g </v>
      </c>
      <c r="G357" s="21">
        <v>200.0</v>
      </c>
      <c r="H357" s="9">
        <v>5.0</v>
      </c>
      <c r="I357" s="21">
        <f t="shared" si="2"/>
        <v>1000</v>
      </c>
    </row>
    <row r="358" ht="15.75" customHeight="1">
      <c r="A358" s="18">
        <f t="shared" si="3"/>
        <v>45801</v>
      </c>
      <c r="B358" s="19">
        <f t="shared" si="1"/>
        <v>45797</v>
      </c>
      <c r="C358" s="23" t="s">
        <v>360</v>
      </c>
      <c r="D358" s="5" t="s">
        <v>361</v>
      </c>
      <c r="E358" s="9" t="s">
        <v>149</v>
      </c>
      <c r="F358" s="9" t="str">
        <f t="array" ref="F358:G358">XLOOKUP($E358,product_epicenter!$A$2:$A$101,product_epicenter!$B$2:$C$101)</f>
        <v>Baking Powder 250g </v>
      </c>
      <c r="G358" s="21">
        <v>80.0</v>
      </c>
      <c r="H358" s="9">
        <v>4.0</v>
      </c>
      <c r="I358" s="21">
        <f t="shared" si="2"/>
        <v>320</v>
      </c>
    </row>
    <row r="359" ht="15.75" customHeight="1">
      <c r="A359" s="18">
        <f t="shared" si="3"/>
        <v>45801</v>
      </c>
      <c r="B359" s="19">
        <f t="shared" si="1"/>
        <v>45797</v>
      </c>
      <c r="C359" s="23" t="s">
        <v>360</v>
      </c>
      <c r="D359" s="5" t="s">
        <v>361</v>
      </c>
      <c r="E359" s="9" t="s">
        <v>15</v>
      </c>
      <c r="F359" s="9" t="str">
        <f t="array" ref="F359:G359">XLOOKUP($E359,product_epicenter!$A$2:$A$101,product_epicenter!$B$2:$C$101)</f>
        <v>Tea 250g </v>
      </c>
      <c r="G359" s="21">
        <v>155.0</v>
      </c>
      <c r="H359" s="9">
        <v>5.0</v>
      </c>
      <c r="I359" s="21">
        <f t="shared" si="2"/>
        <v>775</v>
      </c>
    </row>
    <row r="360" ht="15.75" customHeight="1">
      <c r="A360" s="18">
        <f t="shared" si="3"/>
        <v>45801</v>
      </c>
      <c r="B360" s="19">
        <f t="shared" si="1"/>
        <v>45797</v>
      </c>
      <c r="C360" s="23" t="s">
        <v>360</v>
      </c>
      <c r="D360" s="5" t="s">
        <v>361</v>
      </c>
      <c r="E360" s="9" t="s">
        <v>47</v>
      </c>
      <c r="F360" s="9" t="str">
        <f t="array" ref="F360:G360">XLOOKUP($E360,product_epicenter!$A$2:$A$101,product_epicenter!$B$2:$C$101)</f>
        <v>Tomatoes 1kg </v>
      </c>
      <c r="G360" s="21">
        <v>50.0</v>
      </c>
      <c r="H360" s="9">
        <v>6.0</v>
      </c>
      <c r="I360" s="21">
        <f t="shared" si="2"/>
        <v>300</v>
      </c>
    </row>
    <row r="361" ht="15.75" customHeight="1">
      <c r="A361" s="18">
        <f t="shared" si="3"/>
        <v>45801</v>
      </c>
      <c r="B361" s="19">
        <f t="shared" si="1"/>
        <v>45797</v>
      </c>
      <c r="C361" s="23" t="s">
        <v>360</v>
      </c>
      <c r="D361" s="5" t="s">
        <v>361</v>
      </c>
      <c r="E361" s="9" t="s">
        <v>181</v>
      </c>
      <c r="F361" s="9" t="str">
        <f t="array" ref="F361:G361">XLOOKUP($E361,product_epicenter!$A$2:$A$101,product_epicenter!$B$2:$C$101)</f>
        <v>Hand Wash 500ml </v>
      </c>
      <c r="G361" s="21">
        <v>150.0</v>
      </c>
      <c r="H361" s="9">
        <v>1.0</v>
      </c>
      <c r="I361" s="21">
        <f t="shared" si="2"/>
        <v>150</v>
      </c>
    </row>
    <row r="362" ht="15.75" customHeight="1">
      <c r="A362" s="18">
        <f t="shared" si="3"/>
        <v>45801</v>
      </c>
      <c r="B362" s="19">
        <f t="shared" si="1"/>
        <v>45797</v>
      </c>
      <c r="C362" s="23" t="s">
        <v>362</v>
      </c>
      <c r="D362" s="5" t="s">
        <v>363</v>
      </c>
      <c r="E362" s="9" t="s">
        <v>11</v>
      </c>
      <c r="F362" s="9" t="str">
        <f t="array" ref="F362:G362">XLOOKUP($E362,product_epicenter!$A$2:$A$101,product_epicenter!$B$2:$C$101)</f>
        <v>Turmeric 100g </v>
      </c>
      <c r="G362" s="21">
        <v>200.0</v>
      </c>
      <c r="H362" s="9">
        <v>7.0</v>
      </c>
      <c r="I362" s="21">
        <f t="shared" si="2"/>
        <v>1400</v>
      </c>
    </row>
    <row r="363" ht="15.75" customHeight="1">
      <c r="A363" s="18">
        <f t="shared" si="3"/>
        <v>45801</v>
      </c>
      <c r="B363" s="19">
        <f t="shared" si="1"/>
        <v>45797</v>
      </c>
      <c r="C363" s="23" t="s">
        <v>362</v>
      </c>
      <c r="D363" s="5" t="s">
        <v>363</v>
      </c>
      <c r="E363" s="9" t="s">
        <v>201</v>
      </c>
      <c r="F363" s="9" t="str">
        <f t="array" ref="F363:G363">XLOOKUP($E363,product_epicenter!$A$2:$A$101,product_epicenter!$B$2:$C$101)</f>
        <v>Cooking Vinegar 500ml </v>
      </c>
      <c r="G363" s="21">
        <v>90.0</v>
      </c>
      <c r="H363" s="9">
        <v>5.0</v>
      </c>
      <c r="I363" s="21">
        <f t="shared" si="2"/>
        <v>450</v>
      </c>
    </row>
    <row r="364" ht="15.75" customHeight="1">
      <c r="A364" s="18">
        <f t="shared" si="3"/>
        <v>45801</v>
      </c>
      <c r="B364" s="19">
        <f t="shared" si="1"/>
        <v>45797</v>
      </c>
      <c r="C364" s="23" t="s">
        <v>362</v>
      </c>
      <c r="D364" s="5" t="s">
        <v>363</v>
      </c>
      <c r="E364" s="9" t="s">
        <v>51</v>
      </c>
      <c r="F364" s="9" t="str">
        <f t="array" ref="F364:G364">XLOOKUP($E364,product_epicenter!$A$2:$A$101,product_epicenter!$B$2:$C$101)</f>
        <v>Garlic 250g </v>
      </c>
      <c r="G364" s="21">
        <v>50.0</v>
      </c>
      <c r="H364" s="9">
        <v>8.0</v>
      </c>
      <c r="I364" s="21">
        <f t="shared" si="2"/>
        <v>400</v>
      </c>
    </row>
    <row r="365" ht="15.75" customHeight="1">
      <c r="A365" s="18">
        <f t="shared" si="3"/>
        <v>45801</v>
      </c>
      <c r="B365" s="19">
        <f t="shared" si="1"/>
        <v>45797</v>
      </c>
      <c r="C365" s="23" t="s">
        <v>362</v>
      </c>
      <c r="D365" s="5" t="s">
        <v>363</v>
      </c>
      <c r="E365" s="9" t="s">
        <v>63</v>
      </c>
      <c r="F365" s="9" t="str">
        <f t="array" ref="F365:G365">XLOOKUP($E365,product_epicenter!$A$2:$A$101,product_epicenter!$B$2:$C$101)</f>
        <v>Shampoo 1 bottle </v>
      </c>
      <c r="G365" s="21">
        <v>200.0</v>
      </c>
      <c r="H365" s="9">
        <v>1.0</v>
      </c>
      <c r="I365" s="21">
        <f t="shared" si="2"/>
        <v>200</v>
      </c>
    </row>
    <row r="366" ht="15.75" customHeight="1">
      <c r="A366" s="18">
        <f t="shared" si="3"/>
        <v>45801</v>
      </c>
      <c r="B366" s="19">
        <f t="shared" si="1"/>
        <v>45797</v>
      </c>
      <c r="C366" s="23" t="s">
        <v>364</v>
      </c>
      <c r="D366" s="5" t="s">
        <v>365</v>
      </c>
      <c r="E366" s="9" t="s">
        <v>69</v>
      </c>
      <c r="F366" s="9" t="str">
        <f t="array" ref="F366:G366">XLOOKUP($E366,product_epicenter!$A$2:$A$101,product_epicenter!$B$2:$C$101)</f>
        <v>Detergent Powder 1kg </v>
      </c>
      <c r="G366" s="21">
        <v>150.0</v>
      </c>
      <c r="H366" s="9">
        <v>1.0</v>
      </c>
      <c r="I366" s="21">
        <f t="shared" si="2"/>
        <v>150</v>
      </c>
    </row>
    <row r="367" ht="15.75" customHeight="1">
      <c r="A367" s="18">
        <f t="shared" si="3"/>
        <v>45801</v>
      </c>
      <c r="B367" s="19">
        <f t="shared" si="1"/>
        <v>45797</v>
      </c>
      <c r="C367" s="23" t="s">
        <v>364</v>
      </c>
      <c r="D367" s="5" t="s">
        <v>365</v>
      </c>
      <c r="E367" s="9" t="s">
        <v>103</v>
      </c>
      <c r="F367" s="9" t="str">
        <f t="array" ref="F367:G367">XLOOKUP($E367,product_epicenter!$A$2:$A$101,product_epicenter!$B$2:$C$101)</f>
        <v>Honey 500g </v>
      </c>
      <c r="G367" s="21">
        <v>300.0</v>
      </c>
      <c r="H367" s="9">
        <v>9.0</v>
      </c>
      <c r="I367" s="21">
        <f t="shared" si="2"/>
        <v>2700</v>
      </c>
    </row>
    <row r="368" ht="15.75" customHeight="1">
      <c r="A368" s="18">
        <f t="shared" si="3"/>
        <v>45801</v>
      </c>
      <c r="B368" s="19">
        <f t="shared" si="1"/>
        <v>45797</v>
      </c>
      <c r="C368" s="23" t="s">
        <v>364</v>
      </c>
      <c r="D368" s="5" t="s">
        <v>365</v>
      </c>
      <c r="E368" s="9" t="s">
        <v>7</v>
      </c>
      <c r="F368" s="9" t="str">
        <f t="array" ref="F368:G368">XLOOKUP($E368,product_epicenter!$A$2:$A$101,product_epicenter!$B$2:$C$101)</f>
        <v>Sugar 1kg </v>
      </c>
      <c r="G368" s="21">
        <v>45.0</v>
      </c>
      <c r="H368" s="9">
        <v>1.0</v>
      </c>
      <c r="I368" s="21">
        <f t="shared" si="2"/>
        <v>45</v>
      </c>
    </row>
    <row r="369" ht="15.75" customHeight="1">
      <c r="A369" s="18">
        <f t="shared" si="3"/>
        <v>45801</v>
      </c>
      <c r="B369" s="19">
        <f t="shared" si="1"/>
        <v>45797</v>
      </c>
      <c r="C369" s="23" t="s">
        <v>364</v>
      </c>
      <c r="D369" s="5" t="s">
        <v>365</v>
      </c>
      <c r="E369" s="9" t="s">
        <v>161</v>
      </c>
      <c r="F369" s="9" t="str">
        <f t="array" ref="F369:G369">XLOOKUP($E369,product_epicenter!$A$2:$A$101,product_epicenter!$B$2:$C$101)</f>
        <v>Aluminium Foil 1 roll </v>
      </c>
      <c r="G369" s="21">
        <v>120.0</v>
      </c>
      <c r="H369" s="9">
        <v>8.0</v>
      </c>
      <c r="I369" s="21">
        <f t="shared" si="2"/>
        <v>960</v>
      </c>
    </row>
    <row r="370" ht="15.75" customHeight="1">
      <c r="A370" s="18">
        <f t="shared" si="3"/>
        <v>45801</v>
      </c>
      <c r="B370" s="19">
        <f t="shared" si="1"/>
        <v>45797</v>
      </c>
      <c r="C370" s="23" t="s">
        <v>366</v>
      </c>
      <c r="D370" s="5" t="s">
        <v>367</v>
      </c>
      <c r="E370" s="9" t="s">
        <v>113</v>
      </c>
      <c r="F370" s="9" t="str">
        <f t="array" ref="F370:G370">XLOOKUP($E370,product_epicenter!$A$2:$A$101,product_epicenter!$B$2:$C$101)</f>
        <v>Walnuts 500g </v>
      </c>
      <c r="G370" s="21">
        <v>700.0</v>
      </c>
      <c r="H370" s="9">
        <v>3.0</v>
      </c>
      <c r="I370" s="21">
        <f t="shared" si="2"/>
        <v>2100</v>
      </c>
    </row>
    <row r="371" ht="15.75" customHeight="1">
      <c r="A371" s="18">
        <f t="shared" si="3"/>
        <v>45801</v>
      </c>
      <c r="B371" s="19">
        <f t="shared" si="1"/>
        <v>45797</v>
      </c>
      <c r="C371" s="23" t="s">
        <v>366</v>
      </c>
      <c r="D371" s="5" t="s">
        <v>367</v>
      </c>
      <c r="E371" s="9" t="s">
        <v>127</v>
      </c>
      <c r="F371" s="9" t="str">
        <f t="array" ref="F371:G371">XLOOKUP($E371,product_epicenter!$A$2:$A$101,product_epicenter!$B$2:$C$101)</f>
        <v>Pomegranate 1kg </v>
      </c>
      <c r="G371" s="21">
        <v>200.0</v>
      </c>
      <c r="H371" s="9">
        <v>3.0</v>
      </c>
      <c r="I371" s="21">
        <f t="shared" si="2"/>
        <v>600</v>
      </c>
    </row>
    <row r="372" ht="15.75" customHeight="1">
      <c r="A372" s="18">
        <f t="shared" si="3"/>
        <v>45801</v>
      </c>
      <c r="B372" s="19">
        <f t="shared" si="1"/>
        <v>45797</v>
      </c>
      <c r="C372" s="23" t="s">
        <v>366</v>
      </c>
      <c r="D372" s="5" t="s">
        <v>367</v>
      </c>
      <c r="E372" s="9" t="s">
        <v>179</v>
      </c>
      <c r="F372" s="9" t="str">
        <f t="array" ref="F372:G372">XLOOKUP($E372,product_epicenter!$A$2:$A$101,product_epicenter!$B$2:$C$101)</f>
        <v>Sports Drink 1 litre </v>
      </c>
      <c r="G372" s="21">
        <v>200.0</v>
      </c>
      <c r="H372" s="9">
        <v>3.0</v>
      </c>
      <c r="I372" s="21">
        <f t="shared" si="2"/>
        <v>600</v>
      </c>
    </row>
    <row r="373" ht="15.75" customHeight="1">
      <c r="A373" s="18">
        <f t="shared" si="3"/>
        <v>45801</v>
      </c>
      <c r="B373" s="19">
        <f t="shared" si="1"/>
        <v>45797</v>
      </c>
      <c r="C373" s="23" t="s">
        <v>366</v>
      </c>
      <c r="D373" s="5" t="s">
        <v>367</v>
      </c>
      <c r="E373" s="9" t="s">
        <v>113</v>
      </c>
      <c r="F373" s="9" t="str">
        <f t="array" ref="F373:G373">XLOOKUP($E373,product_epicenter!$A$2:$A$101,product_epicenter!$B$2:$C$101)</f>
        <v>Walnuts 500g </v>
      </c>
      <c r="G373" s="21">
        <v>700.0</v>
      </c>
      <c r="H373" s="9">
        <v>2.0</v>
      </c>
      <c r="I373" s="21">
        <f t="shared" si="2"/>
        <v>1400</v>
      </c>
    </row>
    <row r="374" ht="15.75" customHeight="1">
      <c r="A374" s="18">
        <f t="shared" si="3"/>
        <v>45801</v>
      </c>
      <c r="B374" s="19">
        <f t="shared" si="1"/>
        <v>45797</v>
      </c>
      <c r="C374" s="23" t="s">
        <v>368</v>
      </c>
      <c r="D374" s="5" t="s">
        <v>369</v>
      </c>
      <c r="E374" s="9" t="s">
        <v>141</v>
      </c>
      <c r="F374" s="9" t="str">
        <f t="array" ref="F374:G374">XLOOKUP($E374,product_epicenter!$A$2:$A$101,product_epicenter!$B$2:$C$101)</f>
        <v>Basmati Rice 1kg </v>
      </c>
      <c r="G374" s="21">
        <v>120.0</v>
      </c>
      <c r="H374" s="9">
        <v>4.0</v>
      </c>
      <c r="I374" s="21">
        <f t="shared" si="2"/>
        <v>480</v>
      </c>
    </row>
    <row r="375" ht="15.75" customHeight="1">
      <c r="A375" s="18">
        <f t="shared" si="3"/>
        <v>45801</v>
      </c>
      <c r="B375" s="19">
        <f t="shared" si="1"/>
        <v>45797</v>
      </c>
      <c r="C375" s="23" t="s">
        <v>368</v>
      </c>
      <c r="D375" s="5" t="s">
        <v>369</v>
      </c>
      <c r="E375" s="9" t="s">
        <v>171</v>
      </c>
      <c r="F375" s="9" t="str">
        <f t="array" ref="F375:G375">XLOOKUP($E375,product_epicenter!$A$2:$A$101,product_epicenter!$B$2:$C$101)</f>
        <v>Mineral Water 1 litre </v>
      </c>
      <c r="G375" s="21">
        <v>20.0</v>
      </c>
      <c r="H375" s="9">
        <v>8.0</v>
      </c>
      <c r="I375" s="21">
        <f t="shared" si="2"/>
        <v>160</v>
      </c>
    </row>
    <row r="376" ht="15.75" customHeight="1">
      <c r="A376" s="18">
        <f t="shared" si="3"/>
        <v>45801</v>
      </c>
      <c r="B376" s="19">
        <f t="shared" si="1"/>
        <v>45797</v>
      </c>
      <c r="C376" s="23" t="s">
        <v>368</v>
      </c>
      <c r="D376" s="5" t="s">
        <v>369</v>
      </c>
      <c r="E376" s="9" t="s">
        <v>161</v>
      </c>
      <c r="F376" s="9" t="str">
        <f t="array" ref="F376:G376">XLOOKUP($E376,product_epicenter!$A$2:$A$101,product_epicenter!$B$2:$C$101)</f>
        <v>Aluminium Foil 1 roll </v>
      </c>
      <c r="G376" s="21">
        <v>120.0</v>
      </c>
      <c r="H376" s="9">
        <v>4.0</v>
      </c>
      <c r="I376" s="21">
        <f t="shared" si="2"/>
        <v>480</v>
      </c>
    </row>
    <row r="377" ht="15.75" customHeight="1">
      <c r="A377" s="18">
        <f t="shared" si="3"/>
        <v>45801</v>
      </c>
      <c r="B377" s="19">
        <f t="shared" si="1"/>
        <v>45797</v>
      </c>
      <c r="C377" s="23" t="s">
        <v>368</v>
      </c>
      <c r="D377" s="5" t="s">
        <v>369</v>
      </c>
      <c r="E377" s="9" t="s">
        <v>15</v>
      </c>
      <c r="F377" s="9" t="str">
        <f t="array" ref="F377:G377">XLOOKUP($E377,product_epicenter!$A$2:$A$101,product_epicenter!$B$2:$C$101)</f>
        <v>Tea 250g </v>
      </c>
      <c r="G377" s="21">
        <v>155.0</v>
      </c>
      <c r="H377" s="9">
        <v>7.0</v>
      </c>
      <c r="I377" s="21">
        <f t="shared" si="2"/>
        <v>1085</v>
      </c>
    </row>
    <row r="378" ht="15.75" customHeight="1">
      <c r="A378" s="18">
        <f t="shared" si="3"/>
        <v>45801</v>
      </c>
      <c r="B378" s="19">
        <f t="shared" si="1"/>
        <v>45797</v>
      </c>
      <c r="C378" s="23" t="s">
        <v>370</v>
      </c>
      <c r="D378" s="5" t="s">
        <v>371</v>
      </c>
      <c r="E378" s="9" t="s">
        <v>147</v>
      </c>
      <c r="F378" s="9" t="str">
        <f t="array" ref="F378:G378">XLOOKUP($E378,product_epicenter!$A$2:$A$101,product_epicenter!$B$2:$C$101)</f>
        <v>Baking Soda 500g </v>
      </c>
      <c r="G378" s="21">
        <v>50.0</v>
      </c>
      <c r="H378" s="9">
        <v>8.0</v>
      </c>
      <c r="I378" s="21">
        <f t="shared" si="2"/>
        <v>400</v>
      </c>
    </row>
    <row r="379" ht="15.75" customHeight="1">
      <c r="A379" s="18">
        <f t="shared" si="3"/>
        <v>45801</v>
      </c>
      <c r="B379" s="19">
        <f t="shared" si="1"/>
        <v>45797</v>
      </c>
      <c r="C379" s="23" t="s">
        <v>370</v>
      </c>
      <c r="D379" s="5" t="s">
        <v>371</v>
      </c>
      <c r="E379" s="9" t="s">
        <v>27</v>
      </c>
      <c r="F379" s="9" t="str">
        <f t="array" ref="F379:G379">XLOOKUP($E379,product_epicenter!$A$2:$A$101,product_epicenter!$B$2:$C$101)</f>
        <v>Butter 500g </v>
      </c>
      <c r="G379" s="21">
        <v>250.0</v>
      </c>
      <c r="H379" s="9">
        <v>6.0</v>
      </c>
      <c r="I379" s="21">
        <f t="shared" si="2"/>
        <v>1500</v>
      </c>
    </row>
    <row r="380" ht="15.75" customHeight="1">
      <c r="A380" s="18">
        <f t="shared" si="3"/>
        <v>45801</v>
      </c>
      <c r="B380" s="19">
        <f t="shared" si="1"/>
        <v>45797</v>
      </c>
      <c r="C380" s="23" t="s">
        <v>370</v>
      </c>
      <c r="D380" s="5" t="s">
        <v>371</v>
      </c>
      <c r="E380" s="9" t="s">
        <v>59</v>
      </c>
      <c r="F380" s="9" t="str">
        <f t="array" ref="F380:G380">XLOOKUP($E380,product_epicenter!$A$2:$A$101,product_epicenter!$B$2:$C$101)</f>
        <v>Cold Drink 1 litre </v>
      </c>
      <c r="G380" s="21">
        <v>100.0</v>
      </c>
      <c r="H380" s="9">
        <v>9.0</v>
      </c>
      <c r="I380" s="21">
        <f t="shared" si="2"/>
        <v>900</v>
      </c>
    </row>
    <row r="381" ht="15.75" customHeight="1">
      <c r="A381" s="18">
        <f t="shared" si="3"/>
        <v>45801</v>
      </c>
      <c r="B381" s="19">
        <f t="shared" si="1"/>
        <v>45797</v>
      </c>
      <c r="C381" s="23" t="s">
        <v>370</v>
      </c>
      <c r="D381" s="5" t="s">
        <v>371</v>
      </c>
      <c r="E381" s="9" t="s">
        <v>167</v>
      </c>
      <c r="F381" s="9" t="str">
        <f t="array" ref="F381:G381">XLOOKUP($E381,product_epicenter!$A$2:$A$101,product_epicenter!$B$2:$C$101)</f>
        <v>Batteries 1 pack </v>
      </c>
      <c r="G381" s="21">
        <v>250.0</v>
      </c>
      <c r="H381" s="9">
        <v>2.0</v>
      </c>
      <c r="I381" s="21">
        <f t="shared" si="2"/>
        <v>500</v>
      </c>
    </row>
    <row r="382" ht="15.75" customHeight="1">
      <c r="A382" s="18">
        <f t="shared" si="3"/>
        <v>45801</v>
      </c>
      <c r="B382" s="19">
        <f t="shared" si="1"/>
        <v>45797</v>
      </c>
      <c r="C382" s="23" t="s">
        <v>370</v>
      </c>
      <c r="D382" s="5" t="s">
        <v>371</v>
      </c>
      <c r="E382" s="9" t="s">
        <v>125</v>
      </c>
      <c r="F382" s="9" t="str">
        <f t="array" ref="F382:G382">XLOOKUP($E382,product_epicenter!$A$2:$A$101,product_epicenter!$B$2:$C$101)</f>
        <v>Mangoes 1kg </v>
      </c>
      <c r="G382" s="21">
        <v>250.0</v>
      </c>
      <c r="H382" s="9">
        <v>9.0</v>
      </c>
      <c r="I382" s="21">
        <f t="shared" si="2"/>
        <v>2250</v>
      </c>
    </row>
    <row r="383" ht="15.75" customHeight="1">
      <c r="A383" s="18">
        <f t="shared" si="3"/>
        <v>45801</v>
      </c>
      <c r="B383" s="19">
        <f t="shared" si="1"/>
        <v>45797</v>
      </c>
      <c r="C383" s="23" t="s">
        <v>372</v>
      </c>
      <c r="D383" s="5" t="s">
        <v>373</v>
      </c>
      <c r="E383" s="9" t="s">
        <v>179</v>
      </c>
      <c r="F383" s="9" t="str">
        <f t="array" ref="F383:G383">XLOOKUP($E383,product_epicenter!$A$2:$A$101,product_epicenter!$B$2:$C$101)</f>
        <v>Sports Drink 1 litre </v>
      </c>
      <c r="G383" s="21">
        <v>200.0</v>
      </c>
      <c r="H383" s="9">
        <v>4.0</v>
      </c>
      <c r="I383" s="21">
        <f t="shared" si="2"/>
        <v>800</v>
      </c>
    </row>
    <row r="384" ht="15.75" customHeight="1">
      <c r="A384" s="18">
        <f t="shared" si="3"/>
        <v>45801</v>
      </c>
      <c r="B384" s="19">
        <f t="shared" si="1"/>
        <v>45797</v>
      </c>
      <c r="C384" s="23" t="s">
        <v>372</v>
      </c>
      <c r="D384" s="5" t="s">
        <v>373</v>
      </c>
      <c r="E384" s="9" t="s">
        <v>87</v>
      </c>
      <c r="F384" s="9" t="str">
        <f t="array" ref="F384:G384">XLOOKUP($E384,product_epicenter!$A$2:$A$101,product_epicenter!$B$2:$C$101)</f>
        <v>Coriander Powder 100g </v>
      </c>
      <c r="G384" s="21">
        <v>50.0</v>
      </c>
      <c r="H384" s="9">
        <v>8.0</v>
      </c>
      <c r="I384" s="21">
        <f t="shared" si="2"/>
        <v>400</v>
      </c>
    </row>
    <row r="385" ht="15.75" customHeight="1">
      <c r="A385" s="18">
        <f t="shared" si="3"/>
        <v>45801</v>
      </c>
      <c r="B385" s="19">
        <f t="shared" si="1"/>
        <v>45797</v>
      </c>
      <c r="C385" s="23" t="s">
        <v>372</v>
      </c>
      <c r="D385" s="5" t="s">
        <v>373</v>
      </c>
      <c r="E385" s="9" t="s">
        <v>45</v>
      </c>
      <c r="F385" s="9" t="str">
        <f t="array" ref="F385:G385">XLOOKUP($E385,product_epicenter!$A$2:$A$101,product_epicenter!$B$2:$C$101)</f>
        <v>Onions 1kg </v>
      </c>
      <c r="G385" s="21">
        <v>40.0</v>
      </c>
      <c r="H385" s="9">
        <v>6.0</v>
      </c>
      <c r="I385" s="21">
        <f t="shared" si="2"/>
        <v>240</v>
      </c>
    </row>
    <row r="386" ht="15.75" customHeight="1">
      <c r="A386" s="18">
        <f t="shared" si="3"/>
        <v>45801</v>
      </c>
      <c r="B386" s="19">
        <f t="shared" si="1"/>
        <v>45797</v>
      </c>
      <c r="C386" s="23" t="s">
        <v>374</v>
      </c>
      <c r="D386" s="5" t="s">
        <v>375</v>
      </c>
      <c r="E386" s="9" t="s">
        <v>77</v>
      </c>
      <c r="F386" s="9" t="str">
        <f t="array" ref="F386:G386">XLOOKUP($E386,product_epicenter!$A$2:$A$101,product_epicenter!$B$2:$C$101)</f>
        <v>Mosquito Repellent 1 pack </v>
      </c>
      <c r="G386" s="21">
        <v>90.0</v>
      </c>
      <c r="H386" s="9">
        <v>2.0</v>
      </c>
      <c r="I386" s="21">
        <f t="shared" si="2"/>
        <v>180</v>
      </c>
    </row>
    <row r="387" ht="15.75" customHeight="1">
      <c r="A387" s="18">
        <f t="shared" si="3"/>
        <v>45801</v>
      </c>
      <c r="B387" s="19">
        <f t="shared" si="1"/>
        <v>45797</v>
      </c>
      <c r="C387" s="23" t="s">
        <v>374</v>
      </c>
      <c r="D387" s="5" t="s">
        <v>375</v>
      </c>
      <c r="E387" s="9" t="s">
        <v>105</v>
      </c>
      <c r="F387" s="9" t="str">
        <f t="array" ref="F387:G387">XLOOKUP($E387,product_epicenter!$A$2:$A$101,product_epicenter!$B$2:$C$101)</f>
        <v>Jam 500g </v>
      </c>
      <c r="G387" s="21">
        <v>150.0</v>
      </c>
      <c r="H387" s="9">
        <v>4.0</v>
      </c>
      <c r="I387" s="21">
        <f t="shared" si="2"/>
        <v>600</v>
      </c>
    </row>
    <row r="388" ht="15.75" customHeight="1">
      <c r="A388" s="18">
        <f t="shared" si="3"/>
        <v>45801</v>
      </c>
      <c r="B388" s="19">
        <f t="shared" si="1"/>
        <v>45797</v>
      </c>
      <c r="C388" s="23" t="s">
        <v>374</v>
      </c>
      <c r="D388" s="5" t="s">
        <v>375</v>
      </c>
      <c r="E388" s="9" t="s">
        <v>37</v>
      </c>
      <c r="F388" s="9" t="str">
        <f t="array" ref="F388:G388">XLOOKUP($E388,product_epicenter!$A$2:$A$101,product_epicenter!$B$2:$C$101)</f>
        <v>Apples 1kg </v>
      </c>
      <c r="G388" s="21">
        <v>200.0</v>
      </c>
      <c r="H388" s="9">
        <v>9.0</v>
      </c>
      <c r="I388" s="21">
        <f t="shared" si="2"/>
        <v>1800</v>
      </c>
    </row>
    <row r="389" ht="15.75" customHeight="1">
      <c r="A389" s="18">
        <f t="shared" si="3"/>
        <v>45801</v>
      </c>
      <c r="B389" s="19">
        <f t="shared" si="1"/>
        <v>45797</v>
      </c>
      <c r="C389" s="23" t="s">
        <v>374</v>
      </c>
      <c r="D389" s="5" t="s">
        <v>375</v>
      </c>
      <c r="E389" s="9" t="s">
        <v>139</v>
      </c>
      <c r="F389" s="9" t="str">
        <f t="array" ref="F389:G389">XLOOKUP($E389,product_epicenter!$A$2:$A$101,product_epicenter!$B$2:$C$101)</f>
        <v>Pickles 500g </v>
      </c>
      <c r="G389" s="21">
        <v>150.0</v>
      </c>
      <c r="H389" s="9">
        <v>9.0</v>
      </c>
      <c r="I389" s="21">
        <f t="shared" si="2"/>
        <v>1350</v>
      </c>
    </row>
    <row r="390" ht="15.75" customHeight="1">
      <c r="A390" s="18">
        <f t="shared" si="3"/>
        <v>45801</v>
      </c>
      <c r="B390" s="19">
        <f t="shared" si="1"/>
        <v>45797</v>
      </c>
      <c r="C390" s="23" t="s">
        <v>374</v>
      </c>
      <c r="D390" s="5" t="s">
        <v>375</v>
      </c>
      <c r="E390" s="9" t="s">
        <v>81</v>
      </c>
      <c r="F390" s="9" t="str">
        <f t="array" ref="F390:G390">XLOOKUP($E390,product_epicenter!$A$2:$A$101,product_epicenter!$B$2:$C$101)</f>
        <v>Cooking Oil 1 litre </v>
      </c>
      <c r="G390" s="21">
        <v>120.0</v>
      </c>
      <c r="H390" s="9">
        <v>7.0</v>
      </c>
      <c r="I390" s="21">
        <f t="shared" si="2"/>
        <v>840</v>
      </c>
    </row>
    <row r="391" ht="15.75" customHeight="1">
      <c r="A391" s="18">
        <f t="shared" si="3"/>
        <v>45801</v>
      </c>
      <c r="B391" s="19">
        <f t="shared" si="1"/>
        <v>45797</v>
      </c>
      <c r="C391" s="23" t="s">
        <v>376</v>
      </c>
      <c r="D391" s="5" t="s">
        <v>377</v>
      </c>
      <c r="E391" s="9" t="s">
        <v>157</v>
      </c>
      <c r="F391" s="9" t="str">
        <f t="array" ref="F391:G391">XLOOKUP($E391,product_epicenter!$A$2:$A$101,product_epicenter!$B$2:$C$101)</f>
        <v>Butter Paper 1 roll </v>
      </c>
      <c r="G391" s="21">
        <v>100.0</v>
      </c>
      <c r="H391" s="9">
        <v>4.0</v>
      </c>
      <c r="I391" s="21">
        <f t="shared" si="2"/>
        <v>400</v>
      </c>
    </row>
    <row r="392" ht="15.75" customHeight="1">
      <c r="A392" s="18">
        <f t="shared" si="3"/>
        <v>45801</v>
      </c>
      <c r="B392" s="19">
        <f t="shared" si="1"/>
        <v>45797</v>
      </c>
      <c r="C392" s="23" t="s">
        <v>376</v>
      </c>
      <c r="D392" s="5" t="s">
        <v>377</v>
      </c>
      <c r="E392" s="9" t="s">
        <v>33</v>
      </c>
      <c r="F392" s="9" t="str">
        <f t="array" ref="F392:G392">XLOOKUP($E392,product_epicenter!$A$2:$A$101,product_epicenter!$B$2:$C$101)</f>
        <v>Chicken 1kg </v>
      </c>
      <c r="G392" s="21">
        <v>250.0</v>
      </c>
      <c r="H392" s="9">
        <v>4.0</v>
      </c>
      <c r="I392" s="21">
        <f t="shared" si="2"/>
        <v>1000</v>
      </c>
    </row>
    <row r="393" ht="15.75" customHeight="1">
      <c r="A393" s="18">
        <f t="shared" si="3"/>
        <v>45801</v>
      </c>
      <c r="B393" s="19">
        <f t="shared" si="1"/>
        <v>45797</v>
      </c>
      <c r="C393" s="23" t="s">
        <v>376</v>
      </c>
      <c r="D393" s="5" t="s">
        <v>377</v>
      </c>
      <c r="E393" s="9" t="s">
        <v>169</v>
      </c>
      <c r="F393" s="9" t="str">
        <f t="array" ref="F393:G393">XLOOKUP($E393,product_epicenter!$A$2:$A$101,product_epicenter!$B$2:$C$101)</f>
        <v>Energy Drink 1 can </v>
      </c>
      <c r="G393" s="21">
        <v>100.0</v>
      </c>
      <c r="H393" s="9">
        <v>8.0</v>
      </c>
      <c r="I393" s="21">
        <f t="shared" si="2"/>
        <v>800</v>
      </c>
    </row>
    <row r="394" ht="15.75" customHeight="1">
      <c r="A394" s="18">
        <f t="shared" si="3"/>
        <v>45801</v>
      </c>
      <c r="B394" s="19">
        <f t="shared" si="1"/>
        <v>45797</v>
      </c>
      <c r="C394" s="23" t="s">
        <v>376</v>
      </c>
      <c r="D394" s="5" t="s">
        <v>377</v>
      </c>
      <c r="E394" s="9" t="s">
        <v>171</v>
      </c>
      <c r="F394" s="9" t="str">
        <f t="array" ref="F394:G394">XLOOKUP($E394,product_epicenter!$A$2:$A$101,product_epicenter!$B$2:$C$101)</f>
        <v>Mineral Water 1 litre </v>
      </c>
      <c r="G394" s="21">
        <v>20.0</v>
      </c>
      <c r="H394" s="9">
        <v>5.0</v>
      </c>
      <c r="I394" s="21">
        <f t="shared" si="2"/>
        <v>100</v>
      </c>
    </row>
    <row r="395" ht="15.75" customHeight="1">
      <c r="A395" s="18">
        <f t="shared" si="3"/>
        <v>45801</v>
      </c>
      <c r="B395" s="19">
        <f t="shared" si="1"/>
        <v>45797</v>
      </c>
      <c r="C395" s="23" t="s">
        <v>376</v>
      </c>
      <c r="D395" s="5" t="s">
        <v>377</v>
      </c>
      <c r="E395" s="9" t="s">
        <v>35</v>
      </c>
      <c r="F395" s="9" t="str">
        <f t="array" ref="F395:G395">XLOOKUP($E395,product_epicenter!$A$2:$A$101,product_epicenter!$B$2:$C$101)</f>
        <v>Fish 1kg </v>
      </c>
      <c r="G395" s="21">
        <v>300.0</v>
      </c>
      <c r="H395" s="9">
        <v>9.0</v>
      </c>
      <c r="I395" s="21">
        <f t="shared" si="2"/>
        <v>2700</v>
      </c>
    </row>
    <row r="396" ht="15.75" customHeight="1">
      <c r="A396" s="18">
        <f t="shared" si="3"/>
        <v>45801</v>
      </c>
      <c r="B396" s="19">
        <f t="shared" si="1"/>
        <v>45797</v>
      </c>
      <c r="C396" s="23" t="s">
        <v>378</v>
      </c>
      <c r="D396" s="5" t="s">
        <v>379</v>
      </c>
      <c r="E396" s="9" t="s">
        <v>189</v>
      </c>
      <c r="F396" s="9" t="str">
        <f t="array" ref="F396:G396">XLOOKUP($E396,product_epicenter!$A$2:$A$101,product_epicenter!$B$2:$C$101)</f>
        <v>Razor 1 pack </v>
      </c>
      <c r="G396" s="21">
        <v>200.0</v>
      </c>
      <c r="H396" s="9">
        <v>7.0</v>
      </c>
      <c r="I396" s="21">
        <f t="shared" si="2"/>
        <v>1400</v>
      </c>
    </row>
    <row r="397" ht="15.75" customHeight="1">
      <c r="A397" s="18">
        <f t="shared" si="3"/>
        <v>45801</v>
      </c>
      <c r="B397" s="19">
        <f t="shared" si="1"/>
        <v>45797</v>
      </c>
      <c r="C397" s="23" t="s">
        <v>378</v>
      </c>
      <c r="D397" s="5" t="s">
        <v>379</v>
      </c>
      <c r="E397" s="9" t="s">
        <v>91</v>
      </c>
      <c r="F397" s="9" t="str">
        <f t="array" ref="F397:G397">XLOOKUP($E397,product_epicenter!$A$2:$A$101,product_epicenter!$B$2:$C$101)</f>
        <v>Vinegar 500ml </v>
      </c>
      <c r="G397" s="21">
        <v>90.0</v>
      </c>
      <c r="H397" s="9">
        <v>7.0</v>
      </c>
      <c r="I397" s="21">
        <f t="shared" si="2"/>
        <v>630</v>
      </c>
    </row>
    <row r="398" ht="15.75" customHeight="1">
      <c r="A398" s="18">
        <f t="shared" si="3"/>
        <v>45801</v>
      </c>
      <c r="B398" s="19">
        <f t="shared" si="1"/>
        <v>45797</v>
      </c>
      <c r="C398" s="23" t="s">
        <v>378</v>
      </c>
      <c r="D398" s="5" t="s">
        <v>379</v>
      </c>
      <c r="E398" s="9" t="s">
        <v>195</v>
      </c>
      <c r="F398" s="9" t="str">
        <f t="array" ref="F398:G398">XLOOKUP($E398,product_epicenter!$A$2:$A$101,product_epicenter!$B$2:$C$101)</f>
        <v>Face Wash 250ml </v>
      </c>
      <c r="G398" s="21">
        <v>200.0</v>
      </c>
      <c r="H398" s="9">
        <v>4.0</v>
      </c>
      <c r="I398" s="21">
        <f t="shared" si="2"/>
        <v>800</v>
      </c>
    </row>
    <row r="399" ht="15.75" customHeight="1">
      <c r="A399" s="18">
        <f t="shared" si="3"/>
        <v>45801</v>
      </c>
      <c r="B399" s="19">
        <f t="shared" si="1"/>
        <v>45797</v>
      </c>
      <c r="C399" s="23" t="s">
        <v>380</v>
      </c>
      <c r="D399" s="5" t="s">
        <v>381</v>
      </c>
      <c r="E399" s="9" t="s">
        <v>81</v>
      </c>
      <c r="F399" s="9" t="str">
        <f t="array" ref="F399:G399">XLOOKUP($E399,product_epicenter!$A$2:$A$101,product_epicenter!$B$2:$C$101)</f>
        <v>Cooking Oil 1 litre </v>
      </c>
      <c r="G399" s="21">
        <v>120.0</v>
      </c>
      <c r="H399" s="9">
        <v>5.0</v>
      </c>
      <c r="I399" s="21">
        <f t="shared" si="2"/>
        <v>600</v>
      </c>
    </row>
    <row r="400" ht="15.75" customHeight="1">
      <c r="A400" s="18">
        <f t="shared" si="3"/>
        <v>45801</v>
      </c>
      <c r="B400" s="19">
        <f t="shared" si="1"/>
        <v>45797</v>
      </c>
      <c r="C400" s="23" t="s">
        <v>380</v>
      </c>
      <c r="D400" s="5" t="s">
        <v>381</v>
      </c>
      <c r="E400" s="9" t="s">
        <v>35</v>
      </c>
      <c r="F400" s="9" t="str">
        <f t="array" ref="F400:G400">XLOOKUP($E400,product_epicenter!$A$2:$A$101,product_epicenter!$B$2:$C$101)</f>
        <v>Fish 1kg </v>
      </c>
      <c r="G400" s="21">
        <v>300.0</v>
      </c>
      <c r="H400" s="9">
        <v>2.0</v>
      </c>
      <c r="I400" s="21">
        <f t="shared" si="2"/>
        <v>600</v>
      </c>
    </row>
    <row r="401" ht="15.75" customHeight="1">
      <c r="A401" s="18">
        <f t="shared" si="3"/>
        <v>45801</v>
      </c>
      <c r="B401" s="19">
        <f t="shared" si="1"/>
        <v>45797</v>
      </c>
      <c r="C401" s="23" t="s">
        <v>380</v>
      </c>
      <c r="D401" s="5" t="s">
        <v>381</v>
      </c>
      <c r="E401" s="9" t="s">
        <v>47</v>
      </c>
      <c r="F401" s="9" t="str">
        <f t="array" ref="F401:G401">XLOOKUP($E401,product_epicenter!$A$2:$A$101,product_epicenter!$B$2:$C$101)</f>
        <v>Tomatoes 1kg </v>
      </c>
      <c r="G401" s="21">
        <v>50.0</v>
      </c>
      <c r="H401" s="9">
        <v>2.0</v>
      </c>
      <c r="I401" s="21">
        <f t="shared" si="2"/>
        <v>100</v>
      </c>
    </row>
    <row r="402" ht="15.75" customHeight="1">
      <c r="A402" s="18">
        <f t="shared" si="3"/>
        <v>45801</v>
      </c>
      <c r="B402" s="19">
        <f t="shared" si="1"/>
        <v>45797</v>
      </c>
      <c r="C402" s="23" t="s">
        <v>380</v>
      </c>
      <c r="D402" s="5" t="s">
        <v>381</v>
      </c>
      <c r="E402" s="9" t="s">
        <v>143</v>
      </c>
      <c r="F402" s="9" t="str">
        <f t="array" ref="F402:G402">XLOOKUP($E402,product_epicenter!$A$2:$A$101,product_epicenter!$B$2:$C$101)</f>
        <v>Brown Rice 1kg </v>
      </c>
      <c r="G402" s="21">
        <v>100.0</v>
      </c>
      <c r="H402" s="9">
        <v>8.0</v>
      </c>
      <c r="I402" s="21">
        <f t="shared" si="2"/>
        <v>800</v>
      </c>
    </row>
    <row r="403" ht="15.75" customHeight="1">
      <c r="A403" s="18">
        <f t="shared" si="3"/>
        <v>45801</v>
      </c>
      <c r="B403" s="19">
        <f t="shared" si="1"/>
        <v>45797</v>
      </c>
      <c r="C403" s="23" t="s">
        <v>382</v>
      </c>
      <c r="D403" s="5" t="s">
        <v>383</v>
      </c>
      <c r="E403" s="9" t="s">
        <v>131</v>
      </c>
      <c r="F403" s="9" t="str">
        <f t="array" ref="F403:G403">XLOOKUP($E403,product_epicenter!$A$2:$A$101,product_epicenter!$B$2:$C$101)</f>
        <v>Yogurt 500g </v>
      </c>
      <c r="G403" s="21">
        <v>80.0</v>
      </c>
      <c r="H403" s="9">
        <v>5.0</v>
      </c>
      <c r="I403" s="21">
        <f t="shared" si="2"/>
        <v>400</v>
      </c>
    </row>
    <row r="404" ht="15.75" customHeight="1">
      <c r="A404" s="18">
        <f t="shared" si="3"/>
        <v>45801</v>
      </c>
      <c r="B404" s="19">
        <f t="shared" si="1"/>
        <v>45797</v>
      </c>
      <c r="C404" s="23" t="s">
        <v>382</v>
      </c>
      <c r="D404" s="5" t="s">
        <v>383</v>
      </c>
      <c r="E404" s="9" t="s">
        <v>117</v>
      </c>
      <c r="F404" s="9" t="str">
        <f t="array" ref="F404:G404">XLOOKUP($E404,product_epicenter!$A$2:$A$101,product_epicenter!$B$2:$C$101)</f>
        <v>Green Tea 250g </v>
      </c>
      <c r="G404" s="21">
        <v>350.0</v>
      </c>
      <c r="H404" s="9">
        <v>9.0</v>
      </c>
      <c r="I404" s="21">
        <f t="shared" si="2"/>
        <v>3150</v>
      </c>
    </row>
    <row r="405" ht="15.75" customHeight="1">
      <c r="A405" s="18">
        <f t="shared" si="3"/>
        <v>45801</v>
      </c>
      <c r="B405" s="19">
        <f t="shared" si="1"/>
        <v>45797</v>
      </c>
      <c r="C405" s="23" t="s">
        <v>382</v>
      </c>
      <c r="D405" s="5" t="s">
        <v>383</v>
      </c>
      <c r="E405" s="9" t="s">
        <v>103</v>
      </c>
      <c r="F405" s="9" t="str">
        <f t="array" ref="F405:G405">XLOOKUP($E405,product_epicenter!$A$2:$A$101,product_epicenter!$B$2:$C$101)</f>
        <v>Honey 500g </v>
      </c>
      <c r="G405" s="21">
        <v>300.0</v>
      </c>
      <c r="H405" s="9">
        <v>5.0</v>
      </c>
      <c r="I405" s="21">
        <f t="shared" si="2"/>
        <v>1500</v>
      </c>
    </row>
    <row r="406" ht="15.75" customHeight="1">
      <c r="A406" s="18">
        <f t="shared" si="3"/>
        <v>45801</v>
      </c>
      <c r="B406" s="19">
        <f t="shared" si="1"/>
        <v>45797</v>
      </c>
      <c r="C406" s="23" t="s">
        <v>384</v>
      </c>
      <c r="D406" s="5" t="s">
        <v>385</v>
      </c>
      <c r="E406" s="9" t="s">
        <v>151</v>
      </c>
      <c r="F406" s="9" t="str">
        <f t="array" ref="F406:G406">XLOOKUP($E406,product_epicenter!$A$2:$A$101,product_epicenter!$B$2:$C$101)</f>
        <v>Cake Mix 1 box </v>
      </c>
      <c r="G406" s="21">
        <v>200.0</v>
      </c>
      <c r="H406" s="9">
        <v>2.0</v>
      </c>
      <c r="I406" s="21">
        <f t="shared" si="2"/>
        <v>400</v>
      </c>
    </row>
    <row r="407" ht="15.75" customHeight="1">
      <c r="A407" s="18">
        <f t="shared" si="3"/>
        <v>45801</v>
      </c>
      <c r="B407" s="19">
        <f t="shared" si="1"/>
        <v>45797</v>
      </c>
      <c r="C407" s="23" t="s">
        <v>384</v>
      </c>
      <c r="D407" s="5" t="s">
        <v>385</v>
      </c>
      <c r="E407" s="9" t="s">
        <v>179</v>
      </c>
      <c r="F407" s="9" t="str">
        <f t="array" ref="F407:G407">XLOOKUP($E407,product_epicenter!$A$2:$A$101,product_epicenter!$B$2:$C$101)</f>
        <v>Sports Drink 1 litre </v>
      </c>
      <c r="G407" s="21">
        <v>200.0</v>
      </c>
      <c r="H407" s="9">
        <v>3.0</v>
      </c>
      <c r="I407" s="21">
        <f t="shared" si="2"/>
        <v>600</v>
      </c>
    </row>
    <row r="408" ht="15.75" customHeight="1">
      <c r="A408" s="18">
        <f t="shared" si="3"/>
        <v>45801</v>
      </c>
      <c r="B408" s="19">
        <f t="shared" si="1"/>
        <v>45797</v>
      </c>
      <c r="C408" s="23" t="s">
        <v>384</v>
      </c>
      <c r="D408" s="5" t="s">
        <v>385</v>
      </c>
      <c r="E408" s="9" t="s">
        <v>17</v>
      </c>
      <c r="F408" s="9" t="str">
        <f t="array" ref="F408:G408">XLOOKUP($E408,product_epicenter!$A$2:$A$101,product_epicenter!$B$2:$C$101)</f>
        <v>Dry Fruits Mix 1kg </v>
      </c>
      <c r="G408" s="21">
        <v>850.0</v>
      </c>
      <c r="H408" s="9">
        <v>7.0</v>
      </c>
      <c r="I408" s="21">
        <f t="shared" si="2"/>
        <v>5950</v>
      </c>
    </row>
    <row r="409" ht="15.75" customHeight="1">
      <c r="A409" s="18">
        <f t="shared" si="3"/>
        <v>45801</v>
      </c>
      <c r="B409" s="19">
        <f t="shared" si="1"/>
        <v>45797</v>
      </c>
      <c r="C409" s="23" t="s">
        <v>384</v>
      </c>
      <c r="D409" s="5" t="s">
        <v>385</v>
      </c>
      <c r="E409" s="9" t="s">
        <v>37</v>
      </c>
      <c r="F409" s="9" t="str">
        <f t="array" ref="F409:G409">XLOOKUP($E409,product_epicenter!$A$2:$A$101,product_epicenter!$B$2:$C$101)</f>
        <v>Apples 1kg </v>
      </c>
      <c r="G409" s="21">
        <v>200.0</v>
      </c>
      <c r="H409" s="9">
        <v>5.0</v>
      </c>
      <c r="I409" s="21">
        <f t="shared" si="2"/>
        <v>1000</v>
      </c>
    </row>
    <row r="410" ht="15.75" customHeight="1">
      <c r="A410" s="18">
        <f t="shared" si="3"/>
        <v>45801</v>
      </c>
      <c r="B410" s="19">
        <f t="shared" si="1"/>
        <v>45797</v>
      </c>
      <c r="C410" s="23" t="s">
        <v>386</v>
      </c>
      <c r="D410" s="5" t="s">
        <v>387</v>
      </c>
      <c r="E410" s="9" t="s">
        <v>177</v>
      </c>
      <c r="F410" s="9" t="str">
        <f t="array" ref="F410:G410">XLOOKUP($E410,product_epicenter!$A$2:$A$101,product_epicenter!$B$2:$C$101)</f>
        <v>Juice 1 litre </v>
      </c>
      <c r="G410" s="21">
        <v>150.0</v>
      </c>
      <c r="H410" s="9">
        <v>5.0</v>
      </c>
      <c r="I410" s="21">
        <f t="shared" si="2"/>
        <v>750</v>
      </c>
    </row>
    <row r="411" ht="15.75" customHeight="1">
      <c r="A411" s="18">
        <f t="shared" si="3"/>
        <v>45801</v>
      </c>
      <c r="B411" s="19">
        <f t="shared" si="1"/>
        <v>45797</v>
      </c>
      <c r="C411" s="23" t="s">
        <v>386</v>
      </c>
      <c r="D411" s="5" t="s">
        <v>387</v>
      </c>
      <c r="E411" s="9" t="s">
        <v>3</v>
      </c>
      <c r="F411" s="9" t="str">
        <f t="array" ref="F411:G411">XLOOKUP($E411,product_epicenter!$A$2:$A$101,product_epicenter!$B$2:$C$101)</f>
        <v>Rice 1kg </v>
      </c>
      <c r="G411" s="21">
        <v>60.0</v>
      </c>
      <c r="H411" s="9">
        <v>8.0</v>
      </c>
      <c r="I411" s="21">
        <f t="shared" si="2"/>
        <v>480</v>
      </c>
    </row>
    <row r="412" ht="15.75" customHeight="1">
      <c r="A412" s="18">
        <f t="shared" si="3"/>
        <v>45801</v>
      </c>
      <c r="B412" s="19">
        <f t="shared" si="1"/>
        <v>45797</v>
      </c>
      <c r="C412" s="23" t="s">
        <v>386</v>
      </c>
      <c r="D412" s="5" t="s">
        <v>387</v>
      </c>
      <c r="E412" s="9" t="s">
        <v>115</v>
      </c>
      <c r="F412" s="9" t="str">
        <f t="array" ref="F412:G412">XLOOKUP($E412,product_epicenter!$A$2:$A$101,product_epicenter!$B$2:$C$101)</f>
        <v>Raisins 500g </v>
      </c>
      <c r="G412" s="21">
        <v>400.0</v>
      </c>
      <c r="H412" s="9">
        <v>3.0</v>
      </c>
      <c r="I412" s="21">
        <f t="shared" si="2"/>
        <v>1200</v>
      </c>
    </row>
    <row r="413" ht="15.75" customHeight="1">
      <c r="A413" s="18">
        <f t="shared" si="3"/>
        <v>45801</v>
      </c>
      <c r="B413" s="19">
        <f t="shared" si="1"/>
        <v>45797</v>
      </c>
      <c r="C413" s="23" t="s">
        <v>388</v>
      </c>
      <c r="D413" s="5" t="s">
        <v>389</v>
      </c>
      <c r="E413" s="9" t="s">
        <v>15</v>
      </c>
      <c r="F413" s="9" t="str">
        <f t="array" ref="F413:G413">XLOOKUP($E413,product_epicenter!$A$2:$A$101,product_epicenter!$B$2:$C$101)</f>
        <v>Tea 250g </v>
      </c>
      <c r="G413" s="21">
        <v>155.0</v>
      </c>
      <c r="H413" s="9">
        <v>7.0</v>
      </c>
      <c r="I413" s="21">
        <f t="shared" si="2"/>
        <v>1085</v>
      </c>
    </row>
    <row r="414" ht="15.75" customHeight="1">
      <c r="A414" s="18">
        <f t="shared" si="3"/>
        <v>45801</v>
      </c>
      <c r="B414" s="19">
        <f t="shared" si="1"/>
        <v>45797</v>
      </c>
      <c r="C414" s="23" t="s">
        <v>388</v>
      </c>
      <c r="D414" s="5" t="s">
        <v>389</v>
      </c>
      <c r="E414" s="9" t="s">
        <v>77</v>
      </c>
      <c r="F414" s="9" t="str">
        <f t="array" ref="F414:G414">XLOOKUP($E414,product_epicenter!$A$2:$A$101,product_epicenter!$B$2:$C$101)</f>
        <v>Mosquito Repellent 1 pack </v>
      </c>
      <c r="G414" s="21">
        <v>90.0</v>
      </c>
      <c r="H414" s="9">
        <v>6.0</v>
      </c>
      <c r="I414" s="21">
        <f t="shared" si="2"/>
        <v>540</v>
      </c>
    </row>
    <row r="415" ht="15.75" customHeight="1">
      <c r="A415" s="18">
        <f t="shared" si="3"/>
        <v>45801</v>
      </c>
      <c r="B415" s="19">
        <f t="shared" si="1"/>
        <v>45797</v>
      </c>
      <c r="C415" s="23" t="s">
        <v>388</v>
      </c>
      <c r="D415" s="5" t="s">
        <v>389</v>
      </c>
      <c r="E415" s="9" t="s">
        <v>57</v>
      </c>
      <c r="F415" s="9" t="str">
        <f t="array" ref="F415:G415">XLOOKUP($E415,product_epicenter!$A$2:$A$101,product_epicenter!$B$2:$C$101)</f>
        <v>Chocolates 1 bar </v>
      </c>
      <c r="G415" s="21">
        <v>100.0</v>
      </c>
      <c r="H415" s="9">
        <v>5.0</v>
      </c>
      <c r="I415" s="21">
        <f t="shared" si="2"/>
        <v>500</v>
      </c>
    </row>
    <row r="416" ht="15.75" customHeight="1">
      <c r="A416" s="18">
        <f t="shared" si="3"/>
        <v>45801</v>
      </c>
      <c r="B416" s="19">
        <f t="shared" si="1"/>
        <v>45797</v>
      </c>
      <c r="C416" s="23" t="s">
        <v>390</v>
      </c>
      <c r="D416" s="5" t="s">
        <v>391</v>
      </c>
      <c r="E416" s="9" t="s">
        <v>59</v>
      </c>
      <c r="F416" s="9" t="str">
        <f t="array" ref="F416:G416">XLOOKUP($E416,product_epicenter!$A$2:$A$101,product_epicenter!$B$2:$C$101)</f>
        <v>Cold Drink 1 litre </v>
      </c>
      <c r="G416" s="21">
        <v>100.0</v>
      </c>
      <c r="H416" s="9">
        <v>4.0</v>
      </c>
      <c r="I416" s="21">
        <f t="shared" si="2"/>
        <v>400</v>
      </c>
    </row>
    <row r="417" ht="15.75" customHeight="1">
      <c r="A417" s="18">
        <f t="shared" si="3"/>
        <v>45801</v>
      </c>
      <c r="B417" s="19">
        <f t="shared" si="1"/>
        <v>45797</v>
      </c>
      <c r="C417" s="23" t="s">
        <v>390</v>
      </c>
      <c r="D417" s="5" t="s">
        <v>391</v>
      </c>
      <c r="E417" s="9" t="s">
        <v>143</v>
      </c>
      <c r="F417" s="9" t="str">
        <f t="array" ref="F417:G417">XLOOKUP($E417,product_epicenter!$A$2:$A$101,product_epicenter!$B$2:$C$101)</f>
        <v>Brown Rice 1kg </v>
      </c>
      <c r="G417" s="21">
        <v>100.0</v>
      </c>
      <c r="H417" s="9">
        <v>3.0</v>
      </c>
      <c r="I417" s="21">
        <f t="shared" si="2"/>
        <v>300</v>
      </c>
    </row>
    <row r="418" ht="15.75" customHeight="1">
      <c r="A418" s="18">
        <f t="shared" si="3"/>
        <v>45801</v>
      </c>
      <c r="B418" s="19">
        <f t="shared" si="1"/>
        <v>45797</v>
      </c>
      <c r="C418" s="23" t="s">
        <v>390</v>
      </c>
      <c r="D418" s="5" t="s">
        <v>391</v>
      </c>
      <c r="E418" s="9" t="s">
        <v>77</v>
      </c>
      <c r="F418" s="9" t="str">
        <f t="array" ref="F418:G418">XLOOKUP($E418,product_epicenter!$A$2:$A$101,product_epicenter!$B$2:$C$101)</f>
        <v>Mosquito Repellent 1 pack </v>
      </c>
      <c r="G418" s="21">
        <v>90.0</v>
      </c>
      <c r="H418" s="9">
        <v>8.0</v>
      </c>
      <c r="I418" s="21">
        <f t="shared" si="2"/>
        <v>720</v>
      </c>
    </row>
    <row r="419" ht="15.75" customHeight="1">
      <c r="A419" s="18">
        <f t="shared" si="3"/>
        <v>45801</v>
      </c>
      <c r="B419" s="19">
        <f t="shared" si="1"/>
        <v>45797</v>
      </c>
      <c r="C419" s="23" t="s">
        <v>390</v>
      </c>
      <c r="D419" s="5" t="s">
        <v>391</v>
      </c>
      <c r="E419" s="9" t="s">
        <v>157</v>
      </c>
      <c r="F419" s="9" t="str">
        <f t="array" ref="F419:G419">XLOOKUP($E419,product_epicenter!$A$2:$A$101,product_epicenter!$B$2:$C$101)</f>
        <v>Butter Paper 1 roll </v>
      </c>
      <c r="G419" s="21">
        <v>100.0</v>
      </c>
      <c r="H419" s="9">
        <v>6.0</v>
      </c>
      <c r="I419" s="21">
        <f t="shared" si="2"/>
        <v>600</v>
      </c>
    </row>
    <row r="420" ht="15.75" customHeight="1">
      <c r="A420" s="18">
        <f t="shared" si="3"/>
        <v>45801</v>
      </c>
      <c r="B420" s="19">
        <f t="shared" si="1"/>
        <v>45797</v>
      </c>
      <c r="C420" s="23" t="s">
        <v>392</v>
      </c>
      <c r="D420" s="5" t="s">
        <v>393</v>
      </c>
      <c r="E420" s="9" t="s">
        <v>63</v>
      </c>
      <c r="F420" s="9" t="str">
        <f t="array" ref="F420:G420">XLOOKUP($E420,product_epicenter!$A$2:$A$101,product_epicenter!$B$2:$C$101)</f>
        <v>Shampoo 1 bottle </v>
      </c>
      <c r="G420" s="21">
        <v>200.0</v>
      </c>
      <c r="H420" s="9">
        <v>7.0</v>
      </c>
      <c r="I420" s="21">
        <f t="shared" si="2"/>
        <v>1400</v>
      </c>
    </row>
    <row r="421" ht="15.75" customHeight="1">
      <c r="A421" s="18">
        <f t="shared" si="3"/>
        <v>45801</v>
      </c>
      <c r="B421" s="19">
        <f t="shared" si="1"/>
        <v>45797</v>
      </c>
      <c r="C421" s="23" t="s">
        <v>392</v>
      </c>
      <c r="D421" s="5" t="s">
        <v>393</v>
      </c>
      <c r="E421" s="9" t="s">
        <v>21</v>
      </c>
      <c r="F421" s="9" t="str">
        <f t="array" ref="F421:G421">XLOOKUP($E421,product_epicenter!$A$2:$A$101,product_epicenter!$B$2:$C$101)</f>
        <v>Salt 1kg </v>
      </c>
      <c r="G421" s="21">
        <v>20.0</v>
      </c>
      <c r="H421" s="9">
        <v>7.0</v>
      </c>
      <c r="I421" s="21">
        <f t="shared" si="2"/>
        <v>140</v>
      </c>
    </row>
    <row r="422" ht="15.75" customHeight="1">
      <c r="A422" s="18">
        <f t="shared" si="3"/>
        <v>45801</v>
      </c>
      <c r="B422" s="19">
        <f t="shared" si="1"/>
        <v>45797</v>
      </c>
      <c r="C422" s="23" t="s">
        <v>392</v>
      </c>
      <c r="D422" s="5" t="s">
        <v>393</v>
      </c>
      <c r="E422" s="9" t="s">
        <v>47</v>
      </c>
      <c r="F422" s="9" t="str">
        <f t="array" ref="F422:G422">XLOOKUP($E422,product_epicenter!$A$2:$A$101,product_epicenter!$B$2:$C$101)</f>
        <v>Tomatoes 1kg </v>
      </c>
      <c r="G422" s="21">
        <v>50.0</v>
      </c>
      <c r="H422" s="9">
        <v>6.0</v>
      </c>
      <c r="I422" s="21">
        <f t="shared" si="2"/>
        <v>300</v>
      </c>
    </row>
    <row r="423" ht="15.75" customHeight="1">
      <c r="A423" s="18">
        <f t="shared" si="3"/>
        <v>45801</v>
      </c>
      <c r="B423" s="19">
        <f t="shared" si="1"/>
        <v>45797</v>
      </c>
      <c r="C423" s="23" t="s">
        <v>394</v>
      </c>
      <c r="D423" s="5" t="s">
        <v>395</v>
      </c>
      <c r="E423" s="9" t="s">
        <v>183</v>
      </c>
      <c r="F423" s="9" t="str">
        <f t="array" ref="F423:G423">XLOOKUP($E423,product_epicenter!$A$2:$A$101,product_epicenter!$B$2:$C$101)</f>
        <v>Body Lotion 500ml </v>
      </c>
      <c r="G423" s="21">
        <v>250.0</v>
      </c>
      <c r="H423" s="9">
        <v>8.0</v>
      </c>
      <c r="I423" s="21">
        <f t="shared" si="2"/>
        <v>2000</v>
      </c>
    </row>
    <row r="424" ht="15.75" customHeight="1">
      <c r="A424" s="18">
        <f t="shared" si="3"/>
        <v>45801</v>
      </c>
      <c r="B424" s="19">
        <f t="shared" si="1"/>
        <v>45797</v>
      </c>
      <c r="C424" s="23" t="s">
        <v>394</v>
      </c>
      <c r="D424" s="5" t="s">
        <v>395</v>
      </c>
      <c r="E424" s="9" t="s">
        <v>7</v>
      </c>
      <c r="F424" s="9" t="str">
        <f t="array" ref="F424:G424">XLOOKUP($E424,product_epicenter!$A$2:$A$101,product_epicenter!$B$2:$C$101)</f>
        <v>Sugar 1kg </v>
      </c>
      <c r="G424" s="21">
        <v>45.0</v>
      </c>
      <c r="H424" s="9">
        <v>2.0</v>
      </c>
      <c r="I424" s="21">
        <f t="shared" si="2"/>
        <v>90</v>
      </c>
    </row>
    <row r="425" ht="15.75" customHeight="1">
      <c r="A425" s="18">
        <f t="shared" si="3"/>
        <v>45801</v>
      </c>
      <c r="B425" s="19">
        <f t="shared" si="1"/>
        <v>45797</v>
      </c>
      <c r="C425" s="23" t="s">
        <v>394</v>
      </c>
      <c r="D425" s="5" t="s">
        <v>395</v>
      </c>
      <c r="E425" s="9" t="s">
        <v>27</v>
      </c>
      <c r="F425" s="9" t="str">
        <f t="array" ref="F425:G425">XLOOKUP($E425,product_epicenter!$A$2:$A$101,product_epicenter!$B$2:$C$101)</f>
        <v>Butter 500g </v>
      </c>
      <c r="G425" s="21">
        <v>250.0</v>
      </c>
      <c r="H425" s="9">
        <v>9.0</v>
      </c>
      <c r="I425" s="21">
        <f t="shared" si="2"/>
        <v>2250</v>
      </c>
    </row>
    <row r="426" ht="15.75" customHeight="1">
      <c r="A426" s="18">
        <f t="shared" si="3"/>
        <v>45801</v>
      </c>
      <c r="B426" s="19">
        <f t="shared" si="1"/>
        <v>45797</v>
      </c>
      <c r="C426" s="23" t="s">
        <v>394</v>
      </c>
      <c r="D426" s="5" t="s">
        <v>395</v>
      </c>
      <c r="E426" s="9" t="s">
        <v>19</v>
      </c>
      <c r="F426" s="9" t="str">
        <f t="array" ref="F426:G426">XLOOKUP($E426,product_epicenter!$A$2:$A$101,product_epicenter!$B$2:$C$101)</f>
        <v>Green Peas 1kg </v>
      </c>
      <c r="G426" s="21">
        <v>120.0</v>
      </c>
      <c r="H426" s="9">
        <v>1.0</v>
      </c>
      <c r="I426" s="21">
        <f t="shared" si="2"/>
        <v>120</v>
      </c>
    </row>
    <row r="427" ht="15.75" customHeight="1">
      <c r="A427" s="18">
        <f t="shared" si="3"/>
        <v>45801</v>
      </c>
      <c r="B427" s="19">
        <f t="shared" si="1"/>
        <v>45797</v>
      </c>
      <c r="C427" s="23" t="s">
        <v>394</v>
      </c>
      <c r="D427" s="5" t="s">
        <v>395</v>
      </c>
      <c r="E427" s="9" t="s">
        <v>85</v>
      </c>
      <c r="F427" s="9" t="str">
        <f t="array" ref="F427:G427">XLOOKUP($E427,product_epicenter!$A$2:$A$101,product_epicenter!$B$2:$C$101)</f>
        <v>Cumin Seeds 100g </v>
      </c>
      <c r="G427" s="21">
        <v>40.0</v>
      </c>
      <c r="H427" s="9">
        <v>4.0</v>
      </c>
      <c r="I427" s="21">
        <f t="shared" si="2"/>
        <v>160</v>
      </c>
    </row>
    <row r="428" ht="15.75" customHeight="1">
      <c r="A428" s="18">
        <f t="shared" si="3"/>
        <v>45801</v>
      </c>
      <c r="B428" s="19">
        <f t="shared" si="1"/>
        <v>45797</v>
      </c>
      <c r="C428" s="23" t="s">
        <v>396</v>
      </c>
      <c r="D428" s="5" t="s">
        <v>397</v>
      </c>
      <c r="E428" s="9" t="s">
        <v>63</v>
      </c>
      <c r="F428" s="9" t="str">
        <f t="array" ref="F428:G428">XLOOKUP($E428,product_epicenter!$A$2:$A$101,product_epicenter!$B$2:$C$101)</f>
        <v>Shampoo 1 bottle </v>
      </c>
      <c r="G428" s="21">
        <v>200.0</v>
      </c>
      <c r="H428" s="9">
        <v>3.0</v>
      </c>
      <c r="I428" s="21">
        <f t="shared" si="2"/>
        <v>600</v>
      </c>
    </row>
    <row r="429" ht="15.75" customHeight="1">
      <c r="A429" s="18">
        <f t="shared" si="3"/>
        <v>45801</v>
      </c>
      <c r="B429" s="19">
        <f t="shared" si="1"/>
        <v>45797</v>
      </c>
      <c r="C429" s="23" t="s">
        <v>396</v>
      </c>
      <c r="D429" s="5" t="s">
        <v>397</v>
      </c>
      <c r="E429" s="9" t="s">
        <v>61</v>
      </c>
      <c r="F429" s="9" t="str">
        <f t="array" ref="F429:G429">XLOOKUP($E429,product_epicenter!$A$2:$A$101,product_epicenter!$B$2:$C$101)</f>
        <v>Ice Cream 1 litre </v>
      </c>
      <c r="G429" s="21">
        <v>300.0</v>
      </c>
      <c r="H429" s="9">
        <v>3.0</v>
      </c>
      <c r="I429" s="21">
        <f t="shared" si="2"/>
        <v>900</v>
      </c>
    </row>
    <row r="430" ht="15.75" customHeight="1">
      <c r="A430" s="18">
        <f t="shared" si="3"/>
        <v>45801</v>
      </c>
      <c r="B430" s="19">
        <f t="shared" si="1"/>
        <v>45797</v>
      </c>
      <c r="C430" s="23" t="s">
        <v>396</v>
      </c>
      <c r="D430" s="5" t="s">
        <v>397</v>
      </c>
      <c r="E430" s="9" t="s">
        <v>55</v>
      </c>
      <c r="F430" s="9" t="str">
        <f t="array" ref="F430:G430">XLOOKUP($E430,product_epicenter!$A$2:$A$101,product_epicenter!$B$2:$C$101)</f>
        <v>Biscuits 1 pack </v>
      </c>
      <c r="G430" s="21">
        <v>30.0</v>
      </c>
      <c r="H430" s="9">
        <v>1.0</v>
      </c>
      <c r="I430" s="21">
        <f t="shared" si="2"/>
        <v>30</v>
      </c>
    </row>
    <row r="431" ht="15.75" customHeight="1">
      <c r="A431" s="18">
        <f t="shared" si="3"/>
        <v>45801</v>
      </c>
      <c r="B431" s="19">
        <f t="shared" si="1"/>
        <v>45797</v>
      </c>
      <c r="C431" s="23" t="s">
        <v>396</v>
      </c>
      <c r="D431" s="5" t="s">
        <v>397</v>
      </c>
      <c r="E431" s="9" t="s">
        <v>99</v>
      </c>
      <c r="F431" s="9" t="str">
        <f t="array" ref="F431:G431">XLOOKUP($E431,product_epicenter!$A$2:$A$101,product_epicenter!$B$2:$C$101)</f>
        <v>Oats 1kg </v>
      </c>
      <c r="G431" s="21">
        <v>250.0</v>
      </c>
      <c r="H431" s="9">
        <v>3.0</v>
      </c>
      <c r="I431" s="21">
        <f t="shared" si="2"/>
        <v>750</v>
      </c>
    </row>
    <row r="432" ht="15.75" customHeight="1">
      <c r="A432" s="18">
        <f t="shared" si="3"/>
        <v>45801</v>
      </c>
      <c r="B432" s="19">
        <f t="shared" si="1"/>
        <v>45797</v>
      </c>
      <c r="C432" s="23" t="s">
        <v>396</v>
      </c>
      <c r="D432" s="5" t="s">
        <v>397</v>
      </c>
      <c r="E432" s="9" t="s">
        <v>165</v>
      </c>
      <c r="F432" s="9" t="str">
        <f t="array" ref="F432:G432">XLOOKUP($E432,product_epicenter!$A$2:$A$101,product_epicenter!$B$2:$C$101)</f>
        <v>Candles 1 pack </v>
      </c>
      <c r="G432" s="21">
        <v>80.0</v>
      </c>
      <c r="H432" s="9">
        <v>4.0</v>
      </c>
      <c r="I432" s="21">
        <f t="shared" si="2"/>
        <v>320</v>
      </c>
    </row>
    <row r="433" ht="15.75" customHeight="1">
      <c r="A433" s="18">
        <f t="shared" si="3"/>
        <v>45801</v>
      </c>
      <c r="B433" s="19">
        <f t="shared" si="1"/>
        <v>45797</v>
      </c>
      <c r="C433" s="23" t="s">
        <v>398</v>
      </c>
      <c r="D433" s="5" t="s">
        <v>399</v>
      </c>
      <c r="E433" s="9" t="s">
        <v>67</v>
      </c>
      <c r="F433" s="9" t="str">
        <f t="array" ref="F433:G433">XLOOKUP($E433,product_epicenter!$A$2:$A$101,product_epicenter!$B$2:$C$101)</f>
        <v>Toothpaste 1 tube </v>
      </c>
      <c r="G433" s="21">
        <v>80.0</v>
      </c>
      <c r="H433" s="9">
        <v>6.0</v>
      </c>
      <c r="I433" s="21">
        <f t="shared" si="2"/>
        <v>480</v>
      </c>
    </row>
    <row r="434" ht="15.75" customHeight="1">
      <c r="A434" s="18">
        <f t="shared" si="3"/>
        <v>45801</v>
      </c>
      <c r="B434" s="19">
        <f t="shared" si="1"/>
        <v>45797</v>
      </c>
      <c r="C434" s="23" t="s">
        <v>398</v>
      </c>
      <c r="D434" s="5" t="s">
        <v>399</v>
      </c>
      <c r="E434" s="9" t="s">
        <v>181</v>
      </c>
      <c r="F434" s="9" t="str">
        <f t="array" ref="F434:G434">XLOOKUP($E434,product_epicenter!$A$2:$A$101,product_epicenter!$B$2:$C$101)</f>
        <v>Hand Wash 500ml </v>
      </c>
      <c r="G434" s="21">
        <v>150.0</v>
      </c>
      <c r="H434" s="9">
        <v>5.0</v>
      </c>
      <c r="I434" s="21">
        <f t="shared" si="2"/>
        <v>750</v>
      </c>
    </row>
    <row r="435" ht="15.75" customHeight="1">
      <c r="A435" s="18">
        <f t="shared" si="3"/>
        <v>45801</v>
      </c>
      <c r="B435" s="19">
        <f t="shared" si="1"/>
        <v>45797</v>
      </c>
      <c r="C435" s="23" t="s">
        <v>398</v>
      </c>
      <c r="D435" s="5" t="s">
        <v>399</v>
      </c>
      <c r="E435" s="9" t="s">
        <v>113</v>
      </c>
      <c r="F435" s="9" t="str">
        <f t="array" ref="F435:G435">XLOOKUP($E435,product_epicenter!$A$2:$A$101,product_epicenter!$B$2:$C$101)</f>
        <v>Walnuts 500g </v>
      </c>
      <c r="G435" s="21">
        <v>700.0</v>
      </c>
      <c r="H435" s="9">
        <v>7.0</v>
      </c>
      <c r="I435" s="21">
        <f t="shared" si="2"/>
        <v>4900</v>
      </c>
    </row>
    <row r="436" ht="15.75" customHeight="1">
      <c r="A436" s="18">
        <f t="shared" si="3"/>
        <v>45801</v>
      </c>
      <c r="B436" s="19">
        <f t="shared" si="1"/>
        <v>45797</v>
      </c>
      <c r="C436" s="23" t="s">
        <v>400</v>
      </c>
      <c r="D436" s="5" t="s">
        <v>401</v>
      </c>
      <c r="E436" s="9" t="s">
        <v>147</v>
      </c>
      <c r="F436" s="9" t="str">
        <f t="array" ref="F436:G436">XLOOKUP($E436,product_epicenter!$A$2:$A$101,product_epicenter!$B$2:$C$101)</f>
        <v>Baking Soda 500g </v>
      </c>
      <c r="G436" s="21">
        <v>50.0</v>
      </c>
      <c r="H436" s="9">
        <v>2.0</v>
      </c>
      <c r="I436" s="21">
        <f t="shared" si="2"/>
        <v>100</v>
      </c>
    </row>
    <row r="437" ht="15.75" customHeight="1">
      <c r="A437" s="18">
        <f t="shared" si="3"/>
        <v>45801</v>
      </c>
      <c r="B437" s="19">
        <f t="shared" si="1"/>
        <v>45797</v>
      </c>
      <c r="C437" s="23" t="s">
        <v>400</v>
      </c>
      <c r="D437" s="5" t="s">
        <v>401</v>
      </c>
      <c r="E437" s="9" t="s">
        <v>171</v>
      </c>
      <c r="F437" s="9" t="str">
        <f t="array" ref="F437:G437">XLOOKUP($E437,product_epicenter!$A$2:$A$101,product_epicenter!$B$2:$C$101)</f>
        <v>Mineral Water 1 litre </v>
      </c>
      <c r="G437" s="21">
        <v>20.0</v>
      </c>
      <c r="H437" s="9">
        <v>9.0</v>
      </c>
      <c r="I437" s="21">
        <f t="shared" si="2"/>
        <v>180</v>
      </c>
    </row>
    <row r="438" ht="15.75" customHeight="1">
      <c r="A438" s="18">
        <f t="shared" si="3"/>
        <v>45801</v>
      </c>
      <c r="B438" s="19">
        <f t="shared" si="1"/>
        <v>45797</v>
      </c>
      <c r="C438" s="23" t="s">
        <v>400</v>
      </c>
      <c r="D438" s="5" t="s">
        <v>401</v>
      </c>
      <c r="E438" s="9" t="s">
        <v>5</v>
      </c>
      <c r="F438" s="9" t="str">
        <f t="array" ref="F438:G438">XLOOKUP($E438,product_epicenter!$A$2:$A$101,product_epicenter!$B$2:$C$101)</f>
        <v>Dal (Lentils) 1kg </v>
      </c>
      <c r="G438" s="21">
        <v>100.0</v>
      </c>
      <c r="H438" s="9">
        <v>7.0</v>
      </c>
      <c r="I438" s="21">
        <f t="shared" si="2"/>
        <v>700</v>
      </c>
    </row>
    <row r="439" ht="15.75" customHeight="1">
      <c r="A439" s="18">
        <f t="shared" si="3"/>
        <v>45801</v>
      </c>
      <c r="B439" s="19">
        <f t="shared" si="1"/>
        <v>45797</v>
      </c>
      <c r="C439" s="23" t="s">
        <v>402</v>
      </c>
      <c r="D439" s="5" t="s">
        <v>403</v>
      </c>
      <c r="E439" s="9" t="s">
        <v>31</v>
      </c>
      <c r="F439" s="9" t="str">
        <f t="array" ref="F439:G439">XLOOKUP($E439,product_epicenter!$A$2:$A$101,product_epicenter!$B$2:$C$101)</f>
        <v>Eggs 12 pcs </v>
      </c>
      <c r="G439" s="21">
        <v>80.0</v>
      </c>
      <c r="H439" s="9">
        <v>8.0</v>
      </c>
      <c r="I439" s="21">
        <f t="shared" si="2"/>
        <v>640</v>
      </c>
    </row>
    <row r="440" ht="15.75" customHeight="1">
      <c r="A440" s="18">
        <f t="shared" si="3"/>
        <v>45801</v>
      </c>
      <c r="B440" s="19">
        <f t="shared" si="1"/>
        <v>45797</v>
      </c>
      <c r="C440" s="23" t="s">
        <v>402</v>
      </c>
      <c r="D440" s="5" t="s">
        <v>403</v>
      </c>
      <c r="E440" s="9" t="s">
        <v>171</v>
      </c>
      <c r="F440" s="9" t="str">
        <f t="array" ref="F440:G440">XLOOKUP($E440,product_epicenter!$A$2:$A$101,product_epicenter!$B$2:$C$101)</f>
        <v>Mineral Water 1 litre </v>
      </c>
      <c r="G440" s="21">
        <v>20.0</v>
      </c>
      <c r="H440" s="9">
        <v>9.0</v>
      </c>
      <c r="I440" s="21">
        <f t="shared" si="2"/>
        <v>180</v>
      </c>
    </row>
    <row r="441" ht="15.75" customHeight="1">
      <c r="A441" s="18">
        <f t="shared" si="3"/>
        <v>45801</v>
      </c>
      <c r="B441" s="19">
        <f t="shared" si="1"/>
        <v>45797</v>
      </c>
      <c r="C441" s="23" t="s">
        <v>402</v>
      </c>
      <c r="D441" s="5" t="s">
        <v>403</v>
      </c>
      <c r="E441" s="9" t="s">
        <v>27</v>
      </c>
      <c r="F441" s="9" t="str">
        <f t="array" ref="F441:G441">XLOOKUP($E441,product_epicenter!$A$2:$A$101,product_epicenter!$B$2:$C$101)</f>
        <v>Butter 500g </v>
      </c>
      <c r="G441" s="21">
        <v>250.0</v>
      </c>
      <c r="H441" s="9">
        <v>6.0</v>
      </c>
      <c r="I441" s="21">
        <f t="shared" si="2"/>
        <v>1500</v>
      </c>
    </row>
    <row r="442" ht="15.75" customHeight="1">
      <c r="A442" s="18">
        <f t="shared" si="3"/>
        <v>45801</v>
      </c>
      <c r="B442" s="19">
        <f t="shared" si="1"/>
        <v>45797</v>
      </c>
      <c r="C442" s="23" t="s">
        <v>404</v>
      </c>
      <c r="D442" s="5" t="s">
        <v>405</v>
      </c>
      <c r="E442" s="9" t="s">
        <v>21</v>
      </c>
      <c r="F442" s="9" t="str">
        <f t="array" ref="F442:G442">XLOOKUP($E442,product_epicenter!$A$2:$A$101,product_epicenter!$B$2:$C$101)</f>
        <v>Salt 1kg </v>
      </c>
      <c r="G442" s="21">
        <v>20.0</v>
      </c>
      <c r="H442" s="9">
        <v>2.0</v>
      </c>
      <c r="I442" s="21">
        <f t="shared" si="2"/>
        <v>40</v>
      </c>
    </row>
    <row r="443" ht="15.75" customHeight="1">
      <c r="A443" s="18">
        <f t="shared" si="3"/>
        <v>45801</v>
      </c>
      <c r="B443" s="19">
        <f t="shared" si="1"/>
        <v>45797</v>
      </c>
      <c r="C443" s="23" t="s">
        <v>404</v>
      </c>
      <c r="D443" s="5" t="s">
        <v>405</v>
      </c>
      <c r="E443" s="9" t="s">
        <v>15</v>
      </c>
      <c r="F443" s="9" t="str">
        <f t="array" ref="F443:G443">XLOOKUP($E443,product_epicenter!$A$2:$A$101,product_epicenter!$B$2:$C$101)</f>
        <v>Tea 250g </v>
      </c>
      <c r="G443" s="21">
        <v>155.0</v>
      </c>
      <c r="H443" s="9">
        <v>9.0</v>
      </c>
      <c r="I443" s="21">
        <f t="shared" si="2"/>
        <v>1395</v>
      </c>
    </row>
    <row r="444" ht="15.75" customHeight="1">
      <c r="A444" s="18">
        <f t="shared" si="3"/>
        <v>45801</v>
      </c>
      <c r="B444" s="19">
        <f t="shared" si="1"/>
        <v>45797</v>
      </c>
      <c r="C444" s="23" t="s">
        <v>404</v>
      </c>
      <c r="D444" s="5" t="s">
        <v>405</v>
      </c>
      <c r="E444" s="9" t="s">
        <v>59</v>
      </c>
      <c r="F444" s="9" t="str">
        <f t="array" ref="F444:G444">XLOOKUP($E444,product_epicenter!$A$2:$A$101,product_epicenter!$B$2:$C$101)</f>
        <v>Cold Drink 1 litre </v>
      </c>
      <c r="G444" s="21">
        <v>100.0</v>
      </c>
      <c r="H444" s="9">
        <v>1.0</v>
      </c>
      <c r="I444" s="21">
        <f t="shared" si="2"/>
        <v>100</v>
      </c>
    </row>
    <row r="445" ht="15.75" customHeight="1">
      <c r="A445" s="18">
        <f t="shared" si="3"/>
        <v>45801</v>
      </c>
      <c r="B445" s="19">
        <f t="shared" si="1"/>
        <v>45797</v>
      </c>
      <c r="C445" s="23" t="s">
        <v>404</v>
      </c>
      <c r="D445" s="5" t="s">
        <v>405</v>
      </c>
      <c r="E445" s="9" t="s">
        <v>31</v>
      </c>
      <c r="F445" s="9" t="str">
        <f t="array" ref="F445:G445">XLOOKUP($E445,product_epicenter!$A$2:$A$101,product_epicenter!$B$2:$C$101)</f>
        <v>Eggs 12 pcs </v>
      </c>
      <c r="G445" s="21">
        <v>80.0</v>
      </c>
      <c r="H445" s="9">
        <v>5.0</v>
      </c>
      <c r="I445" s="21">
        <f t="shared" si="2"/>
        <v>400</v>
      </c>
    </row>
    <row r="446" ht="15.75" customHeight="1">
      <c r="A446" s="18">
        <f t="shared" si="3"/>
        <v>45801</v>
      </c>
      <c r="B446" s="19">
        <f t="shared" si="1"/>
        <v>45797</v>
      </c>
      <c r="C446" s="23" t="s">
        <v>404</v>
      </c>
      <c r="D446" s="5" t="s">
        <v>405</v>
      </c>
      <c r="E446" s="9" t="s">
        <v>31</v>
      </c>
      <c r="F446" s="9" t="str">
        <f t="array" ref="F446:G446">XLOOKUP($E446,product_epicenter!$A$2:$A$101,product_epicenter!$B$2:$C$101)</f>
        <v>Eggs 12 pcs </v>
      </c>
      <c r="G446" s="21">
        <v>80.0</v>
      </c>
      <c r="H446" s="9">
        <v>9.0</v>
      </c>
      <c r="I446" s="21">
        <f t="shared" si="2"/>
        <v>720</v>
      </c>
    </row>
    <row r="447" ht="15.75" customHeight="1">
      <c r="A447" s="18">
        <f t="shared" si="3"/>
        <v>45801</v>
      </c>
      <c r="B447" s="19">
        <f t="shared" si="1"/>
        <v>45797</v>
      </c>
      <c r="C447" s="23" t="s">
        <v>406</v>
      </c>
      <c r="D447" s="5" t="s">
        <v>407</v>
      </c>
      <c r="E447" s="9" t="s">
        <v>85</v>
      </c>
      <c r="F447" s="9" t="str">
        <f t="array" ref="F447:G447">XLOOKUP($E447,product_epicenter!$A$2:$A$101,product_epicenter!$B$2:$C$101)</f>
        <v>Cumin Seeds 100g </v>
      </c>
      <c r="G447" s="21">
        <v>40.0</v>
      </c>
      <c r="H447" s="9">
        <v>3.0</v>
      </c>
      <c r="I447" s="21">
        <f t="shared" si="2"/>
        <v>120</v>
      </c>
    </row>
    <row r="448" ht="15.75" customHeight="1">
      <c r="A448" s="18">
        <f t="shared" si="3"/>
        <v>45801</v>
      </c>
      <c r="B448" s="19">
        <f t="shared" si="1"/>
        <v>45797</v>
      </c>
      <c r="C448" s="23" t="s">
        <v>406</v>
      </c>
      <c r="D448" s="5" t="s">
        <v>407</v>
      </c>
      <c r="E448" s="9" t="s">
        <v>71</v>
      </c>
      <c r="F448" s="9" t="str">
        <f t="array" ref="F448:G448">XLOOKUP($E448,product_epicenter!$A$2:$A$101,product_epicenter!$B$2:$C$101)</f>
        <v>Dishwashing Liquid 500ml </v>
      </c>
      <c r="G448" s="21">
        <v>100.0</v>
      </c>
      <c r="H448" s="9">
        <v>8.0</v>
      </c>
      <c r="I448" s="21">
        <f t="shared" si="2"/>
        <v>800</v>
      </c>
    </row>
    <row r="449" ht="15.75" customHeight="1">
      <c r="A449" s="18">
        <f t="shared" si="3"/>
        <v>45801</v>
      </c>
      <c r="B449" s="19">
        <f t="shared" si="1"/>
        <v>45797</v>
      </c>
      <c r="C449" s="23" t="s">
        <v>406</v>
      </c>
      <c r="D449" s="5" t="s">
        <v>407</v>
      </c>
      <c r="E449" s="9" t="s">
        <v>177</v>
      </c>
      <c r="F449" s="9" t="str">
        <f t="array" ref="F449:G449">XLOOKUP($E449,product_epicenter!$A$2:$A$101,product_epicenter!$B$2:$C$101)</f>
        <v>Juice 1 litre </v>
      </c>
      <c r="G449" s="21">
        <v>150.0</v>
      </c>
      <c r="H449" s="9">
        <v>3.0</v>
      </c>
      <c r="I449" s="21">
        <f t="shared" si="2"/>
        <v>450</v>
      </c>
    </row>
    <row r="450" ht="15.75" customHeight="1">
      <c r="A450" s="18">
        <f t="shared" si="3"/>
        <v>45801</v>
      </c>
      <c r="B450" s="19">
        <f t="shared" si="1"/>
        <v>45797</v>
      </c>
      <c r="C450" s="23" t="s">
        <v>406</v>
      </c>
      <c r="D450" s="5" t="s">
        <v>407</v>
      </c>
      <c r="E450" s="9" t="s">
        <v>37</v>
      </c>
      <c r="F450" s="9" t="str">
        <f t="array" ref="F450:G450">XLOOKUP($E450,product_epicenter!$A$2:$A$101,product_epicenter!$B$2:$C$101)</f>
        <v>Apples 1kg </v>
      </c>
      <c r="G450" s="21">
        <v>200.0</v>
      </c>
      <c r="H450" s="9">
        <v>1.0</v>
      </c>
      <c r="I450" s="21">
        <f t="shared" si="2"/>
        <v>200</v>
      </c>
    </row>
    <row r="451" ht="15.75" customHeight="1">
      <c r="A451" s="18">
        <f t="shared" si="3"/>
        <v>45801</v>
      </c>
      <c r="B451" s="19">
        <f t="shared" si="1"/>
        <v>45797</v>
      </c>
      <c r="C451" s="23" t="s">
        <v>406</v>
      </c>
      <c r="D451" s="5" t="s">
        <v>407</v>
      </c>
      <c r="E451" s="9" t="s">
        <v>169</v>
      </c>
      <c r="F451" s="9" t="str">
        <f t="array" ref="F451:G451">XLOOKUP($E451,product_epicenter!$A$2:$A$101,product_epicenter!$B$2:$C$101)</f>
        <v>Energy Drink 1 can </v>
      </c>
      <c r="G451" s="21">
        <v>100.0</v>
      </c>
      <c r="H451" s="9">
        <v>4.0</v>
      </c>
      <c r="I451" s="21">
        <f t="shared" si="2"/>
        <v>400</v>
      </c>
    </row>
    <row r="452" ht="15.75" customHeight="1">
      <c r="A452" s="18">
        <f t="shared" si="3"/>
        <v>45801</v>
      </c>
      <c r="B452" s="19">
        <f t="shared" si="1"/>
        <v>45798</v>
      </c>
      <c r="C452" s="23" t="s">
        <v>408</v>
      </c>
      <c r="D452" s="5" t="s">
        <v>409</v>
      </c>
      <c r="E452" s="9" t="s">
        <v>97</v>
      </c>
      <c r="F452" s="9" t="str">
        <f t="array" ref="F452:G452">XLOOKUP($E452,product_epicenter!$A$2:$A$101,product_epicenter!$B$2:$C$101)</f>
        <v>Noodles 500g </v>
      </c>
      <c r="G452" s="21">
        <v>100.0</v>
      </c>
      <c r="H452" s="9">
        <v>8.0</v>
      </c>
      <c r="I452" s="21">
        <f t="shared" si="2"/>
        <v>800</v>
      </c>
    </row>
    <row r="453" ht="15.75" customHeight="1">
      <c r="A453" s="18">
        <f t="shared" si="3"/>
        <v>45801</v>
      </c>
      <c r="B453" s="19">
        <f t="shared" si="1"/>
        <v>45798</v>
      </c>
      <c r="C453" s="23" t="s">
        <v>408</v>
      </c>
      <c r="D453" s="5" t="s">
        <v>409</v>
      </c>
      <c r="E453" s="9" t="s">
        <v>131</v>
      </c>
      <c r="F453" s="9" t="str">
        <f t="array" ref="F453:G453">XLOOKUP($E453,product_epicenter!$A$2:$A$101,product_epicenter!$B$2:$C$101)</f>
        <v>Yogurt 500g </v>
      </c>
      <c r="G453" s="21">
        <v>80.0</v>
      </c>
      <c r="H453" s="9">
        <v>9.0</v>
      </c>
      <c r="I453" s="21">
        <f t="shared" si="2"/>
        <v>720</v>
      </c>
    </row>
    <row r="454" ht="15.75" customHeight="1">
      <c r="A454" s="18">
        <f t="shared" si="3"/>
        <v>45801</v>
      </c>
      <c r="B454" s="19">
        <f t="shared" si="1"/>
        <v>45798</v>
      </c>
      <c r="C454" s="23" t="s">
        <v>408</v>
      </c>
      <c r="D454" s="5" t="s">
        <v>409</v>
      </c>
      <c r="E454" s="9" t="s">
        <v>187</v>
      </c>
      <c r="F454" s="9" t="str">
        <f t="array" ref="F454:G454">XLOOKUP($E454,product_epicenter!$A$2:$A$101,product_epicenter!$B$2:$C$101)</f>
        <v>Shaving Cream 100g </v>
      </c>
      <c r="G454" s="21">
        <v>150.0</v>
      </c>
      <c r="H454" s="9">
        <v>6.0</v>
      </c>
      <c r="I454" s="21">
        <f t="shared" si="2"/>
        <v>900</v>
      </c>
    </row>
    <row r="455" ht="15.75" customHeight="1">
      <c r="A455" s="18">
        <f t="shared" si="3"/>
        <v>45801</v>
      </c>
      <c r="B455" s="19">
        <f t="shared" si="1"/>
        <v>45798</v>
      </c>
      <c r="C455" s="23" t="s">
        <v>410</v>
      </c>
      <c r="D455" s="5" t="s">
        <v>411</v>
      </c>
      <c r="E455" s="9" t="s">
        <v>91</v>
      </c>
      <c r="F455" s="9" t="str">
        <f t="array" ref="F455:G455">XLOOKUP($E455,product_epicenter!$A$2:$A$101,product_epicenter!$B$2:$C$101)</f>
        <v>Vinegar 500ml </v>
      </c>
      <c r="G455" s="21">
        <v>90.0</v>
      </c>
      <c r="H455" s="9">
        <v>4.0</v>
      </c>
      <c r="I455" s="21">
        <f t="shared" si="2"/>
        <v>360</v>
      </c>
    </row>
    <row r="456" ht="15.75" customHeight="1">
      <c r="A456" s="18">
        <f t="shared" si="3"/>
        <v>45801</v>
      </c>
      <c r="B456" s="19">
        <f t="shared" si="1"/>
        <v>45798</v>
      </c>
      <c r="C456" s="23" t="s">
        <v>410</v>
      </c>
      <c r="D456" s="5" t="s">
        <v>411</v>
      </c>
      <c r="E456" s="9" t="s">
        <v>93</v>
      </c>
      <c r="F456" s="9" t="str">
        <f t="array" ref="F456:G456">XLOOKUP($E456,product_epicenter!$A$2:$A$101,product_epicenter!$B$2:$C$101)</f>
        <v>Soy Sauce 500ml </v>
      </c>
      <c r="G456" s="21">
        <v>120.0</v>
      </c>
      <c r="H456" s="9">
        <v>5.0</v>
      </c>
      <c r="I456" s="21">
        <f t="shared" si="2"/>
        <v>600</v>
      </c>
    </row>
    <row r="457" ht="15.75" customHeight="1">
      <c r="A457" s="18">
        <f t="shared" si="3"/>
        <v>45801</v>
      </c>
      <c r="B457" s="19">
        <f t="shared" si="1"/>
        <v>45798</v>
      </c>
      <c r="C457" s="23" t="s">
        <v>410</v>
      </c>
      <c r="D457" s="5" t="s">
        <v>411</v>
      </c>
      <c r="E457" s="9" t="s">
        <v>41</v>
      </c>
      <c r="F457" s="9" t="str">
        <f t="array" ref="F457:G457">XLOOKUP($E457,product_epicenter!$A$2:$A$101,product_epicenter!$B$2:$C$101)</f>
        <v>Oranges 1kg </v>
      </c>
      <c r="G457" s="21">
        <v>100.0</v>
      </c>
      <c r="H457" s="9">
        <v>1.0</v>
      </c>
      <c r="I457" s="21">
        <f t="shared" si="2"/>
        <v>100</v>
      </c>
    </row>
    <row r="458" ht="15.75" customHeight="1">
      <c r="A458" s="18">
        <f t="shared" si="3"/>
        <v>45801</v>
      </c>
      <c r="B458" s="19">
        <f t="shared" si="1"/>
        <v>45798</v>
      </c>
      <c r="C458" s="23" t="s">
        <v>410</v>
      </c>
      <c r="D458" s="5" t="s">
        <v>411</v>
      </c>
      <c r="E458" s="9" t="s">
        <v>125</v>
      </c>
      <c r="F458" s="9" t="str">
        <f t="array" ref="F458:G458">XLOOKUP($E458,product_epicenter!$A$2:$A$101,product_epicenter!$B$2:$C$101)</f>
        <v>Mangoes 1kg </v>
      </c>
      <c r="G458" s="21">
        <v>250.0</v>
      </c>
      <c r="H458" s="9">
        <v>2.0</v>
      </c>
      <c r="I458" s="21">
        <f t="shared" si="2"/>
        <v>500</v>
      </c>
    </row>
    <row r="459" ht="15.75" customHeight="1">
      <c r="A459" s="18">
        <f t="shared" si="3"/>
        <v>45801</v>
      </c>
      <c r="B459" s="19">
        <f t="shared" si="1"/>
        <v>45798</v>
      </c>
      <c r="C459" s="23" t="s">
        <v>410</v>
      </c>
      <c r="D459" s="5" t="s">
        <v>411</v>
      </c>
      <c r="E459" s="9" t="s">
        <v>179</v>
      </c>
      <c r="F459" s="9" t="str">
        <f t="array" ref="F459:G459">XLOOKUP($E459,product_epicenter!$A$2:$A$101,product_epicenter!$B$2:$C$101)</f>
        <v>Sports Drink 1 litre </v>
      </c>
      <c r="G459" s="21">
        <v>200.0</v>
      </c>
      <c r="H459" s="9">
        <v>9.0</v>
      </c>
      <c r="I459" s="21">
        <f t="shared" si="2"/>
        <v>1800</v>
      </c>
    </row>
    <row r="460" ht="15.75" customHeight="1">
      <c r="A460" s="18">
        <f t="shared" si="3"/>
        <v>45801</v>
      </c>
      <c r="B460" s="19">
        <f t="shared" si="1"/>
        <v>45798</v>
      </c>
      <c r="C460" s="23" t="s">
        <v>412</v>
      </c>
      <c r="D460" s="5" t="s">
        <v>413</v>
      </c>
      <c r="E460" s="9" t="s">
        <v>71</v>
      </c>
      <c r="F460" s="9" t="str">
        <f t="array" ref="F460:G460">XLOOKUP($E460,product_epicenter!$A$2:$A$101,product_epicenter!$B$2:$C$101)</f>
        <v>Dishwashing Liquid 500ml </v>
      </c>
      <c r="G460" s="21">
        <v>100.0</v>
      </c>
      <c r="H460" s="9">
        <v>4.0</v>
      </c>
      <c r="I460" s="21">
        <f t="shared" si="2"/>
        <v>400</v>
      </c>
    </row>
    <row r="461" ht="15.75" customHeight="1">
      <c r="A461" s="18">
        <f t="shared" si="3"/>
        <v>45801</v>
      </c>
      <c r="B461" s="19">
        <f t="shared" si="1"/>
        <v>45798</v>
      </c>
      <c r="C461" s="23" t="s">
        <v>412</v>
      </c>
      <c r="D461" s="5" t="s">
        <v>413</v>
      </c>
      <c r="E461" s="9" t="s">
        <v>147</v>
      </c>
      <c r="F461" s="9" t="str">
        <f t="array" ref="F461:G461">XLOOKUP($E461,product_epicenter!$A$2:$A$101,product_epicenter!$B$2:$C$101)</f>
        <v>Baking Soda 500g </v>
      </c>
      <c r="G461" s="21">
        <v>50.0</v>
      </c>
      <c r="H461" s="9">
        <v>2.0</v>
      </c>
      <c r="I461" s="21">
        <f t="shared" si="2"/>
        <v>100</v>
      </c>
    </row>
    <row r="462" ht="15.75" customHeight="1">
      <c r="A462" s="18">
        <f t="shared" si="3"/>
        <v>45801</v>
      </c>
      <c r="B462" s="19">
        <f t="shared" si="1"/>
        <v>45798</v>
      </c>
      <c r="C462" s="23" t="s">
        <v>414</v>
      </c>
      <c r="D462" s="5" t="s">
        <v>415</v>
      </c>
      <c r="E462" s="9" t="s">
        <v>157</v>
      </c>
      <c r="F462" s="9" t="str">
        <f t="array" ref="F462:G462">XLOOKUP($E462,product_epicenter!$A$2:$A$101,product_epicenter!$B$2:$C$101)</f>
        <v>Butter Paper 1 roll </v>
      </c>
      <c r="G462" s="21">
        <v>100.0</v>
      </c>
      <c r="H462" s="9">
        <v>2.0</v>
      </c>
      <c r="I462" s="21">
        <f t="shared" si="2"/>
        <v>200</v>
      </c>
    </row>
    <row r="463" ht="15.75" customHeight="1">
      <c r="A463" s="18">
        <f t="shared" si="3"/>
        <v>45801</v>
      </c>
      <c r="B463" s="19">
        <f t="shared" si="1"/>
        <v>45798</v>
      </c>
      <c r="C463" s="23" t="s">
        <v>414</v>
      </c>
      <c r="D463" s="5" t="s">
        <v>415</v>
      </c>
      <c r="E463" s="9" t="s">
        <v>111</v>
      </c>
      <c r="F463" s="9" t="str">
        <f t="array" ref="F463:G463">XLOOKUP($E463,product_epicenter!$A$2:$A$101,product_epicenter!$B$2:$C$101)</f>
        <v>Almonds 500g </v>
      </c>
      <c r="G463" s="21">
        <v>500.0</v>
      </c>
      <c r="H463" s="9">
        <v>4.0</v>
      </c>
      <c r="I463" s="21">
        <f t="shared" si="2"/>
        <v>2000</v>
      </c>
    </row>
    <row r="464" ht="15.75" customHeight="1">
      <c r="A464" s="18">
        <f t="shared" si="3"/>
        <v>45801</v>
      </c>
      <c r="B464" s="19">
        <f t="shared" si="1"/>
        <v>45798</v>
      </c>
      <c r="C464" s="23" t="s">
        <v>414</v>
      </c>
      <c r="D464" s="5" t="s">
        <v>415</v>
      </c>
      <c r="E464" s="9" t="s">
        <v>43</v>
      </c>
      <c r="F464" s="9" t="str">
        <f t="array" ref="F464:G464">XLOOKUP($E464,product_epicenter!$A$2:$A$101,product_epicenter!$B$2:$C$101)</f>
        <v>Potatoes 1kg </v>
      </c>
      <c r="G464" s="21">
        <v>30.0</v>
      </c>
      <c r="H464" s="9">
        <v>2.0</v>
      </c>
      <c r="I464" s="21">
        <f t="shared" si="2"/>
        <v>60</v>
      </c>
    </row>
    <row r="465" ht="15.75" customHeight="1">
      <c r="A465" s="18">
        <f t="shared" si="3"/>
        <v>45801</v>
      </c>
      <c r="B465" s="19">
        <f t="shared" si="1"/>
        <v>45798</v>
      </c>
      <c r="C465" s="23" t="s">
        <v>414</v>
      </c>
      <c r="D465" s="5" t="s">
        <v>415</v>
      </c>
      <c r="E465" s="9" t="s">
        <v>175</v>
      </c>
      <c r="F465" s="9" t="str">
        <f t="array" ref="F465:G465">XLOOKUP($E465,product_epicenter!$A$2:$A$101,product_epicenter!$B$2:$C$101)</f>
        <v>Ice Tea 1 litre </v>
      </c>
      <c r="G465" s="21">
        <v>120.0</v>
      </c>
      <c r="H465" s="9">
        <v>9.0</v>
      </c>
      <c r="I465" s="21">
        <f t="shared" si="2"/>
        <v>1080</v>
      </c>
    </row>
    <row r="466" ht="15.75" customHeight="1">
      <c r="A466" s="18">
        <f t="shared" si="3"/>
        <v>45801</v>
      </c>
      <c r="B466" s="19">
        <f t="shared" si="1"/>
        <v>45798</v>
      </c>
      <c r="C466" s="23" t="s">
        <v>414</v>
      </c>
      <c r="D466" s="5" t="s">
        <v>415</v>
      </c>
      <c r="E466" s="9" t="s">
        <v>5</v>
      </c>
      <c r="F466" s="9" t="str">
        <f t="array" ref="F466:G466">XLOOKUP($E466,product_epicenter!$A$2:$A$101,product_epicenter!$B$2:$C$101)</f>
        <v>Dal (Lentils) 1kg </v>
      </c>
      <c r="G466" s="21">
        <v>100.0</v>
      </c>
      <c r="H466" s="9">
        <v>3.0</v>
      </c>
      <c r="I466" s="21">
        <f t="shared" si="2"/>
        <v>300</v>
      </c>
    </row>
    <row r="467" ht="15.75" customHeight="1">
      <c r="A467" s="18">
        <f t="shared" si="3"/>
        <v>45801</v>
      </c>
      <c r="B467" s="19">
        <f t="shared" si="1"/>
        <v>45798</v>
      </c>
      <c r="C467" s="23" t="s">
        <v>416</v>
      </c>
      <c r="D467" s="5" t="s">
        <v>417</v>
      </c>
      <c r="E467" s="9" t="s">
        <v>187</v>
      </c>
      <c r="F467" s="9" t="str">
        <f t="array" ref="F467:G467">XLOOKUP($E467,product_epicenter!$A$2:$A$101,product_epicenter!$B$2:$C$101)</f>
        <v>Shaving Cream 100g </v>
      </c>
      <c r="G467" s="21">
        <v>150.0</v>
      </c>
      <c r="H467" s="9">
        <v>5.0</v>
      </c>
      <c r="I467" s="21">
        <f t="shared" si="2"/>
        <v>750</v>
      </c>
    </row>
    <row r="468" ht="15.75" customHeight="1">
      <c r="A468" s="18">
        <f t="shared" si="3"/>
        <v>45801</v>
      </c>
      <c r="B468" s="19">
        <f t="shared" si="1"/>
        <v>45798</v>
      </c>
      <c r="C468" s="23" t="s">
        <v>416</v>
      </c>
      <c r="D468" s="5" t="s">
        <v>417</v>
      </c>
      <c r="E468" s="9" t="s">
        <v>165</v>
      </c>
      <c r="F468" s="9" t="str">
        <f t="array" ref="F468:G468">XLOOKUP($E468,product_epicenter!$A$2:$A$101,product_epicenter!$B$2:$C$101)</f>
        <v>Candles 1 pack </v>
      </c>
      <c r="G468" s="21">
        <v>80.0</v>
      </c>
      <c r="H468" s="9">
        <v>7.0</v>
      </c>
      <c r="I468" s="21">
        <f t="shared" si="2"/>
        <v>560</v>
      </c>
    </row>
    <row r="469" ht="15.75" customHeight="1">
      <c r="A469" s="18">
        <f t="shared" si="3"/>
        <v>45801</v>
      </c>
      <c r="B469" s="19">
        <f t="shared" si="1"/>
        <v>45798</v>
      </c>
      <c r="C469" s="23" t="s">
        <v>416</v>
      </c>
      <c r="D469" s="5" t="s">
        <v>417</v>
      </c>
      <c r="E469" s="9" t="s">
        <v>123</v>
      </c>
      <c r="F469" s="9" t="str">
        <f t="array" ref="F469:G469">XLOOKUP($E469,product_epicenter!$A$2:$A$101,product_epicenter!$B$2:$C$101)</f>
        <v>Grapes 1kg </v>
      </c>
      <c r="G469" s="21">
        <v>150.0</v>
      </c>
      <c r="H469" s="9">
        <v>4.0</v>
      </c>
      <c r="I469" s="21">
        <f t="shared" si="2"/>
        <v>600</v>
      </c>
    </row>
    <row r="470" ht="15.75" customHeight="1">
      <c r="A470" s="18">
        <f t="shared" si="3"/>
        <v>45801</v>
      </c>
      <c r="B470" s="19">
        <f t="shared" si="1"/>
        <v>45798</v>
      </c>
      <c r="C470" s="23" t="s">
        <v>416</v>
      </c>
      <c r="D470" s="5" t="s">
        <v>417</v>
      </c>
      <c r="E470" s="9" t="s">
        <v>5</v>
      </c>
      <c r="F470" s="9" t="str">
        <f t="array" ref="F470:G470">XLOOKUP($E470,product_epicenter!$A$2:$A$101,product_epicenter!$B$2:$C$101)</f>
        <v>Dal (Lentils) 1kg </v>
      </c>
      <c r="G470" s="21">
        <v>100.0</v>
      </c>
      <c r="H470" s="9">
        <v>9.0</v>
      </c>
      <c r="I470" s="21">
        <f t="shared" si="2"/>
        <v>900</v>
      </c>
    </row>
    <row r="471" ht="15.75" customHeight="1">
      <c r="A471" s="18">
        <f t="shared" si="3"/>
        <v>45801</v>
      </c>
      <c r="B471" s="19">
        <f t="shared" si="1"/>
        <v>45798</v>
      </c>
      <c r="C471" s="23" t="s">
        <v>416</v>
      </c>
      <c r="D471" s="5" t="s">
        <v>417</v>
      </c>
      <c r="E471" s="9" t="s">
        <v>85</v>
      </c>
      <c r="F471" s="9" t="str">
        <f t="array" ref="F471:G471">XLOOKUP($E471,product_epicenter!$A$2:$A$101,product_epicenter!$B$2:$C$101)</f>
        <v>Cumin Seeds 100g </v>
      </c>
      <c r="G471" s="21">
        <v>40.0</v>
      </c>
      <c r="H471" s="9">
        <v>6.0</v>
      </c>
      <c r="I471" s="21">
        <f t="shared" si="2"/>
        <v>240</v>
      </c>
    </row>
    <row r="472" ht="15.75" customHeight="1">
      <c r="A472" s="18">
        <f t="shared" si="3"/>
        <v>45801</v>
      </c>
      <c r="B472" s="19">
        <f t="shared" si="1"/>
        <v>45798</v>
      </c>
      <c r="C472" s="23" t="s">
        <v>416</v>
      </c>
      <c r="D472" s="5" t="s">
        <v>417</v>
      </c>
      <c r="E472" s="9" t="s">
        <v>45</v>
      </c>
      <c r="F472" s="9" t="str">
        <f t="array" ref="F472:G472">XLOOKUP($E472,product_epicenter!$A$2:$A$101,product_epicenter!$B$2:$C$101)</f>
        <v>Onions 1kg </v>
      </c>
      <c r="G472" s="21">
        <v>40.0</v>
      </c>
      <c r="H472" s="9">
        <v>7.0</v>
      </c>
      <c r="I472" s="21">
        <f t="shared" si="2"/>
        <v>280</v>
      </c>
    </row>
    <row r="473" ht="15.75" customHeight="1">
      <c r="A473" s="18">
        <f t="shared" si="3"/>
        <v>45801</v>
      </c>
      <c r="B473" s="19">
        <f t="shared" si="1"/>
        <v>45798</v>
      </c>
      <c r="C473" s="23" t="s">
        <v>418</v>
      </c>
      <c r="D473" s="5" t="s">
        <v>419</v>
      </c>
      <c r="E473" s="9" t="s">
        <v>31</v>
      </c>
      <c r="F473" s="9" t="str">
        <f t="array" ref="F473:G473">XLOOKUP($E473,product_epicenter!$A$2:$A$101,product_epicenter!$B$2:$C$101)</f>
        <v>Eggs 12 pcs </v>
      </c>
      <c r="G473" s="21">
        <v>80.0</v>
      </c>
      <c r="H473" s="9">
        <v>7.0</v>
      </c>
      <c r="I473" s="21">
        <f t="shared" si="2"/>
        <v>560</v>
      </c>
    </row>
    <row r="474" ht="15.75" customHeight="1">
      <c r="A474" s="18">
        <f t="shared" si="3"/>
        <v>45801</v>
      </c>
      <c r="B474" s="19">
        <f t="shared" si="1"/>
        <v>45798</v>
      </c>
      <c r="C474" s="23" t="s">
        <v>418</v>
      </c>
      <c r="D474" s="5" t="s">
        <v>419</v>
      </c>
      <c r="E474" s="9" t="s">
        <v>111</v>
      </c>
      <c r="F474" s="9" t="str">
        <f t="array" ref="F474:G474">XLOOKUP($E474,product_epicenter!$A$2:$A$101,product_epicenter!$B$2:$C$101)</f>
        <v>Almonds 500g </v>
      </c>
      <c r="G474" s="21">
        <v>500.0</v>
      </c>
      <c r="H474" s="9">
        <v>9.0</v>
      </c>
      <c r="I474" s="21">
        <f t="shared" si="2"/>
        <v>4500</v>
      </c>
    </row>
    <row r="475" ht="15.75" customHeight="1">
      <c r="A475" s="18">
        <f t="shared" si="3"/>
        <v>45801</v>
      </c>
      <c r="B475" s="19">
        <f t="shared" si="1"/>
        <v>45798</v>
      </c>
      <c r="C475" s="23" t="s">
        <v>418</v>
      </c>
      <c r="D475" s="5" t="s">
        <v>419</v>
      </c>
      <c r="E475" s="9" t="s">
        <v>117</v>
      </c>
      <c r="F475" s="9" t="str">
        <f t="array" ref="F475:G475">XLOOKUP($E475,product_epicenter!$A$2:$A$101,product_epicenter!$B$2:$C$101)</f>
        <v>Green Tea 250g </v>
      </c>
      <c r="G475" s="21">
        <v>350.0</v>
      </c>
      <c r="H475" s="9">
        <v>2.0</v>
      </c>
      <c r="I475" s="21">
        <f t="shared" si="2"/>
        <v>700</v>
      </c>
    </row>
    <row r="476" ht="15.75" customHeight="1">
      <c r="A476" s="18">
        <f t="shared" si="3"/>
        <v>45801</v>
      </c>
      <c r="B476" s="19">
        <f t="shared" si="1"/>
        <v>45798</v>
      </c>
      <c r="C476" s="23" t="s">
        <v>418</v>
      </c>
      <c r="D476" s="5" t="s">
        <v>419</v>
      </c>
      <c r="E476" s="9" t="s">
        <v>89</v>
      </c>
      <c r="F476" s="9" t="str">
        <f t="array" ref="F476:G476">XLOOKUP($E476,product_epicenter!$A$2:$A$101,product_epicenter!$B$2:$C$101)</f>
        <v>Chili Powder 100g </v>
      </c>
      <c r="G476" s="21">
        <v>60.0</v>
      </c>
      <c r="H476" s="9">
        <v>2.0</v>
      </c>
      <c r="I476" s="21">
        <f t="shared" si="2"/>
        <v>120</v>
      </c>
    </row>
    <row r="477" ht="15.75" customHeight="1">
      <c r="A477" s="18">
        <f t="shared" si="3"/>
        <v>45801</v>
      </c>
      <c r="B477" s="19">
        <f t="shared" si="1"/>
        <v>45798</v>
      </c>
      <c r="C477" s="23" t="s">
        <v>420</v>
      </c>
      <c r="D477" s="5" t="s">
        <v>421</v>
      </c>
      <c r="E477" s="9" t="s">
        <v>109</v>
      </c>
      <c r="F477" s="9" t="str">
        <f t="array" ref="F477:G477">XLOOKUP($E477,product_epicenter!$A$2:$A$101,product_epicenter!$B$2:$C$101)</f>
        <v>Cashews 500g </v>
      </c>
      <c r="G477" s="21">
        <v>600.0</v>
      </c>
      <c r="H477" s="9">
        <v>1.0</v>
      </c>
      <c r="I477" s="21">
        <f t="shared" si="2"/>
        <v>600</v>
      </c>
    </row>
    <row r="478" ht="15.75" customHeight="1">
      <c r="A478" s="18">
        <f t="shared" si="3"/>
        <v>45801</v>
      </c>
      <c r="B478" s="19">
        <f t="shared" si="1"/>
        <v>45798</v>
      </c>
      <c r="C478" s="23" t="s">
        <v>420</v>
      </c>
      <c r="D478" s="5" t="s">
        <v>421</v>
      </c>
      <c r="E478" s="9" t="s">
        <v>81</v>
      </c>
      <c r="F478" s="9" t="str">
        <f t="array" ref="F478:G478">XLOOKUP($E478,product_epicenter!$A$2:$A$101,product_epicenter!$B$2:$C$101)</f>
        <v>Cooking Oil 1 litre </v>
      </c>
      <c r="G478" s="21">
        <v>120.0</v>
      </c>
      <c r="H478" s="9">
        <v>3.0</v>
      </c>
      <c r="I478" s="21">
        <f t="shared" si="2"/>
        <v>360</v>
      </c>
    </row>
    <row r="479" ht="15.75" customHeight="1">
      <c r="A479" s="18">
        <f t="shared" si="3"/>
        <v>45801</v>
      </c>
      <c r="B479" s="19">
        <f t="shared" si="1"/>
        <v>45798</v>
      </c>
      <c r="C479" s="23" t="s">
        <v>420</v>
      </c>
      <c r="D479" s="5" t="s">
        <v>421</v>
      </c>
      <c r="E479" s="9" t="s">
        <v>21</v>
      </c>
      <c r="F479" s="9" t="str">
        <f t="array" ref="F479:G479">XLOOKUP($E479,product_epicenter!$A$2:$A$101,product_epicenter!$B$2:$C$101)</f>
        <v>Salt 1kg </v>
      </c>
      <c r="G479" s="21">
        <v>20.0</v>
      </c>
      <c r="H479" s="9">
        <v>2.0</v>
      </c>
      <c r="I479" s="21">
        <f t="shared" si="2"/>
        <v>40</v>
      </c>
    </row>
    <row r="480" ht="15.75" customHeight="1">
      <c r="A480" s="18">
        <f t="shared" si="3"/>
        <v>45801</v>
      </c>
      <c r="B480" s="19">
        <f t="shared" si="1"/>
        <v>45798</v>
      </c>
      <c r="C480" s="23" t="s">
        <v>422</v>
      </c>
      <c r="D480" s="5" t="s">
        <v>423</v>
      </c>
      <c r="E480" s="9" t="s">
        <v>145</v>
      </c>
      <c r="F480" s="9" t="str">
        <f t="array" ref="F480:G480">XLOOKUP($E480,product_epicenter!$A$2:$A$101,product_epicenter!$B$2:$C$101)</f>
        <v>Quinoa 500g </v>
      </c>
      <c r="G480" s="21">
        <v>350.0</v>
      </c>
      <c r="H480" s="9">
        <v>4.0</v>
      </c>
      <c r="I480" s="21">
        <f t="shared" si="2"/>
        <v>1400</v>
      </c>
    </row>
    <row r="481" ht="15.75" customHeight="1">
      <c r="A481" s="18">
        <f t="shared" si="3"/>
        <v>45801</v>
      </c>
      <c r="B481" s="19">
        <f t="shared" si="1"/>
        <v>45798</v>
      </c>
      <c r="C481" s="23" t="s">
        <v>422</v>
      </c>
      <c r="D481" s="5" t="s">
        <v>423</v>
      </c>
      <c r="E481" s="9" t="s">
        <v>125</v>
      </c>
      <c r="F481" s="9" t="str">
        <f t="array" ref="F481:G481">XLOOKUP($E481,product_epicenter!$A$2:$A$101,product_epicenter!$B$2:$C$101)</f>
        <v>Mangoes 1kg </v>
      </c>
      <c r="G481" s="21">
        <v>250.0</v>
      </c>
      <c r="H481" s="9">
        <v>6.0</v>
      </c>
      <c r="I481" s="21">
        <f t="shared" si="2"/>
        <v>1500</v>
      </c>
    </row>
    <row r="482" ht="15.75" customHeight="1">
      <c r="A482" s="18">
        <f t="shared" si="3"/>
        <v>45801</v>
      </c>
      <c r="B482" s="19">
        <f t="shared" si="1"/>
        <v>45798</v>
      </c>
      <c r="C482" s="23" t="s">
        <v>422</v>
      </c>
      <c r="D482" s="5" t="s">
        <v>423</v>
      </c>
      <c r="E482" s="9" t="s">
        <v>189</v>
      </c>
      <c r="F482" s="9" t="str">
        <f t="array" ref="F482:G482">XLOOKUP($E482,product_epicenter!$A$2:$A$101,product_epicenter!$B$2:$C$101)</f>
        <v>Razor 1 pack </v>
      </c>
      <c r="G482" s="21">
        <v>200.0</v>
      </c>
      <c r="H482" s="9">
        <v>2.0</v>
      </c>
      <c r="I482" s="21">
        <f t="shared" si="2"/>
        <v>400</v>
      </c>
    </row>
    <row r="483" ht="15.75" customHeight="1">
      <c r="A483" s="18">
        <f t="shared" si="3"/>
        <v>45801</v>
      </c>
      <c r="B483" s="19">
        <f t="shared" si="1"/>
        <v>45798</v>
      </c>
      <c r="C483" s="23" t="s">
        <v>422</v>
      </c>
      <c r="D483" s="5" t="s">
        <v>423</v>
      </c>
      <c r="E483" s="9" t="s">
        <v>165</v>
      </c>
      <c r="F483" s="9" t="str">
        <f t="array" ref="F483:G483">XLOOKUP($E483,product_epicenter!$A$2:$A$101,product_epicenter!$B$2:$C$101)</f>
        <v>Candles 1 pack </v>
      </c>
      <c r="G483" s="21">
        <v>80.0</v>
      </c>
      <c r="H483" s="9">
        <v>1.0</v>
      </c>
      <c r="I483" s="21">
        <f t="shared" si="2"/>
        <v>80</v>
      </c>
    </row>
    <row r="484" ht="15.75" customHeight="1">
      <c r="A484" s="18">
        <f t="shared" si="3"/>
        <v>45801</v>
      </c>
      <c r="B484" s="19">
        <f t="shared" si="1"/>
        <v>45798</v>
      </c>
      <c r="C484" s="23" t="s">
        <v>422</v>
      </c>
      <c r="D484" s="5" t="s">
        <v>423</v>
      </c>
      <c r="E484" s="9" t="s">
        <v>49</v>
      </c>
      <c r="F484" s="9" t="str">
        <f t="array" ref="F484:G484">XLOOKUP($E484,product_epicenter!$A$2:$A$101,product_epicenter!$B$2:$C$101)</f>
        <v>Green Chillies 250g </v>
      </c>
      <c r="G484" s="21">
        <v>20.0</v>
      </c>
      <c r="H484" s="9">
        <v>2.0</v>
      </c>
      <c r="I484" s="21">
        <f t="shared" si="2"/>
        <v>40</v>
      </c>
    </row>
    <row r="485" ht="15.75" customHeight="1">
      <c r="A485" s="18">
        <f t="shared" si="3"/>
        <v>45801</v>
      </c>
      <c r="B485" s="19">
        <f t="shared" si="1"/>
        <v>45798</v>
      </c>
      <c r="C485" s="23" t="s">
        <v>424</v>
      </c>
      <c r="D485" s="5" t="s">
        <v>425</v>
      </c>
      <c r="E485" s="9" t="s">
        <v>23</v>
      </c>
      <c r="F485" s="9" t="str">
        <f t="array" ref="F485:G485">XLOOKUP($E485,product_epicenter!$A$2:$A$101,product_epicenter!$B$2:$C$101)</f>
        <v>Milk 1 litre </v>
      </c>
      <c r="G485" s="21">
        <v>60.0</v>
      </c>
      <c r="H485" s="9">
        <v>6.0</v>
      </c>
      <c r="I485" s="21">
        <f t="shared" si="2"/>
        <v>360</v>
      </c>
    </row>
    <row r="486" ht="15.75" customHeight="1">
      <c r="A486" s="18">
        <f t="shared" si="3"/>
        <v>45801</v>
      </c>
      <c r="B486" s="19">
        <f t="shared" si="1"/>
        <v>45798</v>
      </c>
      <c r="C486" s="23" t="s">
        <v>424</v>
      </c>
      <c r="D486" s="5" t="s">
        <v>425</v>
      </c>
      <c r="E486" s="9" t="s">
        <v>191</v>
      </c>
      <c r="F486" s="9" t="str">
        <f t="array" ref="F486:G486">XLOOKUP($E486,product_epicenter!$A$2:$A$101,product_epicenter!$B$2:$C$101)</f>
        <v>Nail Polish 1 bottle </v>
      </c>
      <c r="G486" s="21">
        <v>120.0</v>
      </c>
      <c r="H486" s="9">
        <v>3.0</v>
      </c>
      <c r="I486" s="21">
        <f t="shared" si="2"/>
        <v>360</v>
      </c>
    </row>
    <row r="487" ht="15.75" customHeight="1">
      <c r="A487" s="18">
        <f t="shared" si="3"/>
        <v>45801</v>
      </c>
      <c r="B487" s="19">
        <f t="shared" si="1"/>
        <v>45798</v>
      </c>
      <c r="C487" s="23" t="s">
        <v>424</v>
      </c>
      <c r="D487" s="5" t="s">
        <v>425</v>
      </c>
      <c r="E487" s="9" t="s">
        <v>195</v>
      </c>
      <c r="F487" s="9" t="str">
        <f t="array" ref="F487:G487">XLOOKUP($E487,product_epicenter!$A$2:$A$101,product_epicenter!$B$2:$C$101)</f>
        <v>Face Wash 250ml </v>
      </c>
      <c r="G487" s="21">
        <v>200.0</v>
      </c>
      <c r="H487" s="9">
        <v>6.0</v>
      </c>
      <c r="I487" s="21">
        <f t="shared" si="2"/>
        <v>1200</v>
      </c>
    </row>
    <row r="488" ht="15.75" customHeight="1">
      <c r="A488" s="18">
        <f t="shared" si="3"/>
        <v>45801</v>
      </c>
      <c r="B488" s="19">
        <f t="shared" si="1"/>
        <v>45798</v>
      </c>
      <c r="C488" s="23" t="s">
        <v>424</v>
      </c>
      <c r="D488" s="5" t="s">
        <v>425</v>
      </c>
      <c r="E488" s="9" t="s">
        <v>81</v>
      </c>
      <c r="F488" s="9" t="str">
        <f t="array" ref="F488:G488">XLOOKUP($E488,product_epicenter!$A$2:$A$101,product_epicenter!$B$2:$C$101)</f>
        <v>Cooking Oil 1 litre </v>
      </c>
      <c r="G488" s="21">
        <v>120.0</v>
      </c>
      <c r="H488" s="9">
        <v>3.0</v>
      </c>
      <c r="I488" s="21">
        <f t="shared" si="2"/>
        <v>360</v>
      </c>
    </row>
    <row r="489" ht="15.75" customHeight="1">
      <c r="A489" s="18">
        <f t="shared" si="3"/>
        <v>45801</v>
      </c>
      <c r="B489" s="19">
        <f t="shared" si="1"/>
        <v>45798</v>
      </c>
      <c r="C489" s="23" t="s">
        <v>424</v>
      </c>
      <c r="D489" s="5" t="s">
        <v>425</v>
      </c>
      <c r="E489" s="9" t="s">
        <v>105</v>
      </c>
      <c r="F489" s="9" t="str">
        <f t="array" ref="F489:G489">XLOOKUP($E489,product_epicenter!$A$2:$A$101,product_epicenter!$B$2:$C$101)</f>
        <v>Jam 500g </v>
      </c>
      <c r="G489" s="21">
        <v>150.0</v>
      </c>
      <c r="H489" s="9">
        <v>5.0</v>
      </c>
      <c r="I489" s="21">
        <f t="shared" si="2"/>
        <v>750</v>
      </c>
    </row>
    <row r="490" ht="15.75" customHeight="1">
      <c r="A490" s="18">
        <f t="shared" si="3"/>
        <v>45801</v>
      </c>
      <c r="B490" s="19">
        <f t="shared" si="1"/>
        <v>45798</v>
      </c>
      <c r="C490" s="23" t="s">
        <v>426</v>
      </c>
      <c r="D490" s="5" t="s">
        <v>427</v>
      </c>
      <c r="E490" s="9" t="s">
        <v>113</v>
      </c>
      <c r="F490" s="9" t="str">
        <f t="array" ref="F490:G490">XLOOKUP($E490,product_epicenter!$A$2:$A$101,product_epicenter!$B$2:$C$101)</f>
        <v>Walnuts 500g </v>
      </c>
      <c r="G490" s="21">
        <v>700.0</v>
      </c>
      <c r="H490" s="9">
        <v>6.0</v>
      </c>
      <c r="I490" s="21">
        <f t="shared" si="2"/>
        <v>4200</v>
      </c>
    </row>
    <row r="491" ht="15.75" customHeight="1">
      <c r="A491" s="18">
        <f t="shared" si="3"/>
        <v>45801</v>
      </c>
      <c r="B491" s="19">
        <f t="shared" si="1"/>
        <v>45798</v>
      </c>
      <c r="C491" s="23" t="s">
        <v>426</v>
      </c>
      <c r="D491" s="5" t="s">
        <v>427</v>
      </c>
      <c r="E491" s="9" t="s">
        <v>85</v>
      </c>
      <c r="F491" s="9" t="str">
        <f t="array" ref="F491:G491">XLOOKUP($E491,product_epicenter!$A$2:$A$101,product_epicenter!$B$2:$C$101)</f>
        <v>Cumin Seeds 100g </v>
      </c>
      <c r="G491" s="21">
        <v>40.0</v>
      </c>
      <c r="H491" s="9">
        <v>9.0</v>
      </c>
      <c r="I491" s="21">
        <f t="shared" si="2"/>
        <v>360</v>
      </c>
    </row>
    <row r="492" ht="15.75" customHeight="1">
      <c r="A492" s="18">
        <f t="shared" si="3"/>
        <v>45801</v>
      </c>
      <c r="B492" s="19">
        <f t="shared" si="1"/>
        <v>45798</v>
      </c>
      <c r="C492" s="23" t="s">
        <v>426</v>
      </c>
      <c r="D492" s="5" t="s">
        <v>427</v>
      </c>
      <c r="E492" s="9" t="s">
        <v>131</v>
      </c>
      <c r="F492" s="9" t="str">
        <f t="array" ref="F492:G492">XLOOKUP($E492,product_epicenter!$A$2:$A$101,product_epicenter!$B$2:$C$101)</f>
        <v>Yogurt 500g </v>
      </c>
      <c r="G492" s="21">
        <v>80.0</v>
      </c>
      <c r="H492" s="9">
        <v>7.0</v>
      </c>
      <c r="I492" s="21">
        <f t="shared" si="2"/>
        <v>560</v>
      </c>
    </row>
    <row r="493" ht="15.75" customHeight="1">
      <c r="A493" s="18">
        <f t="shared" si="3"/>
        <v>45801</v>
      </c>
      <c r="B493" s="19">
        <f t="shared" si="1"/>
        <v>45798</v>
      </c>
      <c r="C493" s="23" t="s">
        <v>428</v>
      </c>
      <c r="D493" s="5" t="s">
        <v>429</v>
      </c>
      <c r="E493" s="9" t="s">
        <v>155</v>
      </c>
      <c r="F493" s="9" t="str">
        <f t="array" ref="F493:G493">XLOOKUP($E493,product_epicenter!$A$2:$A$101,product_epicenter!$B$2:$C$101)</f>
        <v>Whipped Cream 500ml </v>
      </c>
      <c r="G493" s="21">
        <v>250.0</v>
      </c>
      <c r="H493" s="9">
        <v>4.0</v>
      </c>
      <c r="I493" s="21">
        <f t="shared" si="2"/>
        <v>1000</v>
      </c>
    </row>
    <row r="494" ht="15.75" customHeight="1">
      <c r="A494" s="18">
        <f t="shared" si="3"/>
        <v>45801</v>
      </c>
      <c r="B494" s="19">
        <f t="shared" si="1"/>
        <v>45798</v>
      </c>
      <c r="C494" s="23" t="s">
        <v>428</v>
      </c>
      <c r="D494" s="5" t="s">
        <v>429</v>
      </c>
      <c r="E494" s="9" t="s">
        <v>149</v>
      </c>
      <c r="F494" s="9" t="str">
        <f t="array" ref="F494:G494">XLOOKUP($E494,product_epicenter!$A$2:$A$101,product_epicenter!$B$2:$C$101)</f>
        <v>Baking Powder 250g </v>
      </c>
      <c r="G494" s="21">
        <v>80.0</v>
      </c>
      <c r="H494" s="9">
        <v>2.0</v>
      </c>
      <c r="I494" s="21">
        <f t="shared" si="2"/>
        <v>160</v>
      </c>
    </row>
    <row r="495" ht="15.75" customHeight="1">
      <c r="A495" s="18">
        <f t="shared" si="3"/>
        <v>45801</v>
      </c>
      <c r="B495" s="19">
        <f t="shared" si="1"/>
        <v>45798</v>
      </c>
      <c r="C495" s="23" t="s">
        <v>428</v>
      </c>
      <c r="D495" s="5" t="s">
        <v>429</v>
      </c>
      <c r="E495" s="9" t="s">
        <v>195</v>
      </c>
      <c r="F495" s="9" t="str">
        <f t="array" ref="F495:G495">XLOOKUP($E495,product_epicenter!$A$2:$A$101,product_epicenter!$B$2:$C$101)</f>
        <v>Face Wash 250ml </v>
      </c>
      <c r="G495" s="21">
        <v>200.0</v>
      </c>
      <c r="H495" s="9">
        <v>9.0</v>
      </c>
      <c r="I495" s="21">
        <f t="shared" si="2"/>
        <v>1800</v>
      </c>
    </row>
    <row r="496" ht="15.75" customHeight="1">
      <c r="A496" s="18">
        <f t="shared" si="3"/>
        <v>45801</v>
      </c>
      <c r="B496" s="19">
        <f t="shared" si="1"/>
        <v>45798</v>
      </c>
      <c r="C496" s="23" t="s">
        <v>430</v>
      </c>
      <c r="D496" s="5" t="s">
        <v>431</v>
      </c>
      <c r="E496" s="9" t="s">
        <v>113</v>
      </c>
      <c r="F496" s="9" t="str">
        <f t="array" ref="F496:G496">XLOOKUP($E496,product_epicenter!$A$2:$A$101,product_epicenter!$B$2:$C$101)</f>
        <v>Walnuts 500g </v>
      </c>
      <c r="G496" s="21">
        <v>700.0</v>
      </c>
      <c r="H496" s="9">
        <v>9.0</v>
      </c>
      <c r="I496" s="21">
        <f t="shared" si="2"/>
        <v>6300</v>
      </c>
    </row>
    <row r="497" ht="15.75" customHeight="1">
      <c r="A497" s="18">
        <f t="shared" si="3"/>
        <v>45801</v>
      </c>
      <c r="B497" s="19">
        <f t="shared" si="1"/>
        <v>45798</v>
      </c>
      <c r="C497" s="23" t="s">
        <v>430</v>
      </c>
      <c r="D497" s="5" t="s">
        <v>431</v>
      </c>
      <c r="E497" s="9" t="s">
        <v>159</v>
      </c>
      <c r="F497" s="9" t="str">
        <f t="array" ref="F497:G497">XLOOKUP($E497,product_epicenter!$A$2:$A$101,product_epicenter!$B$2:$C$101)</f>
        <v>Plastic Wrap 1 roll </v>
      </c>
      <c r="G497" s="21">
        <v>150.0</v>
      </c>
      <c r="H497" s="9">
        <v>9.0</v>
      </c>
      <c r="I497" s="21">
        <f t="shared" si="2"/>
        <v>1350</v>
      </c>
    </row>
    <row r="498" ht="15.75" customHeight="1">
      <c r="A498" s="18">
        <f t="shared" si="3"/>
        <v>45801</v>
      </c>
      <c r="B498" s="19">
        <f t="shared" si="1"/>
        <v>45798</v>
      </c>
      <c r="C498" s="23" t="s">
        <v>430</v>
      </c>
      <c r="D498" s="5" t="s">
        <v>431</v>
      </c>
      <c r="E498" s="9" t="s">
        <v>33</v>
      </c>
      <c r="F498" s="9" t="str">
        <f t="array" ref="F498:G498">XLOOKUP($E498,product_epicenter!$A$2:$A$101,product_epicenter!$B$2:$C$101)</f>
        <v>Chicken 1kg </v>
      </c>
      <c r="G498" s="21">
        <v>250.0</v>
      </c>
      <c r="H498" s="9">
        <v>9.0</v>
      </c>
      <c r="I498" s="21">
        <f t="shared" si="2"/>
        <v>2250</v>
      </c>
    </row>
    <row r="499" ht="15.75" customHeight="1">
      <c r="A499" s="18">
        <f t="shared" si="3"/>
        <v>45801</v>
      </c>
      <c r="B499" s="19">
        <f t="shared" si="1"/>
        <v>45798</v>
      </c>
      <c r="C499" s="23" t="s">
        <v>430</v>
      </c>
      <c r="D499" s="5" t="s">
        <v>431</v>
      </c>
      <c r="E499" s="9" t="s">
        <v>41</v>
      </c>
      <c r="F499" s="9" t="str">
        <f t="array" ref="F499:G499">XLOOKUP($E499,product_epicenter!$A$2:$A$101,product_epicenter!$B$2:$C$101)</f>
        <v>Oranges 1kg </v>
      </c>
      <c r="G499" s="21">
        <v>100.0</v>
      </c>
      <c r="H499" s="9">
        <v>2.0</v>
      </c>
      <c r="I499" s="21">
        <f t="shared" si="2"/>
        <v>200</v>
      </c>
    </row>
    <row r="500" ht="15.75" customHeight="1">
      <c r="A500" s="18">
        <f t="shared" si="3"/>
        <v>45801</v>
      </c>
      <c r="B500" s="19">
        <f t="shared" si="1"/>
        <v>45798</v>
      </c>
      <c r="C500" s="23" t="s">
        <v>432</v>
      </c>
      <c r="D500" s="5" t="s">
        <v>433</v>
      </c>
      <c r="E500" s="9" t="s">
        <v>199</v>
      </c>
      <c r="F500" s="9" t="str">
        <f t="array" ref="F500:G500">XLOOKUP($E500,product_epicenter!$A$2:$A$101,product_epicenter!$B$2:$C$101)</f>
        <v>Face Mask 1 pack </v>
      </c>
      <c r="G500" s="21">
        <v>150.0</v>
      </c>
      <c r="H500" s="9">
        <v>4.0</v>
      </c>
      <c r="I500" s="21">
        <f t="shared" si="2"/>
        <v>600</v>
      </c>
    </row>
    <row r="501" ht="15.75" customHeight="1">
      <c r="A501" s="18">
        <f t="shared" si="3"/>
        <v>45801</v>
      </c>
      <c r="B501" s="19">
        <f t="shared" si="1"/>
        <v>45798</v>
      </c>
      <c r="C501" s="23" t="s">
        <v>432</v>
      </c>
      <c r="D501" s="5" t="s">
        <v>433</v>
      </c>
      <c r="E501" s="9" t="s">
        <v>85</v>
      </c>
      <c r="F501" s="9" t="str">
        <f t="array" ref="F501:G501">XLOOKUP($E501,product_epicenter!$A$2:$A$101,product_epicenter!$B$2:$C$101)</f>
        <v>Cumin Seeds 100g </v>
      </c>
      <c r="G501" s="21">
        <v>40.0</v>
      </c>
      <c r="H501" s="9">
        <v>1.0</v>
      </c>
      <c r="I501" s="21">
        <f t="shared" si="2"/>
        <v>40</v>
      </c>
    </row>
    <row r="502" ht="15.75" customHeight="1">
      <c r="A502" s="18">
        <f t="shared" si="3"/>
        <v>45801</v>
      </c>
      <c r="B502" s="19">
        <f t="shared" si="1"/>
        <v>45798</v>
      </c>
      <c r="C502" s="23" t="s">
        <v>432</v>
      </c>
      <c r="D502" s="5" t="s">
        <v>433</v>
      </c>
      <c r="E502" s="9" t="s">
        <v>17</v>
      </c>
      <c r="F502" s="9" t="str">
        <f t="array" ref="F502:G502">XLOOKUP($E502,product_epicenter!$A$2:$A$101,product_epicenter!$B$2:$C$101)</f>
        <v>Dry Fruits Mix 1kg </v>
      </c>
      <c r="G502" s="21">
        <v>850.0</v>
      </c>
      <c r="H502" s="9">
        <v>3.0</v>
      </c>
      <c r="I502" s="21">
        <f t="shared" si="2"/>
        <v>2550</v>
      </c>
    </row>
    <row r="503" ht="15.75" customHeight="1">
      <c r="A503" s="18">
        <f t="shared" si="3"/>
        <v>45801</v>
      </c>
      <c r="B503" s="19">
        <f t="shared" si="1"/>
        <v>45798</v>
      </c>
      <c r="C503" s="23" t="s">
        <v>432</v>
      </c>
      <c r="D503" s="5" t="s">
        <v>433</v>
      </c>
      <c r="E503" s="9" t="s">
        <v>79</v>
      </c>
      <c r="F503" s="9" t="str">
        <f t="array" ref="F503:G503">XLOOKUP($E503,product_epicenter!$A$2:$A$101,product_epicenter!$B$2:$C$101)</f>
        <v>Tissue Roll 1 pack </v>
      </c>
      <c r="G503" s="21">
        <v>60.0</v>
      </c>
      <c r="H503" s="9">
        <v>9.0</v>
      </c>
      <c r="I503" s="21">
        <f t="shared" si="2"/>
        <v>540</v>
      </c>
    </row>
    <row r="504" ht="15.75" customHeight="1">
      <c r="A504" s="18">
        <f t="shared" si="3"/>
        <v>45801</v>
      </c>
      <c r="B504" s="19">
        <f t="shared" si="1"/>
        <v>45798</v>
      </c>
      <c r="C504" s="23" t="s">
        <v>434</v>
      </c>
      <c r="D504" s="5" t="s">
        <v>435</v>
      </c>
      <c r="E504" s="9" t="s">
        <v>45</v>
      </c>
      <c r="F504" s="9" t="str">
        <f t="array" ref="F504:G504">XLOOKUP($E504,product_epicenter!$A$2:$A$101,product_epicenter!$B$2:$C$101)</f>
        <v>Onions 1kg </v>
      </c>
      <c r="G504" s="21">
        <v>40.0</v>
      </c>
      <c r="H504" s="9">
        <v>7.0</v>
      </c>
      <c r="I504" s="21">
        <f t="shared" si="2"/>
        <v>280</v>
      </c>
    </row>
    <row r="505" ht="15.75" customHeight="1">
      <c r="A505" s="18">
        <f t="shared" si="3"/>
        <v>45801</v>
      </c>
      <c r="B505" s="19">
        <f t="shared" si="1"/>
        <v>45798</v>
      </c>
      <c r="C505" s="23" t="s">
        <v>434</v>
      </c>
      <c r="D505" s="5" t="s">
        <v>435</v>
      </c>
      <c r="E505" s="9" t="s">
        <v>109</v>
      </c>
      <c r="F505" s="9" t="str">
        <f t="array" ref="F505:G505">XLOOKUP($E505,product_epicenter!$A$2:$A$101,product_epicenter!$B$2:$C$101)</f>
        <v>Cashews 500g </v>
      </c>
      <c r="G505" s="21">
        <v>600.0</v>
      </c>
      <c r="H505" s="9">
        <v>2.0</v>
      </c>
      <c r="I505" s="21">
        <f t="shared" si="2"/>
        <v>1200</v>
      </c>
    </row>
    <row r="506" ht="15.75" customHeight="1">
      <c r="A506" s="18">
        <f t="shared" si="3"/>
        <v>45801</v>
      </c>
      <c r="B506" s="19">
        <f t="shared" si="1"/>
        <v>45798</v>
      </c>
      <c r="C506" s="23" t="s">
        <v>434</v>
      </c>
      <c r="D506" s="5" t="s">
        <v>435</v>
      </c>
      <c r="E506" s="9" t="s">
        <v>103</v>
      </c>
      <c r="F506" s="9" t="str">
        <f t="array" ref="F506:G506">XLOOKUP($E506,product_epicenter!$A$2:$A$101,product_epicenter!$B$2:$C$101)</f>
        <v>Honey 500g </v>
      </c>
      <c r="G506" s="21">
        <v>300.0</v>
      </c>
      <c r="H506" s="9">
        <v>3.0</v>
      </c>
      <c r="I506" s="21">
        <f t="shared" si="2"/>
        <v>900</v>
      </c>
    </row>
    <row r="507" ht="15.75" customHeight="1">
      <c r="A507" s="18">
        <f t="shared" si="3"/>
        <v>45801</v>
      </c>
      <c r="B507" s="19">
        <f t="shared" si="1"/>
        <v>45798</v>
      </c>
      <c r="C507" s="23" t="s">
        <v>436</v>
      </c>
      <c r="D507" s="5" t="s">
        <v>437</v>
      </c>
      <c r="E507" s="9" t="s">
        <v>141</v>
      </c>
      <c r="F507" s="9" t="str">
        <f t="array" ref="F507:G507">XLOOKUP($E507,product_epicenter!$A$2:$A$101,product_epicenter!$B$2:$C$101)</f>
        <v>Basmati Rice 1kg </v>
      </c>
      <c r="G507" s="21">
        <v>120.0</v>
      </c>
      <c r="H507" s="9">
        <v>2.0</v>
      </c>
      <c r="I507" s="21">
        <f t="shared" si="2"/>
        <v>240</v>
      </c>
    </row>
    <row r="508" ht="15.75" customHeight="1">
      <c r="A508" s="18">
        <f t="shared" si="3"/>
        <v>45801</v>
      </c>
      <c r="B508" s="19">
        <f t="shared" si="1"/>
        <v>45798</v>
      </c>
      <c r="C508" s="23" t="s">
        <v>436</v>
      </c>
      <c r="D508" s="5" t="s">
        <v>437</v>
      </c>
      <c r="E508" s="9" t="s">
        <v>41</v>
      </c>
      <c r="F508" s="9" t="str">
        <f t="array" ref="F508:G508">XLOOKUP($E508,product_epicenter!$A$2:$A$101,product_epicenter!$B$2:$C$101)</f>
        <v>Oranges 1kg </v>
      </c>
      <c r="G508" s="21">
        <v>100.0</v>
      </c>
      <c r="H508" s="9">
        <v>3.0</v>
      </c>
      <c r="I508" s="21">
        <f t="shared" si="2"/>
        <v>300</v>
      </c>
    </row>
    <row r="509" ht="15.75" customHeight="1">
      <c r="A509" s="18">
        <f t="shared" si="3"/>
        <v>45801</v>
      </c>
      <c r="B509" s="19">
        <f t="shared" si="1"/>
        <v>45798</v>
      </c>
      <c r="C509" s="23" t="s">
        <v>436</v>
      </c>
      <c r="D509" s="5" t="s">
        <v>437</v>
      </c>
      <c r="E509" s="9" t="s">
        <v>195</v>
      </c>
      <c r="F509" s="9" t="str">
        <f t="array" ref="F509:G509">XLOOKUP($E509,product_epicenter!$A$2:$A$101,product_epicenter!$B$2:$C$101)</f>
        <v>Face Wash 250ml </v>
      </c>
      <c r="G509" s="21">
        <v>200.0</v>
      </c>
      <c r="H509" s="9">
        <v>1.0</v>
      </c>
      <c r="I509" s="21">
        <f t="shared" si="2"/>
        <v>200</v>
      </c>
    </row>
    <row r="510" ht="15.75" customHeight="1">
      <c r="A510" s="18">
        <f t="shared" si="3"/>
        <v>45801</v>
      </c>
      <c r="B510" s="19">
        <f t="shared" si="1"/>
        <v>45798</v>
      </c>
      <c r="C510" s="23" t="s">
        <v>436</v>
      </c>
      <c r="D510" s="5" t="s">
        <v>437</v>
      </c>
      <c r="E510" s="9" t="s">
        <v>103</v>
      </c>
      <c r="F510" s="9" t="str">
        <f t="array" ref="F510:G510">XLOOKUP($E510,product_epicenter!$A$2:$A$101,product_epicenter!$B$2:$C$101)</f>
        <v>Honey 500g </v>
      </c>
      <c r="G510" s="21">
        <v>300.0</v>
      </c>
      <c r="H510" s="9">
        <v>4.0</v>
      </c>
      <c r="I510" s="21">
        <f t="shared" si="2"/>
        <v>1200</v>
      </c>
    </row>
    <row r="511" ht="15.75" customHeight="1">
      <c r="A511" s="18">
        <f t="shared" si="3"/>
        <v>45801</v>
      </c>
      <c r="B511" s="19">
        <f t="shared" si="1"/>
        <v>45798</v>
      </c>
      <c r="C511" s="23" t="s">
        <v>436</v>
      </c>
      <c r="D511" s="5" t="s">
        <v>437</v>
      </c>
      <c r="E511" s="9" t="s">
        <v>157</v>
      </c>
      <c r="F511" s="9" t="str">
        <f t="array" ref="F511:G511">XLOOKUP($E511,product_epicenter!$A$2:$A$101,product_epicenter!$B$2:$C$101)</f>
        <v>Butter Paper 1 roll </v>
      </c>
      <c r="G511" s="21">
        <v>100.0</v>
      </c>
      <c r="H511" s="9">
        <v>4.0</v>
      </c>
      <c r="I511" s="21">
        <f t="shared" si="2"/>
        <v>400</v>
      </c>
    </row>
    <row r="512" ht="15.75" customHeight="1">
      <c r="A512" s="18">
        <f t="shared" si="3"/>
        <v>45801</v>
      </c>
      <c r="B512" s="19">
        <f t="shared" si="1"/>
        <v>45798</v>
      </c>
      <c r="C512" s="23" t="s">
        <v>438</v>
      </c>
      <c r="D512" s="5" t="s">
        <v>439</v>
      </c>
      <c r="E512" s="9" t="s">
        <v>175</v>
      </c>
      <c r="F512" s="9" t="str">
        <f t="array" ref="F512:G512">XLOOKUP($E512,product_epicenter!$A$2:$A$101,product_epicenter!$B$2:$C$101)</f>
        <v>Ice Tea 1 litre </v>
      </c>
      <c r="G512" s="21">
        <v>120.0</v>
      </c>
      <c r="H512" s="9">
        <v>4.0</v>
      </c>
      <c r="I512" s="21">
        <f t="shared" si="2"/>
        <v>480</v>
      </c>
    </row>
    <row r="513" ht="15.75" customHeight="1">
      <c r="A513" s="18">
        <f t="shared" si="3"/>
        <v>45801</v>
      </c>
      <c r="B513" s="19">
        <f t="shared" si="1"/>
        <v>45798</v>
      </c>
      <c r="C513" s="23" t="s">
        <v>438</v>
      </c>
      <c r="D513" s="5" t="s">
        <v>439</v>
      </c>
      <c r="E513" s="9" t="s">
        <v>129</v>
      </c>
      <c r="F513" s="9" t="str">
        <f t="array" ref="F513:G513">XLOOKUP($E513,product_epicenter!$A$2:$A$101,product_epicenter!$B$2:$C$101)</f>
        <v>Coconut 1 piece </v>
      </c>
      <c r="G513" s="21">
        <v>40.0</v>
      </c>
      <c r="H513" s="9">
        <v>4.0</v>
      </c>
      <c r="I513" s="21">
        <f t="shared" si="2"/>
        <v>160</v>
      </c>
    </row>
    <row r="514" ht="15.75" customHeight="1">
      <c r="A514" s="18">
        <f t="shared" si="3"/>
        <v>45801</v>
      </c>
      <c r="B514" s="19">
        <f t="shared" si="1"/>
        <v>45798</v>
      </c>
      <c r="C514" s="23" t="s">
        <v>438</v>
      </c>
      <c r="D514" s="5" t="s">
        <v>439</v>
      </c>
      <c r="E514" s="9" t="s">
        <v>81</v>
      </c>
      <c r="F514" s="9" t="str">
        <f t="array" ref="F514:G514">XLOOKUP($E514,product_epicenter!$A$2:$A$101,product_epicenter!$B$2:$C$101)</f>
        <v>Cooking Oil 1 litre </v>
      </c>
      <c r="G514" s="21">
        <v>120.0</v>
      </c>
      <c r="H514" s="9">
        <v>3.0</v>
      </c>
      <c r="I514" s="21">
        <f t="shared" si="2"/>
        <v>360</v>
      </c>
    </row>
    <row r="515" ht="15.75" customHeight="1">
      <c r="A515" s="18">
        <f t="shared" si="3"/>
        <v>45801</v>
      </c>
      <c r="B515" s="19">
        <f t="shared" si="1"/>
        <v>45798</v>
      </c>
      <c r="C515" s="23" t="s">
        <v>438</v>
      </c>
      <c r="D515" s="5" t="s">
        <v>439</v>
      </c>
      <c r="E515" s="9" t="s">
        <v>163</v>
      </c>
      <c r="F515" s="9" t="str">
        <f t="array" ref="F515:G515">XLOOKUP($E515,product_epicenter!$A$2:$A$101,product_epicenter!$B$2:$C$101)</f>
        <v>Matchsticks 1 pack </v>
      </c>
      <c r="G515" s="21">
        <v>20.0</v>
      </c>
      <c r="H515" s="9">
        <v>9.0</v>
      </c>
      <c r="I515" s="21">
        <f t="shared" si="2"/>
        <v>180</v>
      </c>
    </row>
    <row r="516" ht="15.75" customHeight="1">
      <c r="A516" s="18">
        <f t="shared" si="3"/>
        <v>45801</v>
      </c>
      <c r="B516" s="19">
        <f t="shared" si="1"/>
        <v>45798</v>
      </c>
      <c r="C516" s="23" t="s">
        <v>440</v>
      </c>
      <c r="D516" s="5" t="s">
        <v>441</v>
      </c>
      <c r="E516" s="9" t="s">
        <v>21</v>
      </c>
      <c r="F516" s="9" t="str">
        <f t="array" ref="F516:G516">XLOOKUP($E516,product_epicenter!$A$2:$A$101,product_epicenter!$B$2:$C$101)</f>
        <v>Salt 1kg </v>
      </c>
      <c r="G516" s="21">
        <v>20.0</v>
      </c>
      <c r="H516" s="9">
        <v>6.0</v>
      </c>
      <c r="I516" s="21">
        <f t="shared" si="2"/>
        <v>120</v>
      </c>
    </row>
    <row r="517" ht="15.75" customHeight="1">
      <c r="A517" s="18">
        <f t="shared" si="3"/>
        <v>45801</v>
      </c>
      <c r="B517" s="19">
        <f t="shared" si="1"/>
        <v>45798</v>
      </c>
      <c r="C517" s="23" t="s">
        <v>440</v>
      </c>
      <c r="D517" s="5" t="s">
        <v>441</v>
      </c>
      <c r="E517" s="9" t="s">
        <v>7</v>
      </c>
      <c r="F517" s="9" t="str">
        <f t="array" ref="F517:G517">XLOOKUP($E517,product_epicenter!$A$2:$A$101,product_epicenter!$B$2:$C$101)</f>
        <v>Sugar 1kg </v>
      </c>
      <c r="G517" s="21">
        <v>45.0</v>
      </c>
      <c r="H517" s="9">
        <v>1.0</v>
      </c>
      <c r="I517" s="21">
        <f t="shared" si="2"/>
        <v>45</v>
      </c>
    </row>
    <row r="518" ht="15.75" customHeight="1">
      <c r="A518" s="18">
        <f t="shared" si="3"/>
        <v>45801</v>
      </c>
      <c r="B518" s="19">
        <f t="shared" si="1"/>
        <v>45798</v>
      </c>
      <c r="C518" s="23" t="s">
        <v>440</v>
      </c>
      <c r="D518" s="5" t="s">
        <v>441</v>
      </c>
      <c r="E518" s="9" t="s">
        <v>183</v>
      </c>
      <c r="F518" s="9" t="str">
        <f t="array" ref="F518:G518">XLOOKUP($E518,product_epicenter!$A$2:$A$101,product_epicenter!$B$2:$C$101)</f>
        <v>Body Lotion 500ml </v>
      </c>
      <c r="G518" s="21">
        <v>250.0</v>
      </c>
      <c r="H518" s="9">
        <v>9.0</v>
      </c>
      <c r="I518" s="21">
        <f t="shared" si="2"/>
        <v>2250</v>
      </c>
    </row>
    <row r="519" ht="15.75" customHeight="1">
      <c r="A519" s="18">
        <f t="shared" si="3"/>
        <v>45801</v>
      </c>
      <c r="B519" s="19">
        <f t="shared" si="1"/>
        <v>45798</v>
      </c>
      <c r="C519" s="23" t="s">
        <v>440</v>
      </c>
      <c r="D519" s="5" t="s">
        <v>441</v>
      </c>
      <c r="E519" s="9" t="s">
        <v>81</v>
      </c>
      <c r="F519" s="9" t="str">
        <f t="array" ref="F519:G519">XLOOKUP($E519,product_epicenter!$A$2:$A$101,product_epicenter!$B$2:$C$101)</f>
        <v>Cooking Oil 1 litre </v>
      </c>
      <c r="G519" s="21">
        <v>120.0</v>
      </c>
      <c r="H519" s="9">
        <v>8.0</v>
      </c>
      <c r="I519" s="21">
        <f t="shared" si="2"/>
        <v>960</v>
      </c>
    </row>
    <row r="520" ht="15.75" customHeight="1">
      <c r="A520" s="18">
        <f t="shared" si="3"/>
        <v>45801</v>
      </c>
      <c r="B520" s="19">
        <f t="shared" si="1"/>
        <v>45798</v>
      </c>
      <c r="C520" s="23" t="s">
        <v>442</v>
      </c>
      <c r="D520" s="5" t="s">
        <v>443</v>
      </c>
      <c r="E520" s="9" t="s">
        <v>145</v>
      </c>
      <c r="F520" s="9" t="str">
        <f t="array" ref="F520:G520">XLOOKUP($E520,product_epicenter!$A$2:$A$101,product_epicenter!$B$2:$C$101)</f>
        <v>Quinoa 500g </v>
      </c>
      <c r="G520" s="21">
        <v>350.0</v>
      </c>
      <c r="H520" s="9">
        <v>2.0</v>
      </c>
      <c r="I520" s="21">
        <f t="shared" si="2"/>
        <v>700</v>
      </c>
    </row>
    <row r="521" ht="15.75" customHeight="1">
      <c r="A521" s="18">
        <f t="shared" si="3"/>
        <v>45801</v>
      </c>
      <c r="B521" s="19">
        <f t="shared" si="1"/>
        <v>45798</v>
      </c>
      <c r="C521" s="23" t="s">
        <v>442</v>
      </c>
      <c r="D521" s="5" t="s">
        <v>443</v>
      </c>
      <c r="E521" s="9" t="s">
        <v>115</v>
      </c>
      <c r="F521" s="9" t="str">
        <f t="array" ref="F521:G521">XLOOKUP($E521,product_epicenter!$A$2:$A$101,product_epicenter!$B$2:$C$101)</f>
        <v>Raisins 500g </v>
      </c>
      <c r="G521" s="21">
        <v>400.0</v>
      </c>
      <c r="H521" s="9">
        <v>3.0</v>
      </c>
      <c r="I521" s="21">
        <f t="shared" si="2"/>
        <v>1200</v>
      </c>
    </row>
    <row r="522" ht="15.75" customHeight="1">
      <c r="A522" s="18">
        <f t="shared" si="3"/>
        <v>45801</v>
      </c>
      <c r="B522" s="19">
        <f t="shared" si="1"/>
        <v>45798</v>
      </c>
      <c r="C522" s="23" t="s">
        <v>442</v>
      </c>
      <c r="D522" s="5" t="s">
        <v>443</v>
      </c>
      <c r="E522" s="9" t="s">
        <v>111</v>
      </c>
      <c r="F522" s="9" t="str">
        <f t="array" ref="F522:G522">XLOOKUP($E522,product_epicenter!$A$2:$A$101,product_epicenter!$B$2:$C$101)</f>
        <v>Almonds 500g </v>
      </c>
      <c r="G522" s="21">
        <v>500.0</v>
      </c>
      <c r="H522" s="9">
        <v>1.0</v>
      </c>
      <c r="I522" s="21">
        <f t="shared" si="2"/>
        <v>500</v>
      </c>
    </row>
    <row r="523" ht="15.75" customHeight="1">
      <c r="A523" s="18">
        <f t="shared" si="3"/>
        <v>45801</v>
      </c>
      <c r="B523" s="19">
        <f t="shared" si="1"/>
        <v>45798</v>
      </c>
      <c r="C523" s="23" t="s">
        <v>442</v>
      </c>
      <c r="D523" s="5" t="s">
        <v>443</v>
      </c>
      <c r="E523" s="9" t="s">
        <v>107</v>
      </c>
      <c r="F523" s="9" t="str">
        <f t="array" ref="F523:G523">XLOOKUP($E523,product_epicenter!$A$2:$A$101,product_epicenter!$B$2:$C$101)</f>
        <v>Peanut Butter 500g </v>
      </c>
      <c r="G523" s="21">
        <v>250.0</v>
      </c>
      <c r="H523" s="9">
        <v>5.0</v>
      </c>
      <c r="I523" s="21">
        <f t="shared" si="2"/>
        <v>1250</v>
      </c>
    </row>
    <row r="524" ht="15.75" customHeight="1">
      <c r="A524" s="18">
        <f t="shared" si="3"/>
        <v>45801</v>
      </c>
      <c r="B524" s="19">
        <f t="shared" si="1"/>
        <v>45798</v>
      </c>
      <c r="C524" s="23" t="s">
        <v>444</v>
      </c>
      <c r="D524" s="5" t="s">
        <v>445</v>
      </c>
      <c r="E524" s="9" t="s">
        <v>161</v>
      </c>
      <c r="F524" s="9" t="str">
        <f t="array" ref="F524:G524">XLOOKUP($E524,product_epicenter!$A$2:$A$101,product_epicenter!$B$2:$C$101)</f>
        <v>Aluminium Foil 1 roll </v>
      </c>
      <c r="G524" s="21">
        <v>120.0</v>
      </c>
      <c r="H524" s="9">
        <v>9.0</v>
      </c>
      <c r="I524" s="21">
        <f t="shared" si="2"/>
        <v>1080</v>
      </c>
    </row>
    <row r="525" ht="15.75" customHeight="1">
      <c r="A525" s="18">
        <f t="shared" si="3"/>
        <v>45801</v>
      </c>
      <c r="B525" s="19">
        <f t="shared" si="1"/>
        <v>45798</v>
      </c>
      <c r="C525" s="23" t="s">
        <v>444</v>
      </c>
      <c r="D525" s="5" t="s">
        <v>445</v>
      </c>
      <c r="E525" s="9" t="s">
        <v>181</v>
      </c>
      <c r="F525" s="9" t="str">
        <f t="array" ref="F525:G525">XLOOKUP($E525,product_epicenter!$A$2:$A$101,product_epicenter!$B$2:$C$101)</f>
        <v>Hand Wash 500ml </v>
      </c>
      <c r="G525" s="21">
        <v>150.0</v>
      </c>
      <c r="H525" s="9">
        <v>7.0</v>
      </c>
      <c r="I525" s="21">
        <f t="shared" si="2"/>
        <v>1050</v>
      </c>
    </row>
    <row r="526" ht="15.75" customHeight="1">
      <c r="A526" s="18">
        <f t="shared" si="3"/>
        <v>45801</v>
      </c>
      <c r="B526" s="19">
        <f t="shared" si="1"/>
        <v>45798</v>
      </c>
      <c r="C526" s="23" t="s">
        <v>444</v>
      </c>
      <c r="D526" s="5" t="s">
        <v>445</v>
      </c>
      <c r="E526" s="9" t="s">
        <v>133</v>
      </c>
      <c r="F526" s="9" t="str">
        <f t="array" ref="F526:G526">XLOOKUP($E526,product_epicenter!$A$2:$A$101,product_epicenter!$B$2:$C$101)</f>
        <v>Paneer 1kg </v>
      </c>
      <c r="G526" s="21">
        <v>400.0</v>
      </c>
      <c r="H526" s="9">
        <v>4.0</v>
      </c>
      <c r="I526" s="21">
        <f t="shared" si="2"/>
        <v>1600</v>
      </c>
    </row>
    <row r="527" ht="15.75" customHeight="1">
      <c r="A527" s="18">
        <f t="shared" si="3"/>
        <v>45801</v>
      </c>
      <c r="B527" s="19">
        <f t="shared" si="1"/>
        <v>45798</v>
      </c>
      <c r="C527" s="23" t="s">
        <v>444</v>
      </c>
      <c r="D527" s="5" t="s">
        <v>445</v>
      </c>
      <c r="E527" s="9" t="s">
        <v>197</v>
      </c>
      <c r="F527" s="9" t="str">
        <f t="array" ref="F527:G527">XLOOKUP($E527,product_epicenter!$A$2:$A$101,product_epicenter!$B$2:$C$101)</f>
        <v>Hand Sanitizer 500ml </v>
      </c>
      <c r="G527" s="21">
        <v>200.0</v>
      </c>
      <c r="H527" s="9">
        <v>4.0</v>
      </c>
      <c r="I527" s="21">
        <f t="shared" si="2"/>
        <v>800</v>
      </c>
    </row>
    <row r="528" ht="15.75" customHeight="1">
      <c r="A528" s="18">
        <f t="shared" si="3"/>
        <v>45801</v>
      </c>
      <c r="B528" s="19">
        <f t="shared" si="1"/>
        <v>45798</v>
      </c>
      <c r="C528" s="23" t="s">
        <v>446</v>
      </c>
      <c r="D528" s="5" t="s">
        <v>447</v>
      </c>
      <c r="E528" s="9" t="s">
        <v>113</v>
      </c>
      <c r="F528" s="9" t="str">
        <f t="array" ref="F528:G528">XLOOKUP($E528,product_epicenter!$A$2:$A$101,product_epicenter!$B$2:$C$101)</f>
        <v>Walnuts 500g </v>
      </c>
      <c r="G528" s="21">
        <v>700.0</v>
      </c>
      <c r="H528" s="9">
        <v>9.0</v>
      </c>
      <c r="I528" s="21">
        <f t="shared" si="2"/>
        <v>6300</v>
      </c>
    </row>
    <row r="529" ht="15.75" customHeight="1">
      <c r="A529" s="18">
        <f t="shared" si="3"/>
        <v>45801</v>
      </c>
      <c r="B529" s="19">
        <f t="shared" si="1"/>
        <v>45798</v>
      </c>
      <c r="C529" s="23" t="s">
        <v>446</v>
      </c>
      <c r="D529" s="5" t="s">
        <v>447</v>
      </c>
      <c r="E529" s="9" t="s">
        <v>25</v>
      </c>
      <c r="F529" s="9" t="str">
        <f t="array" ref="F529:G529">XLOOKUP($E529,product_epicenter!$A$2:$A$101,product_epicenter!$B$2:$C$101)</f>
        <v>Bread 500g </v>
      </c>
      <c r="G529" s="21">
        <v>40.0</v>
      </c>
      <c r="H529" s="9">
        <v>2.0</v>
      </c>
      <c r="I529" s="21">
        <f t="shared" si="2"/>
        <v>80</v>
      </c>
    </row>
    <row r="530" ht="15.75" customHeight="1">
      <c r="A530" s="18">
        <f t="shared" si="3"/>
        <v>45801</v>
      </c>
      <c r="B530" s="19">
        <f t="shared" si="1"/>
        <v>45798</v>
      </c>
      <c r="C530" s="23" t="s">
        <v>446</v>
      </c>
      <c r="D530" s="5" t="s">
        <v>447</v>
      </c>
      <c r="E530" s="9" t="s">
        <v>31</v>
      </c>
      <c r="F530" s="9" t="str">
        <f t="array" ref="F530:G530">XLOOKUP($E530,product_epicenter!$A$2:$A$101,product_epicenter!$B$2:$C$101)</f>
        <v>Eggs 12 pcs </v>
      </c>
      <c r="G530" s="21">
        <v>80.0</v>
      </c>
      <c r="H530" s="9">
        <v>8.0</v>
      </c>
      <c r="I530" s="21">
        <f t="shared" si="2"/>
        <v>640</v>
      </c>
    </row>
    <row r="531" ht="15.75" customHeight="1">
      <c r="A531" s="18">
        <f t="shared" si="3"/>
        <v>45801</v>
      </c>
      <c r="B531" s="19">
        <f t="shared" si="1"/>
        <v>45798</v>
      </c>
      <c r="C531" s="23" t="s">
        <v>446</v>
      </c>
      <c r="D531" s="5" t="s">
        <v>447</v>
      </c>
      <c r="E531" s="9" t="s">
        <v>43</v>
      </c>
      <c r="F531" s="9" t="str">
        <f t="array" ref="F531:G531">XLOOKUP($E531,product_epicenter!$A$2:$A$101,product_epicenter!$B$2:$C$101)</f>
        <v>Potatoes 1kg </v>
      </c>
      <c r="G531" s="21">
        <v>30.0</v>
      </c>
      <c r="H531" s="9">
        <v>7.0</v>
      </c>
      <c r="I531" s="21">
        <f t="shared" si="2"/>
        <v>210</v>
      </c>
    </row>
    <row r="532" ht="15.75" customHeight="1">
      <c r="A532" s="18">
        <f t="shared" si="3"/>
        <v>45801</v>
      </c>
      <c r="B532" s="19">
        <f t="shared" si="1"/>
        <v>45798</v>
      </c>
      <c r="C532" s="23" t="s">
        <v>446</v>
      </c>
      <c r="D532" s="5" t="s">
        <v>447</v>
      </c>
      <c r="E532" s="9" t="s">
        <v>195</v>
      </c>
      <c r="F532" s="9" t="str">
        <f t="array" ref="F532:G532">XLOOKUP($E532,product_epicenter!$A$2:$A$101,product_epicenter!$B$2:$C$101)</f>
        <v>Face Wash 250ml </v>
      </c>
      <c r="G532" s="21">
        <v>200.0</v>
      </c>
      <c r="H532" s="9">
        <v>6.0</v>
      </c>
      <c r="I532" s="21">
        <f t="shared" si="2"/>
        <v>1200</v>
      </c>
    </row>
    <row r="533" ht="15.75" customHeight="1">
      <c r="A533" s="18">
        <f t="shared" si="3"/>
        <v>45801</v>
      </c>
      <c r="B533" s="19">
        <f t="shared" si="1"/>
        <v>45798</v>
      </c>
      <c r="C533" s="23" t="s">
        <v>448</v>
      </c>
      <c r="D533" s="5" t="s">
        <v>449</v>
      </c>
      <c r="E533" s="9" t="s">
        <v>105</v>
      </c>
      <c r="F533" s="9" t="str">
        <f t="array" ref="F533:G533">XLOOKUP($E533,product_epicenter!$A$2:$A$101,product_epicenter!$B$2:$C$101)</f>
        <v>Jam 500g </v>
      </c>
      <c r="G533" s="21">
        <v>150.0</v>
      </c>
      <c r="H533" s="9">
        <v>1.0</v>
      </c>
      <c r="I533" s="21">
        <f t="shared" si="2"/>
        <v>150</v>
      </c>
    </row>
    <row r="534" ht="15.75" customHeight="1">
      <c r="A534" s="18">
        <f t="shared" si="3"/>
        <v>45801</v>
      </c>
      <c r="B534" s="19">
        <f t="shared" si="1"/>
        <v>45798</v>
      </c>
      <c r="C534" s="23" t="s">
        <v>448</v>
      </c>
      <c r="D534" s="5" t="s">
        <v>449</v>
      </c>
      <c r="E534" s="9" t="s">
        <v>75</v>
      </c>
      <c r="F534" s="9" t="str">
        <f t="array" ref="F534:G534">XLOOKUP($E534,product_epicenter!$A$2:$A$101,product_epicenter!$B$2:$C$101)</f>
        <v>Toilet Cleaner 1 litre </v>
      </c>
      <c r="G534" s="21">
        <v>120.0</v>
      </c>
      <c r="H534" s="9">
        <v>6.0</v>
      </c>
      <c r="I534" s="21">
        <f t="shared" si="2"/>
        <v>720</v>
      </c>
    </row>
    <row r="535" ht="15.75" customHeight="1">
      <c r="A535" s="18">
        <f t="shared" si="3"/>
        <v>45801</v>
      </c>
      <c r="B535" s="19">
        <f t="shared" si="1"/>
        <v>45798</v>
      </c>
      <c r="C535" s="23" t="s">
        <v>448</v>
      </c>
      <c r="D535" s="5" t="s">
        <v>449</v>
      </c>
      <c r="E535" s="9" t="s">
        <v>71</v>
      </c>
      <c r="F535" s="9" t="str">
        <f t="array" ref="F535:G535">XLOOKUP($E535,product_epicenter!$A$2:$A$101,product_epicenter!$B$2:$C$101)</f>
        <v>Dishwashing Liquid 500ml </v>
      </c>
      <c r="G535" s="21">
        <v>100.0</v>
      </c>
      <c r="H535" s="9">
        <v>1.0</v>
      </c>
      <c r="I535" s="21">
        <f t="shared" si="2"/>
        <v>100</v>
      </c>
    </row>
    <row r="536" ht="15.75" customHeight="1">
      <c r="A536" s="18">
        <f t="shared" si="3"/>
        <v>45801</v>
      </c>
      <c r="B536" s="19">
        <f t="shared" si="1"/>
        <v>45798</v>
      </c>
      <c r="C536" s="23" t="s">
        <v>450</v>
      </c>
      <c r="D536" s="5" t="s">
        <v>451</v>
      </c>
      <c r="E536" s="9" t="s">
        <v>71</v>
      </c>
      <c r="F536" s="9" t="str">
        <f t="array" ref="F536:G536">XLOOKUP($E536,product_epicenter!$A$2:$A$101,product_epicenter!$B$2:$C$101)</f>
        <v>Dishwashing Liquid 500ml </v>
      </c>
      <c r="G536" s="21">
        <v>100.0</v>
      </c>
      <c r="H536" s="9">
        <v>9.0</v>
      </c>
      <c r="I536" s="21">
        <f t="shared" si="2"/>
        <v>900</v>
      </c>
    </row>
    <row r="537" ht="15.75" customHeight="1">
      <c r="A537" s="18">
        <f t="shared" si="3"/>
        <v>45801</v>
      </c>
      <c r="B537" s="19">
        <f t="shared" si="1"/>
        <v>45798</v>
      </c>
      <c r="C537" s="23" t="s">
        <v>450</v>
      </c>
      <c r="D537" s="5" t="s">
        <v>451</v>
      </c>
      <c r="E537" s="9" t="s">
        <v>45</v>
      </c>
      <c r="F537" s="9" t="str">
        <f t="array" ref="F537:G537">XLOOKUP($E537,product_epicenter!$A$2:$A$101,product_epicenter!$B$2:$C$101)</f>
        <v>Onions 1kg </v>
      </c>
      <c r="G537" s="21">
        <v>40.0</v>
      </c>
      <c r="H537" s="9">
        <v>7.0</v>
      </c>
      <c r="I537" s="21">
        <f t="shared" si="2"/>
        <v>280</v>
      </c>
    </row>
    <row r="538" ht="15.75" customHeight="1">
      <c r="A538" s="18">
        <f t="shared" si="3"/>
        <v>45801</v>
      </c>
      <c r="B538" s="19">
        <f t="shared" si="1"/>
        <v>45798</v>
      </c>
      <c r="C538" s="23" t="s">
        <v>450</v>
      </c>
      <c r="D538" s="5" t="s">
        <v>451</v>
      </c>
      <c r="E538" s="9" t="s">
        <v>141</v>
      </c>
      <c r="F538" s="9" t="str">
        <f t="array" ref="F538:G538">XLOOKUP($E538,product_epicenter!$A$2:$A$101,product_epicenter!$B$2:$C$101)</f>
        <v>Basmati Rice 1kg </v>
      </c>
      <c r="G538" s="21">
        <v>120.0</v>
      </c>
      <c r="H538" s="9">
        <v>6.0</v>
      </c>
      <c r="I538" s="21">
        <f t="shared" si="2"/>
        <v>720</v>
      </c>
    </row>
    <row r="539" ht="15.75" customHeight="1">
      <c r="A539" s="18">
        <f t="shared" si="3"/>
        <v>45801</v>
      </c>
      <c r="B539" s="19">
        <f t="shared" si="1"/>
        <v>45798</v>
      </c>
      <c r="C539" s="23" t="s">
        <v>450</v>
      </c>
      <c r="D539" s="5" t="s">
        <v>451</v>
      </c>
      <c r="E539" s="9" t="s">
        <v>111</v>
      </c>
      <c r="F539" s="9" t="str">
        <f t="array" ref="F539:G539">XLOOKUP($E539,product_epicenter!$A$2:$A$101,product_epicenter!$B$2:$C$101)</f>
        <v>Almonds 500g </v>
      </c>
      <c r="G539" s="21">
        <v>500.0</v>
      </c>
      <c r="H539" s="9">
        <v>7.0</v>
      </c>
      <c r="I539" s="21">
        <f t="shared" si="2"/>
        <v>3500</v>
      </c>
    </row>
    <row r="540" ht="15.75" customHeight="1">
      <c r="A540" s="18">
        <f t="shared" si="3"/>
        <v>45801</v>
      </c>
      <c r="B540" s="19">
        <f t="shared" si="1"/>
        <v>45798</v>
      </c>
      <c r="C540" s="23" t="s">
        <v>450</v>
      </c>
      <c r="D540" s="5" t="s">
        <v>451</v>
      </c>
      <c r="E540" s="9" t="s">
        <v>157</v>
      </c>
      <c r="F540" s="9" t="str">
        <f t="array" ref="F540:G540">XLOOKUP($E540,product_epicenter!$A$2:$A$101,product_epicenter!$B$2:$C$101)</f>
        <v>Butter Paper 1 roll </v>
      </c>
      <c r="G540" s="21">
        <v>100.0</v>
      </c>
      <c r="H540" s="9">
        <v>2.0</v>
      </c>
      <c r="I540" s="21">
        <f t="shared" si="2"/>
        <v>200</v>
      </c>
    </row>
    <row r="541" ht="15.75" customHeight="1">
      <c r="A541" s="18">
        <f t="shared" si="3"/>
        <v>45801</v>
      </c>
      <c r="B541" s="19">
        <f t="shared" si="1"/>
        <v>45798</v>
      </c>
      <c r="C541" s="23" t="s">
        <v>452</v>
      </c>
      <c r="D541" s="5" t="s">
        <v>453</v>
      </c>
      <c r="E541" s="9" t="s">
        <v>129</v>
      </c>
      <c r="F541" s="9" t="str">
        <f t="array" ref="F541:G541">XLOOKUP($E541,product_epicenter!$A$2:$A$101,product_epicenter!$B$2:$C$101)</f>
        <v>Coconut 1 piece </v>
      </c>
      <c r="G541" s="21">
        <v>40.0</v>
      </c>
      <c r="H541" s="9">
        <v>3.0</v>
      </c>
      <c r="I541" s="21">
        <f t="shared" si="2"/>
        <v>120</v>
      </c>
    </row>
    <row r="542" ht="15.75" customHeight="1">
      <c r="A542" s="18">
        <f t="shared" si="3"/>
        <v>45801</v>
      </c>
      <c r="B542" s="19">
        <f t="shared" si="1"/>
        <v>45798</v>
      </c>
      <c r="C542" s="23" t="s">
        <v>452</v>
      </c>
      <c r="D542" s="5" t="s">
        <v>453</v>
      </c>
      <c r="E542" s="9" t="s">
        <v>93</v>
      </c>
      <c r="F542" s="9" t="str">
        <f t="array" ref="F542:G542">XLOOKUP($E542,product_epicenter!$A$2:$A$101,product_epicenter!$B$2:$C$101)</f>
        <v>Soy Sauce 500ml </v>
      </c>
      <c r="G542" s="21">
        <v>120.0</v>
      </c>
      <c r="H542" s="9">
        <v>9.0</v>
      </c>
      <c r="I542" s="21">
        <f t="shared" si="2"/>
        <v>1080</v>
      </c>
    </row>
    <row r="543" ht="15.75" customHeight="1">
      <c r="A543" s="18">
        <f t="shared" si="3"/>
        <v>45801</v>
      </c>
      <c r="B543" s="19">
        <f t="shared" si="1"/>
        <v>45798</v>
      </c>
      <c r="C543" s="23" t="s">
        <v>452</v>
      </c>
      <c r="D543" s="5" t="s">
        <v>453</v>
      </c>
      <c r="E543" s="9" t="s">
        <v>191</v>
      </c>
      <c r="F543" s="9" t="str">
        <f t="array" ref="F543:G543">XLOOKUP($E543,product_epicenter!$A$2:$A$101,product_epicenter!$B$2:$C$101)</f>
        <v>Nail Polish 1 bottle </v>
      </c>
      <c r="G543" s="21">
        <v>120.0</v>
      </c>
      <c r="H543" s="9">
        <v>6.0</v>
      </c>
      <c r="I543" s="21">
        <f t="shared" si="2"/>
        <v>720</v>
      </c>
    </row>
    <row r="544" ht="15.75" customHeight="1">
      <c r="A544" s="18">
        <f t="shared" si="3"/>
        <v>45801</v>
      </c>
      <c r="B544" s="19">
        <f t="shared" si="1"/>
        <v>45798</v>
      </c>
      <c r="C544" s="23" t="s">
        <v>452</v>
      </c>
      <c r="D544" s="5" t="s">
        <v>453</v>
      </c>
      <c r="E544" s="9" t="s">
        <v>3</v>
      </c>
      <c r="F544" s="9" t="str">
        <f t="array" ref="F544:G544">XLOOKUP($E544,product_epicenter!$A$2:$A$101,product_epicenter!$B$2:$C$101)</f>
        <v>Rice 1kg </v>
      </c>
      <c r="G544" s="21">
        <v>60.0</v>
      </c>
      <c r="H544" s="9">
        <v>1.0</v>
      </c>
      <c r="I544" s="21">
        <f t="shared" si="2"/>
        <v>60</v>
      </c>
    </row>
    <row r="545" ht="15.75" customHeight="1">
      <c r="A545" s="18">
        <f t="shared" si="3"/>
        <v>45801</v>
      </c>
      <c r="B545" s="19">
        <f t="shared" si="1"/>
        <v>45798</v>
      </c>
      <c r="C545" s="23" t="s">
        <v>452</v>
      </c>
      <c r="D545" s="5" t="s">
        <v>453</v>
      </c>
      <c r="E545" s="9" t="s">
        <v>155</v>
      </c>
      <c r="F545" s="9" t="str">
        <f t="array" ref="F545:G545">XLOOKUP($E545,product_epicenter!$A$2:$A$101,product_epicenter!$B$2:$C$101)</f>
        <v>Whipped Cream 500ml </v>
      </c>
      <c r="G545" s="21">
        <v>250.0</v>
      </c>
      <c r="H545" s="9">
        <v>8.0</v>
      </c>
      <c r="I545" s="21">
        <f t="shared" si="2"/>
        <v>2000</v>
      </c>
    </row>
    <row r="546" ht="15.75" customHeight="1">
      <c r="A546" s="18">
        <f t="shared" si="3"/>
        <v>45801</v>
      </c>
      <c r="B546" s="19">
        <f t="shared" si="1"/>
        <v>45798</v>
      </c>
      <c r="C546" s="23" t="s">
        <v>454</v>
      </c>
      <c r="D546" s="5" t="s">
        <v>455</v>
      </c>
      <c r="E546" s="9" t="s">
        <v>69</v>
      </c>
      <c r="F546" s="9" t="str">
        <f t="array" ref="F546:G546">XLOOKUP($E546,product_epicenter!$A$2:$A$101,product_epicenter!$B$2:$C$101)</f>
        <v>Detergent Powder 1kg </v>
      </c>
      <c r="G546" s="21">
        <v>150.0</v>
      </c>
      <c r="H546" s="9">
        <v>4.0</v>
      </c>
      <c r="I546" s="21">
        <f t="shared" si="2"/>
        <v>600</v>
      </c>
    </row>
    <row r="547" ht="15.75" customHeight="1">
      <c r="A547" s="18">
        <f t="shared" si="3"/>
        <v>45801</v>
      </c>
      <c r="B547" s="19">
        <f t="shared" si="1"/>
        <v>45798</v>
      </c>
      <c r="C547" s="23" t="s">
        <v>454</v>
      </c>
      <c r="D547" s="5" t="s">
        <v>455</v>
      </c>
      <c r="E547" s="9" t="s">
        <v>141</v>
      </c>
      <c r="F547" s="9" t="str">
        <f t="array" ref="F547:G547">XLOOKUP($E547,product_epicenter!$A$2:$A$101,product_epicenter!$B$2:$C$101)</f>
        <v>Basmati Rice 1kg </v>
      </c>
      <c r="G547" s="21">
        <v>120.0</v>
      </c>
      <c r="H547" s="9">
        <v>5.0</v>
      </c>
      <c r="I547" s="21">
        <f t="shared" si="2"/>
        <v>600</v>
      </c>
    </row>
    <row r="548" ht="15.75" customHeight="1">
      <c r="A548" s="18">
        <f t="shared" si="3"/>
        <v>45801</v>
      </c>
      <c r="B548" s="19">
        <f t="shared" si="1"/>
        <v>45798</v>
      </c>
      <c r="C548" s="23" t="s">
        <v>454</v>
      </c>
      <c r="D548" s="5" t="s">
        <v>455</v>
      </c>
      <c r="E548" s="9" t="s">
        <v>49</v>
      </c>
      <c r="F548" s="9" t="str">
        <f t="array" ref="F548:G548">XLOOKUP($E548,product_epicenter!$A$2:$A$101,product_epicenter!$B$2:$C$101)</f>
        <v>Green Chillies 250g </v>
      </c>
      <c r="G548" s="21">
        <v>20.0</v>
      </c>
      <c r="H548" s="9">
        <v>9.0</v>
      </c>
      <c r="I548" s="21">
        <f t="shared" si="2"/>
        <v>180</v>
      </c>
    </row>
    <row r="549" ht="15.75" customHeight="1">
      <c r="A549" s="18">
        <f t="shared" si="3"/>
        <v>45801</v>
      </c>
      <c r="B549" s="19">
        <f t="shared" si="1"/>
        <v>45798</v>
      </c>
      <c r="C549" s="23" t="s">
        <v>456</v>
      </c>
      <c r="D549" s="5" t="s">
        <v>457</v>
      </c>
      <c r="E549" s="9" t="s">
        <v>31</v>
      </c>
      <c r="F549" s="9" t="str">
        <f t="array" ref="F549:G549">XLOOKUP($E549,product_epicenter!$A$2:$A$101,product_epicenter!$B$2:$C$101)</f>
        <v>Eggs 12 pcs </v>
      </c>
      <c r="G549" s="21">
        <v>80.0</v>
      </c>
      <c r="H549" s="9">
        <v>3.0</v>
      </c>
      <c r="I549" s="21">
        <f t="shared" si="2"/>
        <v>240</v>
      </c>
    </row>
    <row r="550" ht="15.75" customHeight="1">
      <c r="A550" s="18">
        <f t="shared" si="3"/>
        <v>45801</v>
      </c>
      <c r="B550" s="19">
        <f t="shared" si="1"/>
        <v>45798</v>
      </c>
      <c r="C550" s="23" t="s">
        <v>456</v>
      </c>
      <c r="D550" s="5" t="s">
        <v>457</v>
      </c>
      <c r="E550" s="9" t="s">
        <v>9</v>
      </c>
      <c r="F550" s="9" t="str">
        <f t="array" ref="F550:G550">XLOOKUP($E550,product_epicenter!$A$2:$A$101,product_epicenter!$B$2:$C$101)</f>
        <v>Aata (Wheat Flour) 1kg </v>
      </c>
      <c r="G550" s="21">
        <v>40.0</v>
      </c>
      <c r="H550" s="9">
        <v>6.0</v>
      </c>
      <c r="I550" s="21">
        <f t="shared" si="2"/>
        <v>240</v>
      </c>
    </row>
    <row r="551" ht="15.75" customHeight="1">
      <c r="A551" s="18">
        <f t="shared" si="3"/>
        <v>45801</v>
      </c>
      <c r="B551" s="19">
        <f t="shared" si="1"/>
        <v>45798</v>
      </c>
      <c r="C551" s="23" t="s">
        <v>456</v>
      </c>
      <c r="D551" s="5" t="s">
        <v>457</v>
      </c>
      <c r="E551" s="9" t="s">
        <v>145</v>
      </c>
      <c r="F551" s="9" t="str">
        <f t="array" ref="F551:G551">XLOOKUP($E551,product_epicenter!$A$2:$A$101,product_epicenter!$B$2:$C$101)</f>
        <v>Quinoa 500g </v>
      </c>
      <c r="G551" s="21">
        <v>350.0</v>
      </c>
      <c r="H551" s="9">
        <v>7.0</v>
      </c>
      <c r="I551" s="21">
        <f t="shared" si="2"/>
        <v>2450</v>
      </c>
    </row>
    <row r="552" ht="15.75" customHeight="1">
      <c r="A552" s="18">
        <f t="shared" si="3"/>
        <v>45801</v>
      </c>
      <c r="B552" s="19">
        <f t="shared" si="1"/>
        <v>45798</v>
      </c>
      <c r="C552" s="23" t="s">
        <v>456</v>
      </c>
      <c r="D552" s="5" t="s">
        <v>457</v>
      </c>
      <c r="E552" s="9" t="s">
        <v>177</v>
      </c>
      <c r="F552" s="9" t="str">
        <f t="array" ref="F552:G552">XLOOKUP($E552,product_epicenter!$A$2:$A$101,product_epicenter!$B$2:$C$101)</f>
        <v>Juice 1 litre </v>
      </c>
      <c r="G552" s="21">
        <v>150.0</v>
      </c>
      <c r="H552" s="9">
        <v>4.0</v>
      </c>
      <c r="I552" s="21">
        <f t="shared" si="2"/>
        <v>600</v>
      </c>
    </row>
    <row r="553" ht="15.75" customHeight="1">
      <c r="A553" s="18">
        <f t="shared" si="3"/>
        <v>45801</v>
      </c>
      <c r="B553" s="19">
        <f t="shared" si="1"/>
        <v>45798</v>
      </c>
      <c r="C553" s="23" t="s">
        <v>458</v>
      </c>
      <c r="D553" s="5" t="s">
        <v>459</v>
      </c>
      <c r="E553" s="9" t="s">
        <v>117</v>
      </c>
      <c r="F553" s="9" t="str">
        <f t="array" ref="F553:G553">XLOOKUP($E553,product_epicenter!$A$2:$A$101,product_epicenter!$B$2:$C$101)</f>
        <v>Green Tea 250g </v>
      </c>
      <c r="G553" s="21">
        <v>350.0</v>
      </c>
      <c r="H553" s="9">
        <v>9.0</v>
      </c>
      <c r="I553" s="21">
        <f t="shared" si="2"/>
        <v>3150</v>
      </c>
    </row>
    <row r="554" ht="15.75" customHeight="1">
      <c r="A554" s="18">
        <f t="shared" si="3"/>
        <v>45801</v>
      </c>
      <c r="B554" s="19">
        <f t="shared" si="1"/>
        <v>45798</v>
      </c>
      <c r="C554" s="23" t="s">
        <v>458</v>
      </c>
      <c r="D554" s="5" t="s">
        <v>459</v>
      </c>
      <c r="E554" s="9" t="s">
        <v>87</v>
      </c>
      <c r="F554" s="9" t="str">
        <f t="array" ref="F554:G554">XLOOKUP($E554,product_epicenter!$A$2:$A$101,product_epicenter!$B$2:$C$101)</f>
        <v>Coriander Powder 100g </v>
      </c>
      <c r="G554" s="21">
        <v>50.0</v>
      </c>
      <c r="H554" s="9">
        <v>7.0</v>
      </c>
      <c r="I554" s="21">
        <f t="shared" si="2"/>
        <v>350</v>
      </c>
    </row>
    <row r="555" ht="15.75" customHeight="1">
      <c r="A555" s="18">
        <f t="shared" si="3"/>
        <v>45801</v>
      </c>
      <c r="B555" s="19">
        <f t="shared" si="1"/>
        <v>45798</v>
      </c>
      <c r="C555" s="23" t="s">
        <v>458</v>
      </c>
      <c r="D555" s="5" t="s">
        <v>459</v>
      </c>
      <c r="E555" s="9" t="s">
        <v>171</v>
      </c>
      <c r="F555" s="9" t="str">
        <f t="array" ref="F555:G555">XLOOKUP($E555,product_epicenter!$A$2:$A$101,product_epicenter!$B$2:$C$101)</f>
        <v>Mineral Water 1 litre </v>
      </c>
      <c r="G555" s="21">
        <v>20.0</v>
      </c>
      <c r="H555" s="9">
        <v>8.0</v>
      </c>
      <c r="I555" s="21">
        <f t="shared" si="2"/>
        <v>160</v>
      </c>
    </row>
    <row r="556" ht="15.75" customHeight="1">
      <c r="A556" s="18">
        <f t="shared" si="3"/>
        <v>45801</v>
      </c>
      <c r="B556" s="19">
        <f t="shared" si="1"/>
        <v>45798</v>
      </c>
      <c r="C556" s="23" t="s">
        <v>460</v>
      </c>
      <c r="D556" s="5" t="s">
        <v>461</v>
      </c>
      <c r="E556" s="9" t="s">
        <v>65</v>
      </c>
      <c r="F556" s="9" t="str">
        <f t="array" ref="F556:G556">XLOOKUP($E556,product_epicenter!$A$2:$A$101,product_epicenter!$B$2:$C$101)</f>
        <v>Soap 1 bar </v>
      </c>
      <c r="G556" s="21">
        <v>40.0</v>
      </c>
      <c r="H556" s="9">
        <v>9.0</v>
      </c>
      <c r="I556" s="21">
        <f t="shared" si="2"/>
        <v>360</v>
      </c>
    </row>
    <row r="557" ht="15.75" customHeight="1">
      <c r="A557" s="18">
        <f t="shared" si="3"/>
        <v>45801</v>
      </c>
      <c r="B557" s="19">
        <f t="shared" si="1"/>
        <v>45798</v>
      </c>
      <c r="C557" s="23" t="s">
        <v>460</v>
      </c>
      <c r="D557" s="5" t="s">
        <v>461</v>
      </c>
      <c r="E557" s="9" t="s">
        <v>3</v>
      </c>
      <c r="F557" s="9" t="str">
        <f t="array" ref="F557:G557">XLOOKUP($E557,product_epicenter!$A$2:$A$101,product_epicenter!$B$2:$C$101)</f>
        <v>Rice 1kg </v>
      </c>
      <c r="G557" s="21">
        <v>60.0</v>
      </c>
      <c r="H557" s="9">
        <v>7.0</v>
      </c>
      <c r="I557" s="21">
        <f t="shared" si="2"/>
        <v>420</v>
      </c>
    </row>
    <row r="558" ht="15.75" customHeight="1">
      <c r="A558" s="18">
        <f t="shared" si="3"/>
        <v>45801</v>
      </c>
      <c r="B558" s="19">
        <f t="shared" si="1"/>
        <v>45798</v>
      </c>
      <c r="C558" s="23" t="s">
        <v>460</v>
      </c>
      <c r="D558" s="5" t="s">
        <v>461</v>
      </c>
      <c r="E558" s="9" t="s">
        <v>31</v>
      </c>
      <c r="F558" s="9" t="str">
        <f t="array" ref="F558:G558">XLOOKUP($E558,product_epicenter!$A$2:$A$101,product_epicenter!$B$2:$C$101)</f>
        <v>Eggs 12 pcs </v>
      </c>
      <c r="G558" s="21">
        <v>80.0</v>
      </c>
      <c r="H558" s="9">
        <v>5.0</v>
      </c>
      <c r="I558" s="21">
        <f t="shared" si="2"/>
        <v>400</v>
      </c>
    </row>
    <row r="559" ht="15.75" customHeight="1">
      <c r="A559" s="18">
        <f t="shared" si="3"/>
        <v>45801</v>
      </c>
      <c r="B559" s="19">
        <f t="shared" si="1"/>
        <v>45798</v>
      </c>
      <c r="C559" s="23" t="s">
        <v>460</v>
      </c>
      <c r="D559" s="5" t="s">
        <v>461</v>
      </c>
      <c r="E559" s="9" t="s">
        <v>89</v>
      </c>
      <c r="F559" s="9" t="str">
        <f t="array" ref="F559:G559">XLOOKUP($E559,product_epicenter!$A$2:$A$101,product_epicenter!$B$2:$C$101)</f>
        <v>Chili Powder 100g </v>
      </c>
      <c r="G559" s="21">
        <v>60.0</v>
      </c>
      <c r="H559" s="9">
        <v>1.0</v>
      </c>
      <c r="I559" s="21">
        <f t="shared" si="2"/>
        <v>60</v>
      </c>
    </row>
    <row r="560" ht="15.75" customHeight="1">
      <c r="A560" s="18">
        <f t="shared" si="3"/>
        <v>45801</v>
      </c>
      <c r="B560" s="19">
        <f t="shared" si="1"/>
        <v>45798</v>
      </c>
      <c r="C560" s="23" t="s">
        <v>462</v>
      </c>
      <c r="D560" s="5" t="s">
        <v>463</v>
      </c>
      <c r="E560" s="9" t="s">
        <v>21</v>
      </c>
      <c r="F560" s="9" t="str">
        <f t="array" ref="F560:G560">XLOOKUP($E560,product_epicenter!$A$2:$A$101,product_epicenter!$B$2:$C$101)</f>
        <v>Salt 1kg </v>
      </c>
      <c r="G560" s="21">
        <v>20.0</v>
      </c>
      <c r="H560" s="9">
        <v>2.0</v>
      </c>
      <c r="I560" s="21">
        <f t="shared" si="2"/>
        <v>40</v>
      </c>
    </row>
    <row r="561" ht="15.75" customHeight="1">
      <c r="A561" s="18">
        <f t="shared" si="3"/>
        <v>45801</v>
      </c>
      <c r="B561" s="19">
        <f t="shared" si="1"/>
        <v>45798</v>
      </c>
      <c r="C561" s="23" t="s">
        <v>462</v>
      </c>
      <c r="D561" s="5" t="s">
        <v>463</v>
      </c>
      <c r="E561" s="9" t="s">
        <v>175</v>
      </c>
      <c r="F561" s="9" t="str">
        <f t="array" ref="F561:G561">XLOOKUP($E561,product_epicenter!$A$2:$A$101,product_epicenter!$B$2:$C$101)</f>
        <v>Ice Tea 1 litre </v>
      </c>
      <c r="G561" s="21">
        <v>120.0</v>
      </c>
      <c r="H561" s="9">
        <v>1.0</v>
      </c>
      <c r="I561" s="21">
        <f t="shared" si="2"/>
        <v>120</v>
      </c>
    </row>
    <row r="562" ht="15.75" customHeight="1">
      <c r="A562" s="18">
        <f t="shared" si="3"/>
        <v>45801</v>
      </c>
      <c r="B562" s="19">
        <f t="shared" si="1"/>
        <v>45798</v>
      </c>
      <c r="C562" s="23" t="s">
        <v>462</v>
      </c>
      <c r="D562" s="5" t="s">
        <v>463</v>
      </c>
      <c r="E562" s="9" t="s">
        <v>13</v>
      </c>
      <c r="F562" s="9" t="str">
        <f t="array" ref="F562:G562">XLOOKUP($E562,product_epicenter!$A$2:$A$101,product_epicenter!$B$2:$C$101)</f>
        <v>Coffee 100g </v>
      </c>
      <c r="G562" s="21">
        <v>250.0</v>
      </c>
      <c r="H562" s="9">
        <v>1.0</v>
      </c>
      <c r="I562" s="21">
        <f t="shared" si="2"/>
        <v>250</v>
      </c>
    </row>
    <row r="563" ht="15.75" customHeight="1">
      <c r="A563" s="18">
        <f t="shared" si="3"/>
        <v>45801</v>
      </c>
      <c r="B563" s="19">
        <f t="shared" si="1"/>
        <v>45798</v>
      </c>
      <c r="C563" s="23" t="s">
        <v>464</v>
      </c>
      <c r="D563" s="5" t="s">
        <v>465</v>
      </c>
      <c r="E563" s="9" t="s">
        <v>85</v>
      </c>
      <c r="F563" s="9" t="str">
        <f t="array" ref="F563:G563">XLOOKUP($E563,product_epicenter!$A$2:$A$101,product_epicenter!$B$2:$C$101)</f>
        <v>Cumin Seeds 100g </v>
      </c>
      <c r="G563" s="21">
        <v>40.0</v>
      </c>
      <c r="H563" s="9">
        <v>4.0</v>
      </c>
      <c r="I563" s="21">
        <f t="shared" si="2"/>
        <v>160</v>
      </c>
    </row>
    <row r="564" ht="15.75" customHeight="1">
      <c r="A564" s="18">
        <f t="shared" si="3"/>
        <v>45801</v>
      </c>
      <c r="B564" s="19">
        <f t="shared" si="1"/>
        <v>45798</v>
      </c>
      <c r="C564" s="23" t="s">
        <v>464</v>
      </c>
      <c r="D564" s="5" t="s">
        <v>465</v>
      </c>
      <c r="E564" s="9" t="s">
        <v>129</v>
      </c>
      <c r="F564" s="9" t="str">
        <f t="array" ref="F564:G564">XLOOKUP($E564,product_epicenter!$A$2:$A$101,product_epicenter!$B$2:$C$101)</f>
        <v>Coconut 1 piece </v>
      </c>
      <c r="G564" s="21">
        <v>40.0</v>
      </c>
      <c r="H564" s="9">
        <v>6.0</v>
      </c>
      <c r="I564" s="21">
        <f t="shared" si="2"/>
        <v>240</v>
      </c>
    </row>
    <row r="565" ht="15.75" customHeight="1">
      <c r="A565" s="18">
        <f t="shared" si="3"/>
        <v>45801</v>
      </c>
      <c r="B565" s="19">
        <f t="shared" si="1"/>
        <v>45798</v>
      </c>
      <c r="C565" s="23" t="s">
        <v>464</v>
      </c>
      <c r="D565" s="5" t="s">
        <v>465</v>
      </c>
      <c r="E565" s="9" t="s">
        <v>57</v>
      </c>
      <c r="F565" s="9" t="str">
        <f t="array" ref="F565:G565">XLOOKUP($E565,product_epicenter!$A$2:$A$101,product_epicenter!$B$2:$C$101)</f>
        <v>Chocolates 1 bar </v>
      </c>
      <c r="G565" s="21">
        <v>100.0</v>
      </c>
      <c r="H565" s="9">
        <v>6.0</v>
      </c>
      <c r="I565" s="21">
        <f t="shared" si="2"/>
        <v>600</v>
      </c>
    </row>
    <row r="566" ht="15.75" customHeight="1">
      <c r="A566" s="18">
        <f t="shared" si="3"/>
        <v>45801</v>
      </c>
      <c r="B566" s="19">
        <f t="shared" si="1"/>
        <v>45798</v>
      </c>
      <c r="C566" s="23" t="s">
        <v>466</v>
      </c>
      <c r="D566" s="5" t="s">
        <v>467</v>
      </c>
      <c r="E566" s="9" t="s">
        <v>9</v>
      </c>
      <c r="F566" s="9" t="str">
        <f t="array" ref="F566:G566">XLOOKUP($E566,product_epicenter!$A$2:$A$101,product_epicenter!$B$2:$C$101)</f>
        <v>Aata (Wheat Flour) 1kg </v>
      </c>
      <c r="G566" s="21">
        <v>40.0</v>
      </c>
      <c r="H566" s="9">
        <v>3.0</v>
      </c>
      <c r="I566" s="21">
        <f t="shared" si="2"/>
        <v>120</v>
      </c>
    </row>
    <row r="567" ht="15.75" customHeight="1">
      <c r="A567" s="18">
        <f t="shared" si="3"/>
        <v>45801</v>
      </c>
      <c r="B567" s="19">
        <f t="shared" si="1"/>
        <v>45798</v>
      </c>
      <c r="C567" s="23" t="s">
        <v>466</v>
      </c>
      <c r="D567" s="5" t="s">
        <v>467</v>
      </c>
      <c r="E567" s="9" t="s">
        <v>69</v>
      </c>
      <c r="F567" s="9" t="str">
        <f t="array" ref="F567:G567">XLOOKUP($E567,product_epicenter!$A$2:$A$101,product_epicenter!$B$2:$C$101)</f>
        <v>Detergent Powder 1kg </v>
      </c>
      <c r="G567" s="21">
        <v>150.0</v>
      </c>
      <c r="H567" s="9">
        <v>5.0</v>
      </c>
      <c r="I567" s="21">
        <f t="shared" si="2"/>
        <v>750</v>
      </c>
    </row>
    <row r="568" ht="15.75" customHeight="1">
      <c r="A568" s="18">
        <f t="shared" si="3"/>
        <v>45801</v>
      </c>
      <c r="B568" s="19">
        <f t="shared" si="1"/>
        <v>45798</v>
      </c>
      <c r="C568" s="23" t="s">
        <v>466</v>
      </c>
      <c r="D568" s="5" t="s">
        <v>467</v>
      </c>
      <c r="E568" s="9" t="s">
        <v>149</v>
      </c>
      <c r="F568" s="9" t="str">
        <f t="array" ref="F568:G568">XLOOKUP($E568,product_epicenter!$A$2:$A$101,product_epicenter!$B$2:$C$101)</f>
        <v>Baking Powder 250g </v>
      </c>
      <c r="G568" s="21">
        <v>80.0</v>
      </c>
      <c r="H568" s="9">
        <v>6.0</v>
      </c>
      <c r="I568" s="21">
        <f t="shared" si="2"/>
        <v>480</v>
      </c>
    </row>
    <row r="569" ht="15.75" customHeight="1">
      <c r="A569" s="18">
        <f t="shared" si="3"/>
        <v>45801</v>
      </c>
      <c r="B569" s="19">
        <f t="shared" si="1"/>
        <v>45798</v>
      </c>
      <c r="C569" s="23" t="s">
        <v>466</v>
      </c>
      <c r="D569" s="5" t="s">
        <v>467</v>
      </c>
      <c r="E569" s="9" t="s">
        <v>135</v>
      </c>
      <c r="F569" s="9" t="str">
        <f t="array" ref="F569:G569">XLOOKUP($E569,product_epicenter!$A$2:$A$101,product_epicenter!$B$2:$C$101)</f>
        <v>Ice Cubes 1 pack </v>
      </c>
      <c r="G569" s="21">
        <v>50.0</v>
      </c>
      <c r="H569" s="9">
        <v>7.0</v>
      </c>
      <c r="I569" s="21">
        <f t="shared" si="2"/>
        <v>350</v>
      </c>
    </row>
    <row r="570" ht="15.75" customHeight="1">
      <c r="A570" s="18">
        <f t="shared" si="3"/>
        <v>45801</v>
      </c>
      <c r="B570" s="19">
        <f t="shared" si="1"/>
        <v>45798</v>
      </c>
      <c r="C570" s="23" t="s">
        <v>468</v>
      </c>
      <c r="D570" s="5" t="s">
        <v>469</v>
      </c>
      <c r="E570" s="9" t="s">
        <v>163</v>
      </c>
      <c r="F570" s="9" t="str">
        <f t="array" ref="F570:G570">XLOOKUP($E570,product_epicenter!$A$2:$A$101,product_epicenter!$B$2:$C$101)</f>
        <v>Matchsticks 1 pack </v>
      </c>
      <c r="G570" s="21">
        <v>20.0</v>
      </c>
      <c r="H570" s="9">
        <v>5.0</v>
      </c>
      <c r="I570" s="21">
        <f t="shared" si="2"/>
        <v>100</v>
      </c>
    </row>
    <row r="571" ht="15.75" customHeight="1">
      <c r="A571" s="18">
        <f t="shared" si="3"/>
        <v>45801</v>
      </c>
      <c r="B571" s="19">
        <f t="shared" si="1"/>
        <v>45798</v>
      </c>
      <c r="C571" s="23" t="s">
        <v>468</v>
      </c>
      <c r="D571" s="5" t="s">
        <v>469</v>
      </c>
      <c r="E571" s="9" t="s">
        <v>41</v>
      </c>
      <c r="F571" s="9" t="str">
        <f t="array" ref="F571:G571">XLOOKUP($E571,product_epicenter!$A$2:$A$101,product_epicenter!$B$2:$C$101)</f>
        <v>Oranges 1kg </v>
      </c>
      <c r="G571" s="21">
        <v>100.0</v>
      </c>
      <c r="H571" s="9">
        <v>8.0</v>
      </c>
      <c r="I571" s="21">
        <f t="shared" si="2"/>
        <v>800</v>
      </c>
    </row>
    <row r="572" ht="15.75" customHeight="1">
      <c r="A572" s="18">
        <f t="shared" si="3"/>
        <v>45801</v>
      </c>
      <c r="B572" s="19">
        <f t="shared" si="1"/>
        <v>45798</v>
      </c>
      <c r="C572" s="23" t="s">
        <v>468</v>
      </c>
      <c r="D572" s="5" t="s">
        <v>469</v>
      </c>
      <c r="E572" s="9" t="s">
        <v>155</v>
      </c>
      <c r="F572" s="9" t="str">
        <f t="array" ref="F572:G572">XLOOKUP($E572,product_epicenter!$A$2:$A$101,product_epicenter!$B$2:$C$101)</f>
        <v>Whipped Cream 500ml </v>
      </c>
      <c r="G572" s="21">
        <v>250.0</v>
      </c>
      <c r="H572" s="9">
        <v>8.0</v>
      </c>
      <c r="I572" s="21">
        <f t="shared" si="2"/>
        <v>2000</v>
      </c>
    </row>
    <row r="573" ht="15.75" customHeight="1">
      <c r="A573" s="18">
        <f t="shared" si="3"/>
        <v>45801</v>
      </c>
      <c r="B573" s="19">
        <f t="shared" si="1"/>
        <v>45798</v>
      </c>
      <c r="C573" s="23" t="s">
        <v>470</v>
      </c>
      <c r="D573" s="5" t="s">
        <v>471</v>
      </c>
      <c r="E573" s="9" t="s">
        <v>181</v>
      </c>
      <c r="F573" s="9" t="str">
        <f t="array" ref="F573:G573">XLOOKUP($E573,product_epicenter!$A$2:$A$101,product_epicenter!$B$2:$C$101)</f>
        <v>Hand Wash 500ml </v>
      </c>
      <c r="G573" s="21">
        <v>150.0</v>
      </c>
      <c r="H573" s="9">
        <v>9.0</v>
      </c>
      <c r="I573" s="21">
        <f t="shared" si="2"/>
        <v>1350</v>
      </c>
    </row>
    <row r="574" ht="15.75" customHeight="1">
      <c r="A574" s="18">
        <f t="shared" si="3"/>
        <v>45801</v>
      </c>
      <c r="B574" s="19">
        <f t="shared" si="1"/>
        <v>45798</v>
      </c>
      <c r="C574" s="23" t="s">
        <v>470</v>
      </c>
      <c r="D574" s="5" t="s">
        <v>471</v>
      </c>
      <c r="E574" s="9" t="s">
        <v>45</v>
      </c>
      <c r="F574" s="9" t="str">
        <f t="array" ref="F574:G574">XLOOKUP($E574,product_epicenter!$A$2:$A$101,product_epicenter!$B$2:$C$101)</f>
        <v>Onions 1kg </v>
      </c>
      <c r="G574" s="21">
        <v>40.0</v>
      </c>
      <c r="H574" s="9">
        <v>9.0</v>
      </c>
      <c r="I574" s="21">
        <f t="shared" si="2"/>
        <v>360</v>
      </c>
    </row>
    <row r="575" ht="15.75" customHeight="1">
      <c r="A575" s="18">
        <f t="shared" si="3"/>
        <v>45801</v>
      </c>
      <c r="B575" s="19">
        <f t="shared" si="1"/>
        <v>45798</v>
      </c>
      <c r="C575" s="23" t="s">
        <v>470</v>
      </c>
      <c r="D575" s="5" t="s">
        <v>471</v>
      </c>
      <c r="E575" s="9" t="s">
        <v>191</v>
      </c>
      <c r="F575" s="9" t="str">
        <f t="array" ref="F575:G575">XLOOKUP($E575,product_epicenter!$A$2:$A$101,product_epicenter!$B$2:$C$101)</f>
        <v>Nail Polish 1 bottle </v>
      </c>
      <c r="G575" s="21">
        <v>120.0</v>
      </c>
      <c r="H575" s="9">
        <v>1.0</v>
      </c>
      <c r="I575" s="21">
        <f t="shared" si="2"/>
        <v>120</v>
      </c>
    </row>
    <row r="576" ht="15.75" customHeight="1">
      <c r="A576" s="18">
        <f t="shared" si="3"/>
        <v>45801</v>
      </c>
      <c r="B576" s="19">
        <f t="shared" si="1"/>
        <v>45798</v>
      </c>
      <c r="C576" s="23" t="s">
        <v>470</v>
      </c>
      <c r="D576" s="5" t="s">
        <v>471</v>
      </c>
      <c r="E576" s="9" t="s">
        <v>43</v>
      </c>
      <c r="F576" s="9" t="str">
        <f t="array" ref="F576:G576">XLOOKUP($E576,product_epicenter!$A$2:$A$101,product_epicenter!$B$2:$C$101)</f>
        <v>Potatoes 1kg </v>
      </c>
      <c r="G576" s="21">
        <v>30.0</v>
      </c>
      <c r="H576" s="9">
        <v>7.0</v>
      </c>
      <c r="I576" s="21">
        <f t="shared" si="2"/>
        <v>210</v>
      </c>
    </row>
    <row r="577" ht="15.75" customHeight="1">
      <c r="A577" s="18">
        <f t="shared" si="3"/>
        <v>45801</v>
      </c>
      <c r="B577" s="19">
        <f t="shared" si="1"/>
        <v>45798</v>
      </c>
      <c r="C577" s="23" t="s">
        <v>470</v>
      </c>
      <c r="D577" s="5" t="s">
        <v>471</v>
      </c>
      <c r="E577" s="9" t="s">
        <v>35</v>
      </c>
      <c r="F577" s="9" t="str">
        <f t="array" ref="F577:G577">XLOOKUP($E577,product_epicenter!$A$2:$A$101,product_epicenter!$B$2:$C$101)</f>
        <v>Fish 1kg </v>
      </c>
      <c r="G577" s="21">
        <v>300.0</v>
      </c>
      <c r="H577" s="9">
        <v>4.0</v>
      </c>
      <c r="I577" s="21">
        <f t="shared" si="2"/>
        <v>1200</v>
      </c>
    </row>
    <row r="578" ht="15.75" customHeight="1">
      <c r="A578" s="18">
        <f t="shared" si="3"/>
        <v>45801</v>
      </c>
      <c r="B578" s="19">
        <f t="shared" si="1"/>
        <v>45798</v>
      </c>
      <c r="C578" s="23" t="s">
        <v>472</v>
      </c>
      <c r="D578" s="5" t="s">
        <v>473</v>
      </c>
      <c r="E578" s="9" t="s">
        <v>17</v>
      </c>
      <c r="F578" s="9" t="str">
        <f t="array" ref="F578:G578">XLOOKUP($E578,product_epicenter!$A$2:$A$101,product_epicenter!$B$2:$C$101)</f>
        <v>Dry Fruits Mix 1kg </v>
      </c>
      <c r="G578" s="21">
        <v>850.0</v>
      </c>
      <c r="H578" s="9">
        <v>4.0</v>
      </c>
      <c r="I578" s="21">
        <f t="shared" si="2"/>
        <v>3400</v>
      </c>
    </row>
    <row r="579" ht="15.75" customHeight="1">
      <c r="A579" s="18">
        <f t="shared" si="3"/>
        <v>45801</v>
      </c>
      <c r="B579" s="19">
        <f t="shared" si="1"/>
        <v>45798</v>
      </c>
      <c r="C579" s="23" t="s">
        <v>472</v>
      </c>
      <c r="D579" s="5" t="s">
        <v>473</v>
      </c>
      <c r="E579" s="9" t="s">
        <v>81</v>
      </c>
      <c r="F579" s="9" t="str">
        <f t="array" ref="F579:G579">XLOOKUP($E579,product_epicenter!$A$2:$A$101,product_epicenter!$B$2:$C$101)</f>
        <v>Cooking Oil 1 litre </v>
      </c>
      <c r="G579" s="21">
        <v>120.0</v>
      </c>
      <c r="H579" s="9">
        <v>1.0</v>
      </c>
      <c r="I579" s="21">
        <f t="shared" si="2"/>
        <v>120</v>
      </c>
    </row>
    <row r="580" ht="15.75" customHeight="1">
      <c r="A580" s="18">
        <f t="shared" si="3"/>
        <v>45801</v>
      </c>
      <c r="B580" s="19">
        <f t="shared" si="1"/>
        <v>45798</v>
      </c>
      <c r="C580" s="23" t="s">
        <v>472</v>
      </c>
      <c r="D580" s="5" t="s">
        <v>473</v>
      </c>
      <c r="E580" s="9" t="s">
        <v>29</v>
      </c>
      <c r="F580" s="9" t="str">
        <f t="array" ref="F580:G580">XLOOKUP($E580,product_epicenter!$A$2:$A$101,product_epicenter!$B$2:$C$101)</f>
        <v>Cheese 200g </v>
      </c>
      <c r="G580" s="21">
        <v>150.0</v>
      </c>
      <c r="H580" s="9">
        <v>4.0</v>
      </c>
      <c r="I580" s="21">
        <f t="shared" si="2"/>
        <v>600</v>
      </c>
    </row>
    <row r="581" ht="15.75" customHeight="1">
      <c r="A581" s="18">
        <f t="shared" si="3"/>
        <v>45801</v>
      </c>
      <c r="B581" s="19">
        <f t="shared" si="1"/>
        <v>45798</v>
      </c>
      <c r="C581" s="23" t="s">
        <v>472</v>
      </c>
      <c r="D581" s="5" t="s">
        <v>473</v>
      </c>
      <c r="E581" s="9" t="s">
        <v>161</v>
      </c>
      <c r="F581" s="9" t="str">
        <f t="array" ref="F581:G581">XLOOKUP($E581,product_epicenter!$A$2:$A$101,product_epicenter!$B$2:$C$101)</f>
        <v>Aluminium Foil 1 roll </v>
      </c>
      <c r="G581" s="21">
        <v>120.0</v>
      </c>
      <c r="H581" s="9">
        <v>1.0</v>
      </c>
      <c r="I581" s="21">
        <f t="shared" si="2"/>
        <v>120</v>
      </c>
    </row>
    <row r="582" ht="15.75" customHeight="1">
      <c r="A582" s="18">
        <f t="shared" si="3"/>
        <v>45801</v>
      </c>
      <c r="B582" s="19">
        <f t="shared" si="1"/>
        <v>45798</v>
      </c>
      <c r="C582" s="23" t="s">
        <v>472</v>
      </c>
      <c r="D582" s="5" t="s">
        <v>473</v>
      </c>
      <c r="E582" s="9" t="s">
        <v>95</v>
      </c>
      <c r="F582" s="9" t="str">
        <f t="array" ref="F582:G582">XLOOKUP($E582,product_epicenter!$A$2:$A$101,product_epicenter!$B$2:$C$101)</f>
        <v>Pasta 500g </v>
      </c>
      <c r="G582" s="21">
        <v>150.0</v>
      </c>
      <c r="H582" s="9">
        <v>5.0</v>
      </c>
      <c r="I582" s="21">
        <f t="shared" si="2"/>
        <v>750</v>
      </c>
    </row>
    <row r="583" ht="15.75" customHeight="1">
      <c r="A583" s="18">
        <f t="shared" si="3"/>
        <v>45801</v>
      </c>
      <c r="B583" s="19">
        <f t="shared" si="1"/>
        <v>45798</v>
      </c>
      <c r="C583" s="23" t="s">
        <v>474</v>
      </c>
      <c r="D583" s="5" t="s">
        <v>475</v>
      </c>
      <c r="E583" s="9" t="s">
        <v>127</v>
      </c>
      <c r="F583" s="9" t="str">
        <f t="array" ref="F583:G583">XLOOKUP($E583,product_epicenter!$A$2:$A$101,product_epicenter!$B$2:$C$101)</f>
        <v>Pomegranate 1kg </v>
      </c>
      <c r="G583" s="21">
        <v>200.0</v>
      </c>
      <c r="H583" s="9">
        <v>4.0</v>
      </c>
      <c r="I583" s="21">
        <f t="shared" si="2"/>
        <v>800</v>
      </c>
    </row>
    <row r="584" ht="15.75" customHeight="1">
      <c r="A584" s="18">
        <f t="shared" si="3"/>
        <v>45801</v>
      </c>
      <c r="B584" s="19">
        <f t="shared" si="1"/>
        <v>45798</v>
      </c>
      <c r="C584" s="23" t="s">
        <v>474</v>
      </c>
      <c r="D584" s="5" t="s">
        <v>475</v>
      </c>
      <c r="E584" s="9" t="s">
        <v>113</v>
      </c>
      <c r="F584" s="9" t="str">
        <f t="array" ref="F584:G584">XLOOKUP($E584,product_epicenter!$A$2:$A$101,product_epicenter!$B$2:$C$101)</f>
        <v>Walnuts 500g </v>
      </c>
      <c r="G584" s="21">
        <v>700.0</v>
      </c>
      <c r="H584" s="9">
        <v>6.0</v>
      </c>
      <c r="I584" s="21">
        <f t="shared" si="2"/>
        <v>4200</v>
      </c>
    </row>
    <row r="585" ht="15.75" customHeight="1">
      <c r="A585" s="18">
        <f t="shared" si="3"/>
        <v>45801</v>
      </c>
      <c r="B585" s="19">
        <f t="shared" si="1"/>
        <v>45798</v>
      </c>
      <c r="C585" s="23" t="s">
        <v>474</v>
      </c>
      <c r="D585" s="5" t="s">
        <v>475</v>
      </c>
      <c r="E585" s="9" t="s">
        <v>115</v>
      </c>
      <c r="F585" s="9" t="str">
        <f t="array" ref="F585:G585">XLOOKUP($E585,product_epicenter!$A$2:$A$101,product_epicenter!$B$2:$C$101)</f>
        <v>Raisins 500g </v>
      </c>
      <c r="G585" s="21">
        <v>400.0</v>
      </c>
      <c r="H585" s="9">
        <v>6.0</v>
      </c>
      <c r="I585" s="21">
        <f t="shared" si="2"/>
        <v>2400</v>
      </c>
    </row>
    <row r="586" ht="15.75" customHeight="1">
      <c r="A586" s="18">
        <f t="shared" si="3"/>
        <v>45801</v>
      </c>
      <c r="B586" s="19">
        <f t="shared" si="1"/>
        <v>45798</v>
      </c>
      <c r="C586" s="23" t="s">
        <v>476</v>
      </c>
      <c r="D586" s="5" t="s">
        <v>477</v>
      </c>
      <c r="E586" s="9" t="s">
        <v>159</v>
      </c>
      <c r="F586" s="9" t="str">
        <f t="array" ref="F586:G586">XLOOKUP($E586,product_epicenter!$A$2:$A$101,product_epicenter!$B$2:$C$101)</f>
        <v>Plastic Wrap 1 roll </v>
      </c>
      <c r="G586" s="21">
        <v>150.0</v>
      </c>
      <c r="H586" s="9">
        <v>5.0</v>
      </c>
      <c r="I586" s="21">
        <f t="shared" si="2"/>
        <v>750</v>
      </c>
    </row>
    <row r="587" ht="15.75" customHeight="1">
      <c r="A587" s="18">
        <f t="shared" si="3"/>
        <v>45801</v>
      </c>
      <c r="B587" s="19">
        <f t="shared" si="1"/>
        <v>45798</v>
      </c>
      <c r="C587" s="23" t="s">
        <v>476</v>
      </c>
      <c r="D587" s="5" t="s">
        <v>477</v>
      </c>
      <c r="E587" s="9" t="s">
        <v>5</v>
      </c>
      <c r="F587" s="9" t="str">
        <f t="array" ref="F587:G587">XLOOKUP($E587,product_epicenter!$A$2:$A$101,product_epicenter!$B$2:$C$101)</f>
        <v>Dal (Lentils) 1kg </v>
      </c>
      <c r="G587" s="21">
        <v>100.0</v>
      </c>
      <c r="H587" s="9">
        <v>1.0</v>
      </c>
      <c r="I587" s="21">
        <f t="shared" si="2"/>
        <v>100</v>
      </c>
    </row>
    <row r="588" ht="15.75" customHeight="1">
      <c r="A588" s="18">
        <f t="shared" si="3"/>
        <v>45801</v>
      </c>
      <c r="B588" s="19">
        <f t="shared" si="1"/>
        <v>45798</v>
      </c>
      <c r="C588" s="23" t="s">
        <v>476</v>
      </c>
      <c r="D588" s="5" t="s">
        <v>477</v>
      </c>
      <c r="E588" s="9" t="s">
        <v>155</v>
      </c>
      <c r="F588" s="9" t="str">
        <f t="array" ref="F588:G588">XLOOKUP($E588,product_epicenter!$A$2:$A$101,product_epicenter!$B$2:$C$101)</f>
        <v>Whipped Cream 500ml </v>
      </c>
      <c r="G588" s="21">
        <v>250.0</v>
      </c>
      <c r="H588" s="9">
        <v>1.0</v>
      </c>
      <c r="I588" s="21">
        <f t="shared" si="2"/>
        <v>250</v>
      </c>
    </row>
    <row r="589" ht="15.75" customHeight="1">
      <c r="A589" s="18">
        <f t="shared" si="3"/>
        <v>45801</v>
      </c>
      <c r="B589" s="19">
        <f t="shared" si="1"/>
        <v>45798</v>
      </c>
      <c r="C589" s="23" t="s">
        <v>478</v>
      </c>
      <c r="D589" s="5" t="s">
        <v>479</v>
      </c>
      <c r="E589" s="9" t="s">
        <v>111</v>
      </c>
      <c r="F589" s="9" t="str">
        <f t="array" ref="F589:G589">XLOOKUP($E589,product_epicenter!$A$2:$A$101,product_epicenter!$B$2:$C$101)</f>
        <v>Almonds 500g </v>
      </c>
      <c r="G589" s="21">
        <v>500.0</v>
      </c>
      <c r="H589" s="9">
        <v>7.0</v>
      </c>
      <c r="I589" s="21">
        <f t="shared" si="2"/>
        <v>3500</v>
      </c>
    </row>
    <row r="590" ht="15.75" customHeight="1">
      <c r="A590" s="18">
        <f t="shared" si="3"/>
        <v>45801</v>
      </c>
      <c r="B590" s="19">
        <f t="shared" si="1"/>
        <v>45798</v>
      </c>
      <c r="C590" s="23" t="s">
        <v>478</v>
      </c>
      <c r="D590" s="5" t="s">
        <v>479</v>
      </c>
      <c r="E590" s="9" t="s">
        <v>39</v>
      </c>
      <c r="F590" s="9" t="str">
        <f t="array" ref="F590:G590">XLOOKUP($E590,product_epicenter!$A$2:$A$101,product_epicenter!$B$2:$C$101)</f>
        <v>Bananas 1 dozen </v>
      </c>
      <c r="G590" s="21">
        <v>60.0</v>
      </c>
      <c r="H590" s="9">
        <v>4.0</v>
      </c>
      <c r="I590" s="21">
        <f t="shared" si="2"/>
        <v>240</v>
      </c>
    </row>
    <row r="591" ht="15.75" customHeight="1">
      <c r="A591" s="18">
        <f t="shared" si="3"/>
        <v>45801</v>
      </c>
      <c r="B591" s="19">
        <f t="shared" si="1"/>
        <v>45798</v>
      </c>
      <c r="C591" s="23" t="s">
        <v>478</v>
      </c>
      <c r="D591" s="5" t="s">
        <v>479</v>
      </c>
      <c r="E591" s="9" t="s">
        <v>65</v>
      </c>
      <c r="F591" s="9" t="str">
        <f t="array" ref="F591:G591">XLOOKUP($E591,product_epicenter!$A$2:$A$101,product_epicenter!$B$2:$C$101)</f>
        <v>Soap 1 bar </v>
      </c>
      <c r="G591" s="21">
        <v>40.0</v>
      </c>
      <c r="H591" s="9">
        <v>9.0</v>
      </c>
      <c r="I591" s="21">
        <f t="shared" si="2"/>
        <v>360</v>
      </c>
    </row>
    <row r="592" ht="15.75" customHeight="1">
      <c r="A592" s="18">
        <f t="shared" si="3"/>
        <v>45801</v>
      </c>
      <c r="B592" s="19">
        <f t="shared" si="1"/>
        <v>45798</v>
      </c>
      <c r="C592" s="23" t="s">
        <v>480</v>
      </c>
      <c r="D592" s="5" t="s">
        <v>481</v>
      </c>
      <c r="E592" s="9" t="s">
        <v>85</v>
      </c>
      <c r="F592" s="9" t="str">
        <f t="array" ref="F592:G592">XLOOKUP($E592,product_epicenter!$A$2:$A$101,product_epicenter!$B$2:$C$101)</f>
        <v>Cumin Seeds 100g </v>
      </c>
      <c r="G592" s="21">
        <v>40.0</v>
      </c>
      <c r="H592" s="9">
        <v>2.0</v>
      </c>
      <c r="I592" s="21">
        <f t="shared" si="2"/>
        <v>80</v>
      </c>
    </row>
    <row r="593" ht="15.75" customHeight="1">
      <c r="A593" s="18">
        <f t="shared" si="3"/>
        <v>45801</v>
      </c>
      <c r="B593" s="19">
        <f t="shared" si="1"/>
        <v>45798</v>
      </c>
      <c r="C593" s="23" t="s">
        <v>480</v>
      </c>
      <c r="D593" s="5" t="s">
        <v>481</v>
      </c>
      <c r="E593" s="9" t="s">
        <v>39</v>
      </c>
      <c r="F593" s="9" t="str">
        <f t="array" ref="F593:G593">XLOOKUP($E593,product_epicenter!$A$2:$A$101,product_epicenter!$B$2:$C$101)</f>
        <v>Bananas 1 dozen </v>
      </c>
      <c r="G593" s="21">
        <v>60.0</v>
      </c>
      <c r="H593" s="9">
        <v>4.0</v>
      </c>
      <c r="I593" s="21">
        <f t="shared" si="2"/>
        <v>240</v>
      </c>
    </row>
    <row r="594" ht="15.75" customHeight="1">
      <c r="A594" s="18">
        <f t="shared" si="3"/>
        <v>45801</v>
      </c>
      <c r="B594" s="19">
        <f t="shared" si="1"/>
        <v>45798</v>
      </c>
      <c r="C594" s="23" t="s">
        <v>480</v>
      </c>
      <c r="D594" s="5" t="s">
        <v>481</v>
      </c>
      <c r="E594" s="9" t="s">
        <v>71</v>
      </c>
      <c r="F594" s="9" t="str">
        <f t="array" ref="F594:G594">XLOOKUP($E594,product_epicenter!$A$2:$A$101,product_epicenter!$B$2:$C$101)</f>
        <v>Dishwashing Liquid 500ml </v>
      </c>
      <c r="G594" s="21">
        <v>100.0</v>
      </c>
      <c r="H594" s="9">
        <v>2.0</v>
      </c>
      <c r="I594" s="21">
        <f t="shared" si="2"/>
        <v>200</v>
      </c>
    </row>
    <row r="595" ht="15.75" customHeight="1">
      <c r="A595" s="18">
        <f t="shared" si="3"/>
        <v>45801</v>
      </c>
      <c r="B595" s="19">
        <f t="shared" si="1"/>
        <v>45798</v>
      </c>
      <c r="C595" s="23" t="s">
        <v>480</v>
      </c>
      <c r="D595" s="5" t="s">
        <v>481</v>
      </c>
      <c r="E595" s="9" t="s">
        <v>45</v>
      </c>
      <c r="F595" s="9" t="str">
        <f t="array" ref="F595:G595">XLOOKUP($E595,product_epicenter!$A$2:$A$101,product_epicenter!$B$2:$C$101)</f>
        <v>Onions 1kg </v>
      </c>
      <c r="G595" s="21">
        <v>40.0</v>
      </c>
      <c r="H595" s="9">
        <v>8.0</v>
      </c>
      <c r="I595" s="21">
        <f t="shared" si="2"/>
        <v>320</v>
      </c>
    </row>
    <row r="596" ht="15.75" customHeight="1">
      <c r="A596" s="18">
        <f t="shared" si="3"/>
        <v>45801</v>
      </c>
      <c r="B596" s="19">
        <f t="shared" si="1"/>
        <v>45798</v>
      </c>
      <c r="C596" s="23" t="s">
        <v>480</v>
      </c>
      <c r="D596" s="5" t="s">
        <v>481</v>
      </c>
      <c r="E596" s="9" t="s">
        <v>131</v>
      </c>
      <c r="F596" s="9" t="str">
        <f t="array" ref="F596:G596">XLOOKUP($E596,product_epicenter!$A$2:$A$101,product_epicenter!$B$2:$C$101)</f>
        <v>Yogurt 500g </v>
      </c>
      <c r="G596" s="21">
        <v>80.0</v>
      </c>
      <c r="H596" s="9">
        <v>9.0</v>
      </c>
      <c r="I596" s="21">
        <f t="shared" si="2"/>
        <v>720</v>
      </c>
    </row>
    <row r="597" ht="15.75" customHeight="1">
      <c r="A597" s="18">
        <f t="shared" si="3"/>
        <v>45801</v>
      </c>
      <c r="B597" s="19">
        <f t="shared" si="1"/>
        <v>45798</v>
      </c>
      <c r="C597" s="23" t="s">
        <v>482</v>
      </c>
      <c r="D597" s="5" t="s">
        <v>483</v>
      </c>
      <c r="E597" s="9" t="s">
        <v>135</v>
      </c>
      <c r="F597" s="9" t="str">
        <f t="array" ref="F597:G597">XLOOKUP($E597,product_epicenter!$A$2:$A$101,product_epicenter!$B$2:$C$101)</f>
        <v>Ice Cubes 1 pack </v>
      </c>
      <c r="G597" s="21">
        <v>50.0</v>
      </c>
      <c r="H597" s="9">
        <v>6.0</v>
      </c>
      <c r="I597" s="21">
        <f t="shared" si="2"/>
        <v>300</v>
      </c>
    </row>
    <row r="598" ht="15.75" customHeight="1">
      <c r="A598" s="18">
        <f t="shared" si="3"/>
        <v>45801</v>
      </c>
      <c r="B598" s="19">
        <f t="shared" si="1"/>
        <v>45798</v>
      </c>
      <c r="C598" s="23" t="s">
        <v>482</v>
      </c>
      <c r="D598" s="5" t="s">
        <v>483</v>
      </c>
      <c r="E598" s="9" t="s">
        <v>123</v>
      </c>
      <c r="F598" s="9" t="str">
        <f t="array" ref="F598:G598">XLOOKUP($E598,product_epicenter!$A$2:$A$101,product_epicenter!$B$2:$C$101)</f>
        <v>Grapes 1kg </v>
      </c>
      <c r="G598" s="21">
        <v>150.0</v>
      </c>
      <c r="H598" s="9">
        <v>6.0</v>
      </c>
      <c r="I598" s="21">
        <f t="shared" si="2"/>
        <v>900</v>
      </c>
    </row>
    <row r="599" ht="15.75" customHeight="1">
      <c r="A599" s="18">
        <f t="shared" si="3"/>
        <v>45801</v>
      </c>
      <c r="B599" s="19">
        <f t="shared" si="1"/>
        <v>45798</v>
      </c>
      <c r="C599" s="23" t="s">
        <v>482</v>
      </c>
      <c r="D599" s="5" t="s">
        <v>483</v>
      </c>
      <c r="E599" s="9" t="s">
        <v>69</v>
      </c>
      <c r="F599" s="9" t="str">
        <f t="array" ref="F599:G599">XLOOKUP($E599,product_epicenter!$A$2:$A$101,product_epicenter!$B$2:$C$101)</f>
        <v>Detergent Powder 1kg </v>
      </c>
      <c r="G599" s="21">
        <v>150.0</v>
      </c>
      <c r="H599" s="9">
        <v>4.0</v>
      </c>
      <c r="I599" s="21">
        <f t="shared" si="2"/>
        <v>600</v>
      </c>
    </row>
    <row r="600" ht="15.75" customHeight="1">
      <c r="A600" s="18">
        <f t="shared" si="3"/>
        <v>45801</v>
      </c>
      <c r="B600" s="19">
        <f t="shared" si="1"/>
        <v>45798</v>
      </c>
      <c r="C600" s="23" t="s">
        <v>482</v>
      </c>
      <c r="D600" s="5" t="s">
        <v>483</v>
      </c>
      <c r="E600" s="9" t="s">
        <v>11</v>
      </c>
      <c r="F600" s="9" t="str">
        <f t="array" ref="F600:G600">XLOOKUP($E600,product_epicenter!$A$2:$A$101,product_epicenter!$B$2:$C$101)</f>
        <v>Turmeric 100g </v>
      </c>
      <c r="G600" s="21">
        <v>200.0</v>
      </c>
      <c r="H600" s="9">
        <v>8.0</v>
      </c>
      <c r="I600" s="21">
        <f t="shared" si="2"/>
        <v>1600</v>
      </c>
    </row>
    <row r="601" ht="15.75" customHeight="1">
      <c r="A601" s="18">
        <f t="shared" si="3"/>
        <v>45801</v>
      </c>
      <c r="B601" s="19">
        <f t="shared" si="1"/>
        <v>45798</v>
      </c>
      <c r="C601" s="23" t="s">
        <v>482</v>
      </c>
      <c r="D601" s="5" t="s">
        <v>483</v>
      </c>
      <c r="E601" s="9" t="s">
        <v>11</v>
      </c>
      <c r="F601" s="9" t="str">
        <f t="array" ref="F601:G601">XLOOKUP($E601,product_epicenter!$A$2:$A$101,product_epicenter!$B$2:$C$101)</f>
        <v>Turmeric 100g </v>
      </c>
      <c r="G601" s="21">
        <v>200.0</v>
      </c>
      <c r="H601" s="9">
        <v>5.0</v>
      </c>
      <c r="I601" s="21">
        <f t="shared" si="2"/>
        <v>1000</v>
      </c>
    </row>
    <row r="602" ht="15.75" customHeight="1">
      <c r="A602" s="18">
        <f t="shared" si="3"/>
        <v>45801</v>
      </c>
      <c r="B602" s="19">
        <f t="shared" si="1"/>
        <v>45799</v>
      </c>
      <c r="C602" s="23" t="s">
        <v>484</v>
      </c>
      <c r="D602" s="5" t="s">
        <v>485</v>
      </c>
      <c r="E602" s="9" t="s">
        <v>119</v>
      </c>
      <c r="F602" s="9" t="str">
        <f t="array" ref="F602:G602">XLOOKUP($E602,product_epicenter!$A$2:$A$101,product_epicenter!$B$2:$C$101)</f>
        <v>Black Tea 250g </v>
      </c>
      <c r="G602" s="21">
        <v>300.0</v>
      </c>
      <c r="H602" s="9">
        <v>5.0</v>
      </c>
      <c r="I602" s="21">
        <f t="shared" si="2"/>
        <v>1500</v>
      </c>
    </row>
    <row r="603" ht="15.75" customHeight="1">
      <c r="A603" s="18">
        <f t="shared" si="3"/>
        <v>45801</v>
      </c>
      <c r="B603" s="19">
        <f t="shared" si="1"/>
        <v>45799</v>
      </c>
      <c r="C603" s="23" t="s">
        <v>484</v>
      </c>
      <c r="D603" s="5" t="s">
        <v>485</v>
      </c>
      <c r="E603" s="9" t="s">
        <v>3</v>
      </c>
      <c r="F603" s="9" t="str">
        <f t="array" ref="F603:G603">XLOOKUP($E603,product_epicenter!$A$2:$A$101,product_epicenter!$B$2:$C$101)</f>
        <v>Rice 1kg </v>
      </c>
      <c r="G603" s="21">
        <v>60.0</v>
      </c>
      <c r="H603" s="9">
        <v>9.0</v>
      </c>
      <c r="I603" s="21">
        <f t="shared" si="2"/>
        <v>540</v>
      </c>
    </row>
    <row r="604" ht="15.75" customHeight="1">
      <c r="A604" s="18">
        <f t="shared" si="3"/>
        <v>45801</v>
      </c>
      <c r="B604" s="19">
        <f t="shared" si="1"/>
        <v>45799</v>
      </c>
      <c r="C604" s="23" t="s">
        <v>484</v>
      </c>
      <c r="D604" s="5" t="s">
        <v>485</v>
      </c>
      <c r="E604" s="9" t="s">
        <v>151</v>
      </c>
      <c r="F604" s="9" t="str">
        <f t="array" ref="F604:G604">XLOOKUP($E604,product_epicenter!$A$2:$A$101,product_epicenter!$B$2:$C$101)</f>
        <v>Cake Mix 1 box </v>
      </c>
      <c r="G604" s="21">
        <v>200.0</v>
      </c>
      <c r="H604" s="9">
        <v>7.0</v>
      </c>
      <c r="I604" s="21">
        <f t="shared" si="2"/>
        <v>1400</v>
      </c>
    </row>
    <row r="605" ht="15.75" customHeight="1">
      <c r="A605" s="18">
        <f t="shared" si="3"/>
        <v>45801</v>
      </c>
      <c r="B605" s="19">
        <f t="shared" si="1"/>
        <v>45799</v>
      </c>
      <c r="C605" s="23" t="s">
        <v>486</v>
      </c>
      <c r="D605" s="5" t="s">
        <v>487</v>
      </c>
      <c r="E605" s="9" t="s">
        <v>45</v>
      </c>
      <c r="F605" s="9" t="str">
        <f t="array" ref="F605:G605">XLOOKUP($E605,product_epicenter!$A$2:$A$101,product_epicenter!$B$2:$C$101)</f>
        <v>Onions 1kg </v>
      </c>
      <c r="G605" s="21">
        <v>40.0</v>
      </c>
      <c r="H605" s="9">
        <v>3.0</v>
      </c>
      <c r="I605" s="21">
        <f t="shared" si="2"/>
        <v>120</v>
      </c>
    </row>
    <row r="606" ht="15.75" customHeight="1">
      <c r="A606" s="18">
        <f t="shared" si="3"/>
        <v>45801</v>
      </c>
      <c r="B606" s="19">
        <f t="shared" si="1"/>
        <v>45799</v>
      </c>
      <c r="C606" s="23" t="s">
        <v>486</v>
      </c>
      <c r="D606" s="5" t="s">
        <v>487</v>
      </c>
      <c r="E606" s="9" t="s">
        <v>103</v>
      </c>
      <c r="F606" s="9" t="str">
        <f t="array" ref="F606:G606">XLOOKUP($E606,product_epicenter!$A$2:$A$101,product_epicenter!$B$2:$C$101)</f>
        <v>Honey 500g </v>
      </c>
      <c r="G606" s="21">
        <v>300.0</v>
      </c>
      <c r="H606" s="9">
        <v>7.0</v>
      </c>
      <c r="I606" s="21">
        <f t="shared" si="2"/>
        <v>2100</v>
      </c>
    </row>
    <row r="607" ht="15.75" customHeight="1">
      <c r="A607" s="18">
        <f t="shared" si="3"/>
        <v>45801</v>
      </c>
      <c r="B607" s="19">
        <f t="shared" si="1"/>
        <v>45799</v>
      </c>
      <c r="C607" s="23" t="s">
        <v>486</v>
      </c>
      <c r="D607" s="5" t="s">
        <v>487</v>
      </c>
      <c r="E607" s="9" t="s">
        <v>141</v>
      </c>
      <c r="F607" s="9" t="str">
        <f t="array" ref="F607:G607">XLOOKUP($E607,product_epicenter!$A$2:$A$101,product_epicenter!$B$2:$C$101)</f>
        <v>Basmati Rice 1kg </v>
      </c>
      <c r="G607" s="21">
        <v>120.0</v>
      </c>
      <c r="H607" s="9">
        <v>9.0</v>
      </c>
      <c r="I607" s="21">
        <f t="shared" si="2"/>
        <v>1080</v>
      </c>
    </row>
    <row r="608" ht="15.75" customHeight="1">
      <c r="A608" s="18">
        <f t="shared" si="3"/>
        <v>45801</v>
      </c>
      <c r="B608" s="19">
        <f t="shared" si="1"/>
        <v>45799</v>
      </c>
      <c r="C608" s="23" t="s">
        <v>486</v>
      </c>
      <c r="D608" s="5" t="s">
        <v>487</v>
      </c>
      <c r="E608" s="9" t="s">
        <v>41</v>
      </c>
      <c r="F608" s="9" t="str">
        <f t="array" ref="F608:G608">XLOOKUP($E608,product_epicenter!$A$2:$A$101,product_epicenter!$B$2:$C$101)</f>
        <v>Oranges 1kg </v>
      </c>
      <c r="G608" s="21">
        <v>100.0</v>
      </c>
      <c r="H608" s="9">
        <v>2.0</v>
      </c>
      <c r="I608" s="21">
        <f t="shared" si="2"/>
        <v>200</v>
      </c>
    </row>
    <row r="609" ht="15.75" customHeight="1">
      <c r="A609" s="18">
        <f t="shared" si="3"/>
        <v>45801</v>
      </c>
      <c r="B609" s="19">
        <f t="shared" si="1"/>
        <v>45799</v>
      </c>
      <c r="C609" s="23" t="s">
        <v>486</v>
      </c>
      <c r="D609" s="5" t="s">
        <v>487</v>
      </c>
      <c r="E609" s="9" t="s">
        <v>195</v>
      </c>
      <c r="F609" s="9" t="str">
        <f t="array" ref="F609:G609">XLOOKUP($E609,product_epicenter!$A$2:$A$101,product_epicenter!$B$2:$C$101)</f>
        <v>Face Wash 250ml </v>
      </c>
      <c r="G609" s="21">
        <v>200.0</v>
      </c>
      <c r="H609" s="9">
        <v>8.0</v>
      </c>
      <c r="I609" s="21">
        <f t="shared" si="2"/>
        <v>1600</v>
      </c>
    </row>
    <row r="610" ht="15.75" customHeight="1">
      <c r="A610" s="18">
        <f t="shared" si="3"/>
        <v>45801</v>
      </c>
      <c r="B610" s="19">
        <f t="shared" si="1"/>
        <v>45799</v>
      </c>
      <c r="C610" s="23" t="s">
        <v>488</v>
      </c>
      <c r="D610" s="5" t="s">
        <v>489</v>
      </c>
      <c r="E610" s="9" t="s">
        <v>103</v>
      </c>
      <c r="F610" s="9" t="str">
        <f t="array" ref="F610:G610">XLOOKUP($E610,product_epicenter!$A$2:$A$101,product_epicenter!$B$2:$C$101)</f>
        <v>Honey 500g </v>
      </c>
      <c r="G610" s="21">
        <v>300.0</v>
      </c>
      <c r="H610" s="9">
        <v>5.0</v>
      </c>
      <c r="I610" s="21">
        <f t="shared" si="2"/>
        <v>1500</v>
      </c>
    </row>
    <row r="611" ht="15.75" customHeight="1">
      <c r="A611" s="18">
        <f t="shared" si="3"/>
        <v>45801</v>
      </c>
      <c r="B611" s="19">
        <f t="shared" si="1"/>
        <v>45799</v>
      </c>
      <c r="C611" s="23" t="s">
        <v>488</v>
      </c>
      <c r="D611" s="5" t="s">
        <v>489</v>
      </c>
      <c r="E611" s="9" t="s">
        <v>157</v>
      </c>
      <c r="F611" s="9" t="str">
        <f t="array" ref="F611:G611">XLOOKUP($E611,product_epicenter!$A$2:$A$101,product_epicenter!$B$2:$C$101)</f>
        <v>Butter Paper 1 roll </v>
      </c>
      <c r="G611" s="21">
        <v>100.0</v>
      </c>
      <c r="H611" s="9">
        <v>9.0</v>
      </c>
      <c r="I611" s="21">
        <f t="shared" si="2"/>
        <v>900</v>
      </c>
    </row>
    <row r="612" ht="15.75" customHeight="1">
      <c r="A612" s="18">
        <f t="shared" si="3"/>
        <v>45801</v>
      </c>
      <c r="B612" s="19">
        <f t="shared" si="1"/>
        <v>45799</v>
      </c>
      <c r="C612" s="23" t="s">
        <v>490</v>
      </c>
      <c r="D612" s="5" t="s">
        <v>491</v>
      </c>
      <c r="E612" s="9" t="s">
        <v>175</v>
      </c>
      <c r="F612" s="9" t="str">
        <f t="array" ref="F612:G612">XLOOKUP($E612,product_epicenter!$A$2:$A$101,product_epicenter!$B$2:$C$101)</f>
        <v>Ice Tea 1 litre </v>
      </c>
      <c r="G612" s="21">
        <v>120.0</v>
      </c>
      <c r="H612" s="9">
        <v>3.0</v>
      </c>
      <c r="I612" s="21">
        <f t="shared" si="2"/>
        <v>360</v>
      </c>
    </row>
    <row r="613" ht="15.75" customHeight="1">
      <c r="A613" s="18">
        <f t="shared" si="3"/>
        <v>45801</v>
      </c>
      <c r="B613" s="19">
        <f t="shared" si="1"/>
        <v>45799</v>
      </c>
      <c r="C613" s="23" t="s">
        <v>490</v>
      </c>
      <c r="D613" s="5" t="s">
        <v>491</v>
      </c>
      <c r="E613" s="9" t="s">
        <v>129</v>
      </c>
      <c r="F613" s="9" t="str">
        <f t="array" ref="F613:G613">XLOOKUP($E613,product_epicenter!$A$2:$A$101,product_epicenter!$B$2:$C$101)</f>
        <v>Coconut 1 piece </v>
      </c>
      <c r="G613" s="21">
        <v>40.0</v>
      </c>
      <c r="H613" s="9">
        <v>2.0</v>
      </c>
      <c r="I613" s="21">
        <f t="shared" si="2"/>
        <v>80</v>
      </c>
    </row>
    <row r="614" ht="15.75" customHeight="1">
      <c r="A614" s="18">
        <f t="shared" si="3"/>
        <v>45801</v>
      </c>
      <c r="B614" s="19">
        <f t="shared" si="1"/>
        <v>45799</v>
      </c>
      <c r="C614" s="23" t="s">
        <v>490</v>
      </c>
      <c r="D614" s="5" t="s">
        <v>491</v>
      </c>
      <c r="E614" s="9" t="s">
        <v>81</v>
      </c>
      <c r="F614" s="9" t="str">
        <f t="array" ref="F614:G614">XLOOKUP($E614,product_epicenter!$A$2:$A$101,product_epicenter!$B$2:$C$101)</f>
        <v>Cooking Oil 1 litre </v>
      </c>
      <c r="G614" s="21">
        <v>120.0</v>
      </c>
      <c r="H614" s="9">
        <v>3.0</v>
      </c>
      <c r="I614" s="21">
        <f t="shared" si="2"/>
        <v>360</v>
      </c>
    </row>
    <row r="615" ht="15.75" customHeight="1">
      <c r="A615" s="18">
        <f t="shared" si="3"/>
        <v>45801</v>
      </c>
      <c r="B615" s="19">
        <f t="shared" si="1"/>
        <v>45799</v>
      </c>
      <c r="C615" s="23" t="s">
        <v>490</v>
      </c>
      <c r="D615" s="5" t="s">
        <v>491</v>
      </c>
      <c r="E615" s="9" t="s">
        <v>163</v>
      </c>
      <c r="F615" s="9" t="str">
        <f t="array" ref="F615:G615">XLOOKUP($E615,product_epicenter!$A$2:$A$101,product_epicenter!$B$2:$C$101)</f>
        <v>Matchsticks 1 pack </v>
      </c>
      <c r="G615" s="21">
        <v>20.0</v>
      </c>
      <c r="H615" s="9">
        <v>6.0</v>
      </c>
      <c r="I615" s="21">
        <f t="shared" si="2"/>
        <v>120</v>
      </c>
    </row>
    <row r="616" ht="15.75" customHeight="1">
      <c r="A616" s="18">
        <f t="shared" si="3"/>
        <v>45801</v>
      </c>
      <c r="B616" s="19">
        <f t="shared" si="1"/>
        <v>45799</v>
      </c>
      <c r="C616" s="23" t="s">
        <v>490</v>
      </c>
      <c r="D616" s="5" t="s">
        <v>491</v>
      </c>
      <c r="E616" s="9" t="s">
        <v>21</v>
      </c>
      <c r="F616" s="9" t="str">
        <f t="array" ref="F616:G616">XLOOKUP($E616,product_epicenter!$A$2:$A$101,product_epicenter!$B$2:$C$101)</f>
        <v>Salt 1kg </v>
      </c>
      <c r="G616" s="21">
        <v>20.0</v>
      </c>
      <c r="H616" s="9">
        <v>3.0</v>
      </c>
      <c r="I616" s="21">
        <f t="shared" si="2"/>
        <v>60</v>
      </c>
    </row>
    <row r="617" ht="15.75" customHeight="1">
      <c r="A617" s="18">
        <f t="shared" si="3"/>
        <v>45801</v>
      </c>
      <c r="B617" s="19">
        <f t="shared" si="1"/>
        <v>45799</v>
      </c>
      <c r="C617" s="23" t="s">
        <v>492</v>
      </c>
      <c r="D617" s="5" t="s">
        <v>493</v>
      </c>
      <c r="E617" s="9" t="s">
        <v>7</v>
      </c>
      <c r="F617" s="9" t="str">
        <f t="array" ref="F617:G617">XLOOKUP($E617,product_epicenter!$A$2:$A$101,product_epicenter!$B$2:$C$101)</f>
        <v>Sugar 1kg </v>
      </c>
      <c r="G617" s="21">
        <v>45.0</v>
      </c>
      <c r="H617" s="9">
        <v>5.0</v>
      </c>
      <c r="I617" s="21">
        <f t="shared" si="2"/>
        <v>225</v>
      </c>
    </row>
    <row r="618" ht="15.75" customHeight="1">
      <c r="A618" s="18">
        <f t="shared" si="3"/>
        <v>45801</v>
      </c>
      <c r="B618" s="19">
        <f t="shared" si="1"/>
        <v>45799</v>
      </c>
      <c r="C618" s="23" t="s">
        <v>492</v>
      </c>
      <c r="D618" s="5" t="s">
        <v>493</v>
      </c>
      <c r="E618" s="9" t="s">
        <v>183</v>
      </c>
      <c r="F618" s="9" t="str">
        <f t="array" ref="F618:G618">XLOOKUP($E618,product_epicenter!$A$2:$A$101,product_epicenter!$B$2:$C$101)</f>
        <v>Body Lotion 500ml </v>
      </c>
      <c r="G618" s="21">
        <v>250.0</v>
      </c>
      <c r="H618" s="9">
        <v>6.0</v>
      </c>
      <c r="I618" s="21">
        <f t="shared" si="2"/>
        <v>1500</v>
      </c>
    </row>
    <row r="619" ht="15.75" customHeight="1">
      <c r="A619" s="18">
        <f t="shared" si="3"/>
        <v>45801</v>
      </c>
      <c r="B619" s="19">
        <f t="shared" si="1"/>
        <v>45799</v>
      </c>
      <c r="C619" s="23" t="s">
        <v>492</v>
      </c>
      <c r="D619" s="5" t="s">
        <v>493</v>
      </c>
      <c r="E619" s="9" t="s">
        <v>81</v>
      </c>
      <c r="F619" s="9" t="str">
        <f t="array" ref="F619:G619">XLOOKUP($E619,product_epicenter!$A$2:$A$101,product_epicenter!$B$2:$C$101)</f>
        <v>Cooking Oil 1 litre </v>
      </c>
      <c r="G619" s="21">
        <v>120.0</v>
      </c>
      <c r="H619" s="9">
        <v>5.0</v>
      </c>
      <c r="I619" s="21">
        <f t="shared" si="2"/>
        <v>600</v>
      </c>
    </row>
    <row r="620" ht="15.75" customHeight="1">
      <c r="A620" s="18">
        <f t="shared" si="3"/>
        <v>45801</v>
      </c>
      <c r="B620" s="19">
        <f t="shared" si="1"/>
        <v>45799</v>
      </c>
      <c r="C620" s="23" t="s">
        <v>492</v>
      </c>
      <c r="D620" s="5" t="s">
        <v>493</v>
      </c>
      <c r="E620" s="9" t="s">
        <v>145</v>
      </c>
      <c r="F620" s="9" t="str">
        <f t="array" ref="F620:G620">XLOOKUP($E620,product_epicenter!$A$2:$A$101,product_epicenter!$B$2:$C$101)</f>
        <v>Quinoa 500g </v>
      </c>
      <c r="G620" s="21">
        <v>350.0</v>
      </c>
      <c r="H620" s="9">
        <v>7.0</v>
      </c>
      <c r="I620" s="21">
        <f t="shared" si="2"/>
        <v>2450</v>
      </c>
    </row>
    <row r="621" ht="15.75" customHeight="1">
      <c r="A621" s="18">
        <f t="shared" si="3"/>
        <v>45801</v>
      </c>
      <c r="B621" s="19">
        <f t="shared" si="1"/>
        <v>45799</v>
      </c>
      <c r="C621" s="23" t="s">
        <v>492</v>
      </c>
      <c r="D621" s="5" t="s">
        <v>493</v>
      </c>
      <c r="E621" s="9" t="s">
        <v>115</v>
      </c>
      <c r="F621" s="9" t="str">
        <f t="array" ref="F621:G621">XLOOKUP($E621,product_epicenter!$A$2:$A$101,product_epicenter!$B$2:$C$101)</f>
        <v>Raisins 500g </v>
      </c>
      <c r="G621" s="21">
        <v>400.0</v>
      </c>
      <c r="H621" s="9">
        <v>4.0</v>
      </c>
      <c r="I621" s="21">
        <f t="shared" si="2"/>
        <v>1600</v>
      </c>
    </row>
    <row r="622" ht="15.75" customHeight="1">
      <c r="A622" s="18">
        <f t="shared" si="3"/>
        <v>45801</v>
      </c>
      <c r="B622" s="19">
        <f t="shared" si="1"/>
        <v>45799</v>
      </c>
      <c r="C622" s="23" t="s">
        <v>492</v>
      </c>
      <c r="D622" s="5" t="s">
        <v>493</v>
      </c>
      <c r="E622" s="9" t="s">
        <v>111</v>
      </c>
      <c r="F622" s="9" t="str">
        <f t="array" ref="F622:G622">XLOOKUP($E622,product_epicenter!$A$2:$A$101,product_epicenter!$B$2:$C$101)</f>
        <v>Almonds 500g </v>
      </c>
      <c r="G622" s="21">
        <v>500.0</v>
      </c>
      <c r="H622" s="9">
        <v>4.0</v>
      </c>
      <c r="I622" s="21">
        <f t="shared" si="2"/>
        <v>2000</v>
      </c>
    </row>
    <row r="623" ht="15.75" customHeight="1">
      <c r="A623" s="18">
        <f t="shared" si="3"/>
        <v>45801</v>
      </c>
      <c r="B623" s="19">
        <f t="shared" si="1"/>
        <v>45799</v>
      </c>
      <c r="C623" s="23" t="s">
        <v>494</v>
      </c>
      <c r="D623" s="5" t="s">
        <v>495</v>
      </c>
      <c r="E623" s="9" t="s">
        <v>107</v>
      </c>
      <c r="F623" s="9" t="str">
        <f t="array" ref="F623:G623">XLOOKUP($E623,product_epicenter!$A$2:$A$101,product_epicenter!$B$2:$C$101)</f>
        <v>Peanut Butter 500g </v>
      </c>
      <c r="G623" s="21">
        <v>250.0</v>
      </c>
      <c r="H623" s="9">
        <v>7.0</v>
      </c>
      <c r="I623" s="21">
        <f t="shared" si="2"/>
        <v>1750</v>
      </c>
    </row>
    <row r="624" ht="15.75" customHeight="1">
      <c r="A624" s="18">
        <f t="shared" si="3"/>
        <v>45801</v>
      </c>
      <c r="B624" s="19">
        <f t="shared" si="1"/>
        <v>45799</v>
      </c>
      <c r="C624" s="23" t="s">
        <v>494</v>
      </c>
      <c r="D624" s="5" t="s">
        <v>495</v>
      </c>
      <c r="E624" s="9" t="s">
        <v>161</v>
      </c>
      <c r="F624" s="9" t="str">
        <f t="array" ref="F624:G624">XLOOKUP($E624,product_epicenter!$A$2:$A$101,product_epicenter!$B$2:$C$101)</f>
        <v>Aluminium Foil 1 roll </v>
      </c>
      <c r="G624" s="21">
        <v>120.0</v>
      </c>
      <c r="H624" s="9">
        <v>6.0</v>
      </c>
      <c r="I624" s="21">
        <f t="shared" si="2"/>
        <v>720</v>
      </c>
    </row>
    <row r="625" ht="15.75" customHeight="1">
      <c r="A625" s="18">
        <f t="shared" si="3"/>
        <v>45801</v>
      </c>
      <c r="B625" s="19">
        <f t="shared" si="1"/>
        <v>45799</v>
      </c>
      <c r="C625" s="23" t="s">
        <v>494</v>
      </c>
      <c r="D625" s="5" t="s">
        <v>495</v>
      </c>
      <c r="E625" s="9" t="s">
        <v>181</v>
      </c>
      <c r="F625" s="9" t="str">
        <f t="array" ref="F625:G625">XLOOKUP($E625,product_epicenter!$A$2:$A$101,product_epicenter!$B$2:$C$101)</f>
        <v>Hand Wash 500ml </v>
      </c>
      <c r="G625" s="21">
        <v>150.0</v>
      </c>
      <c r="H625" s="9">
        <v>1.0</v>
      </c>
      <c r="I625" s="21">
        <f t="shared" si="2"/>
        <v>150</v>
      </c>
    </row>
    <row r="626" ht="15.75" customHeight="1">
      <c r="A626" s="18">
        <f t="shared" si="3"/>
        <v>45801</v>
      </c>
      <c r="B626" s="19">
        <f t="shared" si="1"/>
        <v>45799</v>
      </c>
      <c r="C626" s="23" t="s">
        <v>494</v>
      </c>
      <c r="D626" s="5" t="s">
        <v>495</v>
      </c>
      <c r="E626" s="9" t="s">
        <v>133</v>
      </c>
      <c r="F626" s="9" t="str">
        <f t="array" ref="F626:G626">XLOOKUP($E626,product_epicenter!$A$2:$A$101,product_epicenter!$B$2:$C$101)</f>
        <v>Paneer 1kg </v>
      </c>
      <c r="G626" s="21">
        <v>400.0</v>
      </c>
      <c r="H626" s="9">
        <v>7.0</v>
      </c>
      <c r="I626" s="21">
        <f t="shared" si="2"/>
        <v>2800</v>
      </c>
    </row>
    <row r="627" ht="15.75" customHeight="1">
      <c r="A627" s="18">
        <f t="shared" si="3"/>
        <v>45801</v>
      </c>
      <c r="B627" s="19">
        <f t="shared" si="1"/>
        <v>45799</v>
      </c>
      <c r="C627" s="23" t="s">
        <v>496</v>
      </c>
      <c r="D627" s="5" t="s">
        <v>497</v>
      </c>
      <c r="E627" s="9" t="s">
        <v>197</v>
      </c>
      <c r="F627" s="9" t="str">
        <f t="array" ref="F627:G627">XLOOKUP($E627,product_epicenter!$A$2:$A$101,product_epicenter!$B$2:$C$101)</f>
        <v>Hand Sanitizer 500ml </v>
      </c>
      <c r="G627" s="21">
        <v>200.0</v>
      </c>
      <c r="H627" s="9">
        <v>9.0</v>
      </c>
      <c r="I627" s="21">
        <f t="shared" si="2"/>
        <v>1800</v>
      </c>
    </row>
    <row r="628" ht="15.75" customHeight="1">
      <c r="A628" s="18">
        <f t="shared" si="3"/>
        <v>45801</v>
      </c>
      <c r="B628" s="19">
        <f t="shared" si="1"/>
        <v>45799</v>
      </c>
      <c r="C628" s="23" t="s">
        <v>496</v>
      </c>
      <c r="D628" s="5" t="s">
        <v>497</v>
      </c>
      <c r="E628" s="9" t="s">
        <v>113</v>
      </c>
      <c r="F628" s="9" t="str">
        <f t="array" ref="F628:G628">XLOOKUP($E628,product_epicenter!$A$2:$A$101,product_epicenter!$B$2:$C$101)</f>
        <v>Walnuts 500g </v>
      </c>
      <c r="G628" s="21">
        <v>700.0</v>
      </c>
      <c r="H628" s="9">
        <v>7.0</v>
      </c>
      <c r="I628" s="21">
        <f t="shared" si="2"/>
        <v>4900</v>
      </c>
    </row>
    <row r="629" ht="15.75" customHeight="1">
      <c r="A629" s="18">
        <f t="shared" si="3"/>
        <v>45801</v>
      </c>
      <c r="B629" s="19">
        <f t="shared" si="1"/>
        <v>45799</v>
      </c>
      <c r="C629" s="23" t="s">
        <v>496</v>
      </c>
      <c r="D629" s="5" t="s">
        <v>497</v>
      </c>
      <c r="E629" s="9" t="s">
        <v>25</v>
      </c>
      <c r="F629" s="9" t="str">
        <f t="array" ref="F629:G629">XLOOKUP($E629,product_epicenter!$A$2:$A$101,product_epicenter!$B$2:$C$101)</f>
        <v>Bread 500g </v>
      </c>
      <c r="G629" s="21">
        <v>40.0</v>
      </c>
      <c r="H629" s="9">
        <v>8.0</v>
      </c>
      <c r="I629" s="21">
        <f t="shared" si="2"/>
        <v>320</v>
      </c>
    </row>
    <row r="630" ht="15.75" customHeight="1">
      <c r="A630" s="18">
        <f t="shared" si="3"/>
        <v>45801</v>
      </c>
      <c r="B630" s="19">
        <f t="shared" si="1"/>
        <v>45799</v>
      </c>
      <c r="C630" s="23" t="s">
        <v>498</v>
      </c>
      <c r="D630" s="5" t="s">
        <v>499</v>
      </c>
      <c r="E630" s="9" t="s">
        <v>31</v>
      </c>
      <c r="F630" s="9" t="str">
        <f t="array" ref="F630:G630">XLOOKUP($E630,product_epicenter!$A$2:$A$101,product_epicenter!$B$2:$C$101)</f>
        <v>Eggs 12 pcs </v>
      </c>
      <c r="G630" s="21">
        <v>80.0</v>
      </c>
      <c r="H630" s="9">
        <v>2.0</v>
      </c>
      <c r="I630" s="21">
        <f t="shared" si="2"/>
        <v>160</v>
      </c>
    </row>
    <row r="631" ht="15.75" customHeight="1">
      <c r="A631" s="18">
        <f t="shared" si="3"/>
        <v>45801</v>
      </c>
      <c r="B631" s="19">
        <f t="shared" si="1"/>
        <v>45799</v>
      </c>
      <c r="C631" s="23" t="s">
        <v>498</v>
      </c>
      <c r="D631" s="5" t="s">
        <v>499</v>
      </c>
      <c r="E631" s="9" t="s">
        <v>43</v>
      </c>
      <c r="F631" s="9" t="str">
        <f t="array" ref="F631:G631">XLOOKUP($E631,product_epicenter!$A$2:$A$101,product_epicenter!$B$2:$C$101)</f>
        <v>Potatoes 1kg </v>
      </c>
      <c r="G631" s="21">
        <v>30.0</v>
      </c>
      <c r="H631" s="9">
        <v>2.0</v>
      </c>
      <c r="I631" s="21">
        <f t="shared" si="2"/>
        <v>60</v>
      </c>
    </row>
    <row r="632" ht="15.75" customHeight="1">
      <c r="A632" s="18">
        <f t="shared" si="3"/>
        <v>45801</v>
      </c>
      <c r="B632" s="19">
        <f t="shared" si="1"/>
        <v>45799</v>
      </c>
      <c r="C632" s="23" t="s">
        <v>498</v>
      </c>
      <c r="D632" s="5" t="s">
        <v>499</v>
      </c>
      <c r="E632" s="9" t="s">
        <v>195</v>
      </c>
      <c r="F632" s="9" t="str">
        <f t="array" ref="F632:G632">XLOOKUP($E632,product_epicenter!$A$2:$A$101,product_epicenter!$B$2:$C$101)</f>
        <v>Face Wash 250ml </v>
      </c>
      <c r="G632" s="21">
        <v>200.0</v>
      </c>
      <c r="H632" s="9">
        <v>2.0</v>
      </c>
      <c r="I632" s="21">
        <f t="shared" si="2"/>
        <v>400</v>
      </c>
    </row>
    <row r="633" ht="15.75" customHeight="1">
      <c r="A633" s="18">
        <f t="shared" si="3"/>
        <v>45801</v>
      </c>
      <c r="B633" s="19">
        <f t="shared" si="1"/>
        <v>45799</v>
      </c>
      <c r="C633" s="23" t="s">
        <v>498</v>
      </c>
      <c r="D633" s="5" t="s">
        <v>499</v>
      </c>
      <c r="E633" s="9" t="s">
        <v>105</v>
      </c>
      <c r="F633" s="9" t="str">
        <f t="array" ref="F633:G633">XLOOKUP($E633,product_epicenter!$A$2:$A$101,product_epicenter!$B$2:$C$101)</f>
        <v>Jam 500g </v>
      </c>
      <c r="G633" s="21">
        <v>150.0</v>
      </c>
      <c r="H633" s="9">
        <v>8.0</v>
      </c>
      <c r="I633" s="21">
        <f t="shared" si="2"/>
        <v>1200</v>
      </c>
    </row>
    <row r="634" ht="15.75" customHeight="1">
      <c r="A634" s="18">
        <f t="shared" si="3"/>
        <v>45801</v>
      </c>
      <c r="B634" s="19">
        <f t="shared" si="1"/>
        <v>45799</v>
      </c>
      <c r="C634" s="23" t="s">
        <v>498</v>
      </c>
      <c r="D634" s="5" t="s">
        <v>499</v>
      </c>
      <c r="E634" s="9" t="s">
        <v>75</v>
      </c>
      <c r="F634" s="9" t="str">
        <f t="array" ref="F634:G634">XLOOKUP($E634,product_epicenter!$A$2:$A$101,product_epicenter!$B$2:$C$101)</f>
        <v>Toilet Cleaner 1 litre </v>
      </c>
      <c r="G634" s="21">
        <v>120.0</v>
      </c>
      <c r="H634" s="9">
        <v>3.0</v>
      </c>
      <c r="I634" s="21">
        <f t="shared" si="2"/>
        <v>360</v>
      </c>
    </row>
    <row r="635" ht="15.75" customHeight="1">
      <c r="A635" s="18">
        <f t="shared" si="3"/>
        <v>45801</v>
      </c>
      <c r="B635" s="19">
        <f t="shared" si="1"/>
        <v>45799</v>
      </c>
      <c r="C635" s="23" t="s">
        <v>500</v>
      </c>
      <c r="D635" s="5" t="s">
        <v>501</v>
      </c>
      <c r="E635" s="9" t="s">
        <v>71</v>
      </c>
      <c r="F635" s="9" t="str">
        <f t="array" ref="F635:G635">XLOOKUP($E635,product_epicenter!$A$2:$A$101,product_epicenter!$B$2:$C$101)</f>
        <v>Dishwashing Liquid 500ml </v>
      </c>
      <c r="G635" s="21">
        <v>100.0</v>
      </c>
      <c r="H635" s="9">
        <v>4.0</v>
      </c>
      <c r="I635" s="21">
        <f t="shared" si="2"/>
        <v>400</v>
      </c>
    </row>
    <row r="636" ht="15.75" customHeight="1">
      <c r="A636" s="18">
        <f t="shared" si="3"/>
        <v>45801</v>
      </c>
      <c r="B636" s="19">
        <f t="shared" si="1"/>
        <v>45799</v>
      </c>
      <c r="C636" s="23" t="s">
        <v>500</v>
      </c>
      <c r="D636" s="5" t="s">
        <v>501</v>
      </c>
      <c r="E636" s="9" t="s">
        <v>71</v>
      </c>
      <c r="F636" s="9" t="str">
        <f t="array" ref="F636:G636">XLOOKUP($E636,product_epicenter!$A$2:$A$101,product_epicenter!$B$2:$C$101)</f>
        <v>Dishwashing Liquid 500ml </v>
      </c>
      <c r="G636" s="21">
        <v>100.0</v>
      </c>
      <c r="H636" s="9">
        <v>5.0</v>
      </c>
      <c r="I636" s="21">
        <f t="shared" si="2"/>
        <v>500</v>
      </c>
    </row>
    <row r="637" ht="15.75" customHeight="1">
      <c r="A637" s="18">
        <f t="shared" si="3"/>
        <v>45801</v>
      </c>
      <c r="B637" s="19">
        <f t="shared" si="1"/>
        <v>45799</v>
      </c>
      <c r="C637" s="23" t="s">
        <v>500</v>
      </c>
      <c r="D637" s="5" t="s">
        <v>501</v>
      </c>
      <c r="E637" s="9" t="s">
        <v>45</v>
      </c>
      <c r="F637" s="9" t="str">
        <f t="array" ref="F637:G637">XLOOKUP($E637,product_epicenter!$A$2:$A$101,product_epicenter!$B$2:$C$101)</f>
        <v>Onions 1kg </v>
      </c>
      <c r="G637" s="21">
        <v>40.0</v>
      </c>
      <c r="H637" s="9">
        <v>4.0</v>
      </c>
      <c r="I637" s="21">
        <f t="shared" si="2"/>
        <v>160</v>
      </c>
    </row>
    <row r="638" ht="15.75" customHeight="1">
      <c r="A638" s="18">
        <f t="shared" si="3"/>
        <v>45801</v>
      </c>
      <c r="B638" s="19">
        <f t="shared" si="1"/>
        <v>45799</v>
      </c>
      <c r="C638" s="23" t="s">
        <v>500</v>
      </c>
      <c r="D638" s="5" t="s">
        <v>501</v>
      </c>
      <c r="E638" s="9" t="s">
        <v>141</v>
      </c>
      <c r="F638" s="9" t="str">
        <f t="array" ref="F638:G638">XLOOKUP($E638,product_epicenter!$A$2:$A$101,product_epicenter!$B$2:$C$101)</f>
        <v>Basmati Rice 1kg </v>
      </c>
      <c r="G638" s="21">
        <v>120.0</v>
      </c>
      <c r="H638" s="9">
        <v>4.0</v>
      </c>
      <c r="I638" s="21">
        <f t="shared" si="2"/>
        <v>480</v>
      </c>
    </row>
    <row r="639" ht="15.75" customHeight="1">
      <c r="A639" s="18">
        <f t="shared" si="3"/>
        <v>45801</v>
      </c>
      <c r="B639" s="19">
        <f t="shared" si="1"/>
        <v>45799</v>
      </c>
      <c r="C639" s="23" t="s">
        <v>500</v>
      </c>
      <c r="D639" s="5" t="s">
        <v>501</v>
      </c>
      <c r="E639" s="9" t="s">
        <v>111</v>
      </c>
      <c r="F639" s="9" t="str">
        <f t="array" ref="F639:G639">XLOOKUP($E639,product_epicenter!$A$2:$A$101,product_epicenter!$B$2:$C$101)</f>
        <v>Almonds 500g </v>
      </c>
      <c r="G639" s="21">
        <v>500.0</v>
      </c>
      <c r="H639" s="9">
        <v>3.0</v>
      </c>
      <c r="I639" s="21">
        <f t="shared" si="2"/>
        <v>1500</v>
      </c>
    </row>
    <row r="640" ht="15.75" customHeight="1">
      <c r="A640" s="18">
        <f t="shared" si="3"/>
        <v>45801</v>
      </c>
      <c r="B640" s="19">
        <f t="shared" si="1"/>
        <v>45799</v>
      </c>
      <c r="C640" s="23" t="s">
        <v>502</v>
      </c>
      <c r="D640" s="5" t="s">
        <v>503</v>
      </c>
      <c r="E640" s="9" t="s">
        <v>157</v>
      </c>
      <c r="F640" s="9" t="str">
        <f t="array" ref="F640:G640">XLOOKUP($E640,product_epicenter!$A$2:$A$101,product_epicenter!$B$2:$C$101)</f>
        <v>Butter Paper 1 roll </v>
      </c>
      <c r="G640" s="21">
        <v>100.0</v>
      </c>
      <c r="H640" s="9">
        <v>7.0</v>
      </c>
      <c r="I640" s="21">
        <f t="shared" si="2"/>
        <v>700</v>
      </c>
    </row>
    <row r="641" ht="15.75" customHeight="1">
      <c r="A641" s="18">
        <f t="shared" si="3"/>
        <v>45801</v>
      </c>
      <c r="B641" s="19">
        <f t="shared" si="1"/>
        <v>45799</v>
      </c>
      <c r="C641" s="23" t="s">
        <v>502</v>
      </c>
      <c r="D641" s="5" t="s">
        <v>503</v>
      </c>
      <c r="E641" s="9" t="s">
        <v>129</v>
      </c>
      <c r="F641" s="9" t="str">
        <f t="array" ref="F641:G641">XLOOKUP($E641,product_epicenter!$A$2:$A$101,product_epicenter!$B$2:$C$101)</f>
        <v>Coconut 1 piece </v>
      </c>
      <c r="G641" s="21">
        <v>40.0</v>
      </c>
      <c r="H641" s="9">
        <v>6.0</v>
      </c>
      <c r="I641" s="21">
        <f t="shared" si="2"/>
        <v>240</v>
      </c>
    </row>
    <row r="642" ht="15.75" customHeight="1">
      <c r="A642" s="18">
        <f t="shared" si="3"/>
        <v>45801</v>
      </c>
      <c r="B642" s="19">
        <f t="shared" si="1"/>
        <v>45799</v>
      </c>
      <c r="C642" s="23" t="s">
        <v>502</v>
      </c>
      <c r="D642" s="5" t="s">
        <v>503</v>
      </c>
      <c r="E642" s="9" t="s">
        <v>93</v>
      </c>
      <c r="F642" s="9" t="str">
        <f t="array" ref="F642:G642">XLOOKUP($E642,product_epicenter!$A$2:$A$101,product_epicenter!$B$2:$C$101)</f>
        <v>Soy Sauce 500ml </v>
      </c>
      <c r="G642" s="21">
        <v>120.0</v>
      </c>
      <c r="H642" s="9">
        <v>6.0</v>
      </c>
      <c r="I642" s="21">
        <f t="shared" si="2"/>
        <v>720</v>
      </c>
    </row>
    <row r="643" ht="15.75" customHeight="1">
      <c r="A643" s="18">
        <f t="shared" si="3"/>
        <v>45801</v>
      </c>
      <c r="B643" s="19">
        <f t="shared" si="1"/>
        <v>45799</v>
      </c>
      <c r="C643" s="23" t="s">
        <v>504</v>
      </c>
      <c r="D643" s="5" t="s">
        <v>505</v>
      </c>
      <c r="E643" s="9" t="s">
        <v>191</v>
      </c>
      <c r="F643" s="9" t="str">
        <f t="array" ref="F643:G643">XLOOKUP($E643,product_epicenter!$A$2:$A$101,product_epicenter!$B$2:$C$101)</f>
        <v>Nail Polish 1 bottle </v>
      </c>
      <c r="G643" s="21">
        <v>120.0</v>
      </c>
      <c r="H643" s="9">
        <v>6.0</v>
      </c>
      <c r="I643" s="21">
        <f t="shared" si="2"/>
        <v>720</v>
      </c>
    </row>
    <row r="644" ht="15.75" customHeight="1">
      <c r="A644" s="18">
        <f t="shared" si="3"/>
        <v>45801</v>
      </c>
      <c r="B644" s="19">
        <f t="shared" si="1"/>
        <v>45799</v>
      </c>
      <c r="C644" s="23" t="s">
        <v>504</v>
      </c>
      <c r="D644" s="5" t="s">
        <v>505</v>
      </c>
      <c r="E644" s="9" t="s">
        <v>3</v>
      </c>
      <c r="F644" s="9" t="str">
        <f t="array" ref="F644:G644">XLOOKUP($E644,product_epicenter!$A$2:$A$101,product_epicenter!$B$2:$C$101)</f>
        <v>Rice 1kg </v>
      </c>
      <c r="G644" s="21">
        <v>60.0</v>
      </c>
      <c r="H644" s="9">
        <v>9.0</v>
      </c>
      <c r="I644" s="21">
        <f t="shared" si="2"/>
        <v>540</v>
      </c>
    </row>
    <row r="645" ht="15.75" customHeight="1">
      <c r="A645" s="18">
        <f t="shared" si="3"/>
        <v>45801</v>
      </c>
      <c r="B645" s="19">
        <f t="shared" si="1"/>
        <v>45799</v>
      </c>
      <c r="C645" s="23" t="s">
        <v>504</v>
      </c>
      <c r="D645" s="5" t="s">
        <v>505</v>
      </c>
      <c r="E645" s="9" t="s">
        <v>155</v>
      </c>
      <c r="F645" s="9" t="str">
        <f t="array" ref="F645:G645">XLOOKUP($E645,product_epicenter!$A$2:$A$101,product_epicenter!$B$2:$C$101)</f>
        <v>Whipped Cream 500ml </v>
      </c>
      <c r="G645" s="21">
        <v>250.0</v>
      </c>
      <c r="H645" s="9">
        <v>3.0</v>
      </c>
      <c r="I645" s="21">
        <f t="shared" si="2"/>
        <v>750</v>
      </c>
    </row>
    <row r="646" ht="15.75" customHeight="1">
      <c r="A646" s="18">
        <f t="shared" si="3"/>
        <v>45801</v>
      </c>
      <c r="B646" s="19">
        <f t="shared" si="1"/>
        <v>45799</v>
      </c>
      <c r="C646" s="23" t="s">
        <v>506</v>
      </c>
      <c r="D646" s="5" t="s">
        <v>507</v>
      </c>
      <c r="E646" s="9" t="s">
        <v>69</v>
      </c>
      <c r="F646" s="9" t="str">
        <f t="array" ref="F646:G646">XLOOKUP($E646,product_epicenter!$A$2:$A$101,product_epicenter!$B$2:$C$101)</f>
        <v>Detergent Powder 1kg </v>
      </c>
      <c r="G646" s="21">
        <v>150.0</v>
      </c>
      <c r="H646" s="9">
        <v>6.0</v>
      </c>
      <c r="I646" s="21">
        <f t="shared" si="2"/>
        <v>900</v>
      </c>
    </row>
    <row r="647" ht="15.75" customHeight="1">
      <c r="A647" s="18">
        <f t="shared" si="3"/>
        <v>45801</v>
      </c>
      <c r="B647" s="19">
        <f t="shared" si="1"/>
        <v>45799</v>
      </c>
      <c r="C647" s="23" t="s">
        <v>506</v>
      </c>
      <c r="D647" s="5" t="s">
        <v>507</v>
      </c>
      <c r="E647" s="9" t="s">
        <v>141</v>
      </c>
      <c r="F647" s="9" t="str">
        <f t="array" ref="F647:G647">XLOOKUP($E647,product_epicenter!$A$2:$A$101,product_epicenter!$B$2:$C$101)</f>
        <v>Basmati Rice 1kg </v>
      </c>
      <c r="G647" s="21">
        <v>120.0</v>
      </c>
      <c r="H647" s="9">
        <v>1.0</v>
      </c>
      <c r="I647" s="21">
        <f t="shared" si="2"/>
        <v>120</v>
      </c>
    </row>
    <row r="648" ht="15.75" customHeight="1">
      <c r="A648" s="18">
        <f t="shared" si="3"/>
        <v>45801</v>
      </c>
      <c r="B648" s="19">
        <f t="shared" si="1"/>
        <v>45799</v>
      </c>
      <c r="C648" s="23" t="s">
        <v>506</v>
      </c>
      <c r="D648" s="5" t="s">
        <v>507</v>
      </c>
      <c r="E648" s="9" t="s">
        <v>49</v>
      </c>
      <c r="F648" s="9" t="str">
        <f t="array" ref="F648:G648">XLOOKUP($E648,product_epicenter!$A$2:$A$101,product_epicenter!$B$2:$C$101)</f>
        <v>Green Chillies 250g </v>
      </c>
      <c r="G648" s="21">
        <v>20.0</v>
      </c>
      <c r="H648" s="9">
        <v>7.0</v>
      </c>
      <c r="I648" s="21">
        <f t="shared" si="2"/>
        <v>140</v>
      </c>
    </row>
    <row r="649" ht="15.75" customHeight="1">
      <c r="A649" s="18">
        <f t="shared" si="3"/>
        <v>45801</v>
      </c>
      <c r="B649" s="19">
        <f t="shared" si="1"/>
        <v>45799</v>
      </c>
      <c r="C649" s="23" t="s">
        <v>506</v>
      </c>
      <c r="D649" s="5" t="s">
        <v>507</v>
      </c>
      <c r="E649" s="9" t="s">
        <v>31</v>
      </c>
      <c r="F649" s="9" t="str">
        <f t="array" ref="F649:G649">XLOOKUP($E649,product_epicenter!$A$2:$A$101,product_epicenter!$B$2:$C$101)</f>
        <v>Eggs 12 pcs </v>
      </c>
      <c r="G649" s="21">
        <v>80.0</v>
      </c>
      <c r="H649" s="9">
        <v>3.0</v>
      </c>
      <c r="I649" s="21">
        <f t="shared" si="2"/>
        <v>240</v>
      </c>
    </row>
    <row r="650" ht="15.75" customHeight="1">
      <c r="A650" s="18">
        <f t="shared" si="3"/>
        <v>45801</v>
      </c>
      <c r="B650" s="19">
        <f t="shared" si="1"/>
        <v>45799</v>
      </c>
      <c r="C650" s="23" t="s">
        <v>508</v>
      </c>
      <c r="D650" s="5" t="s">
        <v>509</v>
      </c>
      <c r="E650" s="9" t="s">
        <v>9</v>
      </c>
      <c r="F650" s="9" t="str">
        <f t="array" ref="F650:G650">XLOOKUP($E650,product_epicenter!$A$2:$A$101,product_epicenter!$B$2:$C$101)</f>
        <v>Aata (Wheat Flour) 1kg </v>
      </c>
      <c r="G650" s="21">
        <v>40.0</v>
      </c>
      <c r="H650" s="9">
        <v>3.0</v>
      </c>
      <c r="I650" s="21">
        <f t="shared" si="2"/>
        <v>120</v>
      </c>
    </row>
    <row r="651" ht="15.75" customHeight="1">
      <c r="A651" s="18">
        <f t="shared" si="3"/>
        <v>45801</v>
      </c>
      <c r="B651" s="19">
        <f t="shared" si="1"/>
        <v>45799</v>
      </c>
      <c r="C651" s="23" t="s">
        <v>508</v>
      </c>
      <c r="D651" s="5" t="s">
        <v>509</v>
      </c>
      <c r="E651" s="9" t="s">
        <v>145</v>
      </c>
      <c r="F651" s="9" t="str">
        <f t="array" ref="F651:G651">XLOOKUP($E651,product_epicenter!$A$2:$A$101,product_epicenter!$B$2:$C$101)</f>
        <v>Quinoa 500g </v>
      </c>
      <c r="G651" s="21">
        <v>350.0</v>
      </c>
      <c r="H651" s="9">
        <v>2.0</v>
      </c>
      <c r="I651" s="21">
        <f t="shared" si="2"/>
        <v>700</v>
      </c>
    </row>
    <row r="652" ht="15.75" customHeight="1">
      <c r="A652" s="18">
        <f t="shared" si="3"/>
        <v>45801</v>
      </c>
      <c r="B652" s="19">
        <f t="shared" si="1"/>
        <v>45799</v>
      </c>
      <c r="C652" s="23" t="s">
        <v>508</v>
      </c>
      <c r="D652" s="5" t="s">
        <v>509</v>
      </c>
      <c r="E652" s="9" t="s">
        <v>177</v>
      </c>
      <c r="F652" s="9" t="str">
        <f t="array" ref="F652:G652">XLOOKUP($E652,product_epicenter!$A$2:$A$101,product_epicenter!$B$2:$C$101)</f>
        <v>Juice 1 litre </v>
      </c>
      <c r="G652" s="21">
        <v>150.0</v>
      </c>
      <c r="H652" s="9">
        <v>1.0</v>
      </c>
      <c r="I652" s="21">
        <f t="shared" si="2"/>
        <v>150</v>
      </c>
    </row>
    <row r="653" ht="15.75" customHeight="1">
      <c r="A653" s="18">
        <f t="shared" si="3"/>
        <v>45801</v>
      </c>
      <c r="B653" s="19">
        <f t="shared" si="1"/>
        <v>45799</v>
      </c>
      <c r="C653" s="23" t="s">
        <v>508</v>
      </c>
      <c r="D653" s="5" t="s">
        <v>509</v>
      </c>
      <c r="E653" s="9" t="s">
        <v>117</v>
      </c>
      <c r="F653" s="9" t="str">
        <f t="array" ref="F653:G653">XLOOKUP($E653,product_epicenter!$A$2:$A$101,product_epicenter!$B$2:$C$101)</f>
        <v>Green Tea 250g </v>
      </c>
      <c r="G653" s="21">
        <v>350.0</v>
      </c>
      <c r="H653" s="9">
        <v>1.0</v>
      </c>
      <c r="I653" s="21">
        <f t="shared" si="2"/>
        <v>350</v>
      </c>
    </row>
    <row r="654" ht="15.75" customHeight="1">
      <c r="A654" s="18">
        <f t="shared" si="3"/>
        <v>45801</v>
      </c>
      <c r="B654" s="19">
        <f t="shared" si="1"/>
        <v>45799</v>
      </c>
      <c r="C654" s="23" t="s">
        <v>510</v>
      </c>
      <c r="D654" s="5" t="s">
        <v>511</v>
      </c>
      <c r="E654" s="9" t="s">
        <v>87</v>
      </c>
      <c r="F654" s="9" t="str">
        <f t="array" ref="F654:G654">XLOOKUP($E654,product_epicenter!$A$2:$A$101,product_epicenter!$B$2:$C$101)</f>
        <v>Coriander Powder 100g </v>
      </c>
      <c r="G654" s="21">
        <v>50.0</v>
      </c>
      <c r="H654" s="9">
        <v>4.0</v>
      </c>
      <c r="I654" s="21">
        <f t="shared" si="2"/>
        <v>200</v>
      </c>
    </row>
    <row r="655" ht="15.75" customHeight="1">
      <c r="A655" s="18">
        <f t="shared" si="3"/>
        <v>45801</v>
      </c>
      <c r="B655" s="19">
        <f t="shared" si="1"/>
        <v>45799</v>
      </c>
      <c r="C655" s="23" t="s">
        <v>510</v>
      </c>
      <c r="D655" s="5" t="s">
        <v>511</v>
      </c>
      <c r="E655" s="9" t="s">
        <v>171</v>
      </c>
      <c r="F655" s="9" t="str">
        <f t="array" ref="F655:G655">XLOOKUP($E655,product_epicenter!$A$2:$A$101,product_epicenter!$B$2:$C$101)</f>
        <v>Mineral Water 1 litre </v>
      </c>
      <c r="G655" s="21">
        <v>20.0</v>
      </c>
      <c r="H655" s="9">
        <v>9.0</v>
      </c>
      <c r="I655" s="21">
        <f t="shared" si="2"/>
        <v>180</v>
      </c>
    </row>
    <row r="656" ht="15.75" customHeight="1">
      <c r="A656" s="18">
        <f t="shared" si="3"/>
        <v>45801</v>
      </c>
      <c r="B656" s="19">
        <f t="shared" si="1"/>
        <v>45799</v>
      </c>
      <c r="C656" s="23" t="s">
        <v>510</v>
      </c>
      <c r="D656" s="5" t="s">
        <v>511</v>
      </c>
      <c r="E656" s="9" t="s">
        <v>65</v>
      </c>
      <c r="F656" s="9" t="str">
        <f t="array" ref="F656:G656">XLOOKUP($E656,product_epicenter!$A$2:$A$101,product_epicenter!$B$2:$C$101)</f>
        <v>Soap 1 bar </v>
      </c>
      <c r="G656" s="21">
        <v>40.0</v>
      </c>
      <c r="H656" s="9">
        <v>6.0</v>
      </c>
      <c r="I656" s="21">
        <f t="shared" si="2"/>
        <v>240</v>
      </c>
    </row>
    <row r="657" ht="15.75" customHeight="1">
      <c r="A657" s="18">
        <f t="shared" si="3"/>
        <v>45801</v>
      </c>
      <c r="B657" s="19">
        <f t="shared" si="1"/>
        <v>45799</v>
      </c>
      <c r="C657" s="23" t="s">
        <v>512</v>
      </c>
      <c r="D657" s="5" t="s">
        <v>513</v>
      </c>
      <c r="E657" s="9" t="s">
        <v>3</v>
      </c>
      <c r="F657" s="9" t="str">
        <f t="array" ref="F657:G657">XLOOKUP($E657,product_epicenter!$A$2:$A$101,product_epicenter!$B$2:$C$101)</f>
        <v>Rice 1kg </v>
      </c>
      <c r="G657" s="21">
        <v>60.0</v>
      </c>
      <c r="H657" s="9">
        <v>9.0</v>
      </c>
      <c r="I657" s="21">
        <f t="shared" si="2"/>
        <v>540</v>
      </c>
    </row>
    <row r="658" ht="15.75" customHeight="1">
      <c r="A658" s="18">
        <f t="shared" si="3"/>
        <v>45801</v>
      </c>
      <c r="B658" s="19">
        <f t="shared" si="1"/>
        <v>45799</v>
      </c>
      <c r="C658" s="23" t="s">
        <v>512</v>
      </c>
      <c r="D658" s="5" t="s">
        <v>513</v>
      </c>
      <c r="E658" s="9" t="s">
        <v>31</v>
      </c>
      <c r="F658" s="9" t="str">
        <f t="array" ref="F658:G658">XLOOKUP($E658,product_epicenter!$A$2:$A$101,product_epicenter!$B$2:$C$101)</f>
        <v>Eggs 12 pcs </v>
      </c>
      <c r="G658" s="21">
        <v>80.0</v>
      </c>
      <c r="H658" s="9">
        <v>8.0</v>
      </c>
      <c r="I658" s="21">
        <f t="shared" si="2"/>
        <v>640</v>
      </c>
    </row>
    <row r="659" ht="15.75" customHeight="1">
      <c r="A659" s="18">
        <f t="shared" si="3"/>
        <v>45801</v>
      </c>
      <c r="B659" s="19">
        <f t="shared" si="1"/>
        <v>45799</v>
      </c>
      <c r="C659" s="23" t="s">
        <v>512</v>
      </c>
      <c r="D659" s="5" t="s">
        <v>513</v>
      </c>
      <c r="E659" s="9" t="s">
        <v>89</v>
      </c>
      <c r="F659" s="9" t="str">
        <f t="array" ref="F659:G659">XLOOKUP($E659,product_epicenter!$A$2:$A$101,product_epicenter!$B$2:$C$101)</f>
        <v>Chili Powder 100g </v>
      </c>
      <c r="G659" s="21">
        <v>60.0</v>
      </c>
      <c r="H659" s="9">
        <v>7.0</v>
      </c>
      <c r="I659" s="21">
        <f t="shared" si="2"/>
        <v>420</v>
      </c>
    </row>
    <row r="660" ht="15.75" customHeight="1">
      <c r="A660" s="18">
        <f t="shared" si="3"/>
        <v>45801</v>
      </c>
      <c r="B660" s="19">
        <f t="shared" si="1"/>
        <v>45799</v>
      </c>
      <c r="C660" s="23" t="s">
        <v>512</v>
      </c>
      <c r="D660" s="5" t="s">
        <v>513</v>
      </c>
      <c r="E660" s="9" t="s">
        <v>21</v>
      </c>
      <c r="F660" s="9" t="str">
        <f t="array" ref="F660:G660">XLOOKUP($E660,product_epicenter!$A$2:$A$101,product_epicenter!$B$2:$C$101)</f>
        <v>Salt 1kg </v>
      </c>
      <c r="G660" s="21">
        <v>20.0</v>
      </c>
      <c r="H660" s="9">
        <v>1.0</v>
      </c>
      <c r="I660" s="21">
        <f t="shared" si="2"/>
        <v>20</v>
      </c>
    </row>
    <row r="661" ht="15.75" customHeight="1">
      <c r="A661" s="18">
        <f t="shared" si="3"/>
        <v>45801</v>
      </c>
      <c r="B661" s="19">
        <f t="shared" si="1"/>
        <v>45799</v>
      </c>
      <c r="C661" s="23" t="s">
        <v>512</v>
      </c>
      <c r="D661" s="5" t="s">
        <v>513</v>
      </c>
      <c r="E661" s="9" t="s">
        <v>175</v>
      </c>
      <c r="F661" s="9" t="str">
        <f t="array" ref="F661:G661">XLOOKUP($E661,product_epicenter!$A$2:$A$101,product_epicenter!$B$2:$C$101)</f>
        <v>Ice Tea 1 litre </v>
      </c>
      <c r="G661" s="21">
        <v>120.0</v>
      </c>
      <c r="H661" s="9">
        <v>8.0</v>
      </c>
      <c r="I661" s="21">
        <f t="shared" si="2"/>
        <v>960</v>
      </c>
    </row>
    <row r="662" ht="15.75" customHeight="1">
      <c r="A662" s="18">
        <f t="shared" si="3"/>
        <v>45801</v>
      </c>
      <c r="B662" s="19">
        <f t="shared" si="1"/>
        <v>45799</v>
      </c>
      <c r="C662" s="23" t="s">
        <v>514</v>
      </c>
      <c r="D662" s="5" t="s">
        <v>515</v>
      </c>
      <c r="E662" s="9" t="s">
        <v>13</v>
      </c>
      <c r="F662" s="9" t="str">
        <f t="array" ref="F662:G662">XLOOKUP($E662,product_epicenter!$A$2:$A$101,product_epicenter!$B$2:$C$101)</f>
        <v>Coffee 100g </v>
      </c>
      <c r="G662" s="21">
        <v>250.0</v>
      </c>
      <c r="H662" s="9">
        <v>3.0</v>
      </c>
      <c r="I662" s="21">
        <f t="shared" si="2"/>
        <v>750</v>
      </c>
    </row>
    <row r="663" ht="15.75" customHeight="1">
      <c r="A663" s="18">
        <f t="shared" si="3"/>
        <v>45801</v>
      </c>
      <c r="B663" s="19">
        <f t="shared" si="1"/>
        <v>45799</v>
      </c>
      <c r="C663" s="23" t="s">
        <v>514</v>
      </c>
      <c r="D663" s="5" t="s">
        <v>515</v>
      </c>
      <c r="E663" s="9" t="s">
        <v>85</v>
      </c>
      <c r="F663" s="9" t="str">
        <f t="array" ref="F663:G663">XLOOKUP($E663,product_epicenter!$A$2:$A$101,product_epicenter!$B$2:$C$101)</f>
        <v>Cumin Seeds 100g </v>
      </c>
      <c r="G663" s="21">
        <v>40.0</v>
      </c>
      <c r="H663" s="9">
        <v>8.0</v>
      </c>
      <c r="I663" s="21">
        <f t="shared" si="2"/>
        <v>320</v>
      </c>
    </row>
    <row r="664" ht="15.75" customHeight="1">
      <c r="A664" s="18">
        <f t="shared" si="3"/>
        <v>45801</v>
      </c>
      <c r="B664" s="19">
        <f t="shared" si="1"/>
        <v>45799</v>
      </c>
      <c r="C664" s="23" t="s">
        <v>514</v>
      </c>
      <c r="D664" s="5" t="s">
        <v>515</v>
      </c>
      <c r="E664" s="9" t="s">
        <v>129</v>
      </c>
      <c r="F664" s="9" t="str">
        <f t="array" ref="F664:G664">XLOOKUP($E664,product_epicenter!$A$2:$A$101,product_epicenter!$B$2:$C$101)</f>
        <v>Coconut 1 piece </v>
      </c>
      <c r="G664" s="21">
        <v>40.0</v>
      </c>
      <c r="H664" s="9">
        <v>3.0</v>
      </c>
      <c r="I664" s="21">
        <f t="shared" si="2"/>
        <v>120</v>
      </c>
    </row>
    <row r="665" ht="15.75" customHeight="1">
      <c r="A665" s="18">
        <f t="shared" si="3"/>
        <v>45801</v>
      </c>
      <c r="B665" s="19">
        <f t="shared" si="1"/>
        <v>45799</v>
      </c>
      <c r="C665" s="23" t="s">
        <v>514</v>
      </c>
      <c r="D665" s="5" t="s">
        <v>515</v>
      </c>
      <c r="E665" s="9" t="s">
        <v>57</v>
      </c>
      <c r="F665" s="9" t="str">
        <f t="array" ref="F665:G665">XLOOKUP($E665,product_epicenter!$A$2:$A$101,product_epicenter!$B$2:$C$101)</f>
        <v>Chocolates 1 bar </v>
      </c>
      <c r="G665" s="21">
        <v>100.0</v>
      </c>
      <c r="H665" s="9">
        <v>4.0</v>
      </c>
      <c r="I665" s="21">
        <f t="shared" si="2"/>
        <v>400</v>
      </c>
    </row>
    <row r="666" ht="15.75" customHeight="1">
      <c r="A666" s="18">
        <f t="shared" si="3"/>
        <v>45801</v>
      </c>
      <c r="B666" s="19">
        <f t="shared" si="1"/>
        <v>45799</v>
      </c>
      <c r="C666" s="23" t="s">
        <v>516</v>
      </c>
      <c r="D666" s="5" t="s">
        <v>517</v>
      </c>
      <c r="E666" s="9" t="s">
        <v>9</v>
      </c>
      <c r="F666" s="9" t="str">
        <f t="array" ref="F666:G666">XLOOKUP($E666,product_epicenter!$A$2:$A$101,product_epicenter!$B$2:$C$101)</f>
        <v>Aata (Wheat Flour) 1kg </v>
      </c>
      <c r="G666" s="21">
        <v>40.0</v>
      </c>
      <c r="H666" s="9">
        <v>1.0</v>
      </c>
      <c r="I666" s="21">
        <f t="shared" si="2"/>
        <v>40</v>
      </c>
    </row>
    <row r="667" ht="15.75" customHeight="1">
      <c r="A667" s="18">
        <f t="shared" si="3"/>
        <v>45801</v>
      </c>
      <c r="B667" s="19">
        <f t="shared" si="1"/>
        <v>45799</v>
      </c>
      <c r="C667" s="23" t="s">
        <v>516</v>
      </c>
      <c r="D667" s="5" t="s">
        <v>517</v>
      </c>
      <c r="E667" s="9" t="s">
        <v>69</v>
      </c>
      <c r="F667" s="9" t="str">
        <f t="array" ref="F667:G667">XLOOKUP($E667,product_epicenter!$A$2:$A$101,product_epicenter!$B$2:$C$101)</f>
        <v>Detergent Powder 1kg </v>
      </c>
      <c r="G667" s="21">
        <v>150.0</v>
      </c>
      <c r="H667" s="9">
        <v>4.0</v>
      </c>
      <c r="I667" s="21">
        <f t="shared" si="2"/>
        <v>600</v>
      </c>
    </row>
    <row r="668" ht="15.75" customHeight="1">
      <c r="A668" s="18">
        <f t="shared" si="3"/>
        <v>45801</v>
      </c>
      <c r="B668" s="19">
        <f t="shared" si="1"/>
        <v>45799</v>
      </c>
      <c r="C668" s="23" t="s">
        <v>516</v>
      </c>
      <c r="D668" s="5" t="s">
        <v>517</v>
      </c>
      <c r="E668" s="9" t="s">
        <v>149</v>
      </c>
      <c r="F668" s="9" t="str">
        <f t="array" ref="F668:G668">XLOOKUP($E668,product_epicenter!$A$2:$A$101,product_epicenter!$B$2:$C$101)</f>
        <v>Baking Powder 250g </v>
      </c>
      <c r="G668" s="21">
        <v>80.0</v>
      </c>
      <c r="H668" s="9">
        <v>4.0</v>
      </c>
      <c r="I668" s="21">
        <f t="shared" si="2"/>
        <v>320</v>
      </c>
    </row>
    <row r="669" ht="15.75" customHeight="1">
      <c r="A669" s="18">
        <f t="shared" si="3"/>
        <v>45801</v>
      </c>
      <c r="B669" s="19">
        <f t="shared" si="1"/>
        <v>45799</v>
      </c>
      <c r="C669" s="23" t="s">
        <v>516</v>
      </c>
      <c r="D669" s="5" t="s">
        <v>517</v>
      </c>
      <c r="E669" s="9" t="s">
        <v>135</v>
      </c>
      <c r="F669" s="9" t="str">
        <f t="array" ref="F669:G669">XLOOKUP($E669,product_epicenter!$A$2:$A$101,product_epicenter!$B$2:$C$101)</f>
        <v>Ice Cubes 1 pack </v>
      </c>
      <c r="G669" s="21">
        <v>50.0</v>
      </c>
      <c r="H669" s="9">
        <v>4.0</v>
      </c>
      <c r="I669" s="21">
        <f t="shared" si="2"/>
        <v>200</v>
      </c>
    </row>
    <row r="670" ht="15.75" customHeight="1">
      <c r="A670" s="18">
        <f t="shared" si="3"/>
        <v>45801</v>
      </c>
      <c r="B670" s="19">
        <f t="shared" si="1"/>
        <v>45799</v>
      </c>
      <c r="C670" s="23" t="s">
        <v>518</v>
      </c>
      <c r="D670" s="5" t="s">
        <v>519</v>
      </c>
      <c r="E670" s="9" t="s">
        <v>163</v>
      </c>
      <c r="F670" s="9" t="str">
        <f t="array" ref="F670:G670">XLOOKUP($E670,product_epicenter!$A$2:$A$101,product_epicenter!$B$2:$C$101)</f>
        <v>Matchsticks 1 pack </v>
      </c>
      <c r="G670" s="21">
        <v>20.0</v>
      </c>
      <c r="H670" s="9">
        <v>5.0</v>
      </c>
      <c r="I670" s="21">
        <f t="shared" si="2"/>
        <v>100</v>
      </c>
    </row>
    <row r="671" ht="15.75" customHeight="1">
      <c r="A671" s="18">
        <f t="shared" si="3"/>
        <v>45801</v>
      </c>
      <c r="B671" s="19">
        <f t="shared" si="1"/>
        <v>45799</v>
      </c>
      <c r="C671" s="23" t="s">
        <v>518</v>
      </c>
      <c r="D671" s="5" t="s">
        <v>519</v>
      </c>
      <c r="E671" s="9" t="s">
        <v>41</v>
      </c>
      <c r="F671" s="9" t="str">
        <f t="array" ref="F671:G671">XLOOKUP($E671,product_epicenter!$A$2:$A$101,product_epicenter!$B$2:$C$101)</f>
        <v>Oranges 1kg </v>
      </c>
      <c r="G671" s="21">
        <v>100.0</v>
      </c>
      <c r="H671" s="9">
        <v>6.0</v>
      </c>
      <c r="I671" s="21">
        <f t="shared" si="2"/>
        <v>600</v>
      </c>
    </row>
    <row r="672" ht="15.75" customHeight="1">
      <c r="A672" s="18">
        <f t="shared" si="3"/>
        <v>45801</v>
      </c>
      <c r="B672" s="19">
        <f t="shared" si="1"/>
        <v>45799</v>
      </c>
      <c r="C672" s="23" t="s">
        <v>518</v>
      </c>
      <c r="D672" s="5" t="s">
        <v>519</v>
      </c>
      <c r="E672" s="9" t="s">
        <v>155</v>
      </c>
      <c r="F672" s="9" t="str">
        <f t="array" ref="F672:G672">XLOOKUP($E672,product_epicenter!$A$2:$A$101,product_epicenter!$B$2:$C$101)</f>
        <v>Whipped Cream 500ml </v>
      </c>
      <c r="G672" s="21">
        <v>250.0</v>
      </c>
      <c r="H672" s="9">
        <v>5.0</v>
      </c>
      <c r="I672" s="21">
        <f t="shared" si="2"/>
        <v>1250</v>
      </c>
    </row>
    <row r="673" ht="15.75" customHeight="1">
      <c r="A673" s="18">
        <f t="shared" si="3"/>
        <v>45801</v>
      </c>
      <c r="B673" s="19">
        <f t="shared" si="1"/>
        <v>45799</v>
      </c>
      <c r="C673" s="23" t="s">
        <v>518</v>
      </c>
      <c r="D673" s="5" t="s">
        <v>519</v>
      </c>
      <c r="E673" s="9" t="s">
        <v>181</v>
      </c>
      <c r="F673" s="9" t="str">
        <f t="array" ref="F673:G673">XLOOKUP($E673,product_epicenter!$A$2:$A$101,product_epicenter!$B$2:$C$101)</f>
        <v>Hand Wash 500ml </v>
      </c>
      <c r="G673" s="21">
        <v>150.0</v>
      </c>
      <c r="H673" s="9">
        <v>4.0</v>
      </c>
      <c r="I673" s="21">
        <f t="shared" si="2"/>
        <v>600</v>
      </c>
    </row>
    <row r="674" ht="15.75" customHeight="1">
      <c r="A674" s="18">
        <f t="shared" si="3"/>
        <v>45801</v>
      </c>
      <c r="B674" s="19">
        <f t="shared" si="1"/>
        <v>45799</v>
      </c>
      <c r="C674" s="23" t="s">
        <v>520</v>
      </c>
      <c r="D674" s="5" t="s">
        <v>521</v>
      </c>
      <c r="E674" s="9" t="s">
        <v>45</v>
      </c>
      <c r="F674" s="9" t="str">
        <f t="array" ref="F674:G674">XLOOKUP($E674,product_epicenter!$A$2:$A$101,product_epicenter!$B$2:$C$101)</f>
        <v>Onions 1kg </v>
      </c>
      <c r="G674" s="21">
        <v>40.0</v>
      </c>
      <c r="H674" s="9">
        <v>6.0</v>
      </c>
      <c r="I674" s="21">
        <f t="shared" si="2"/>
        <v>240</v>
      </c>
    </row>
    <row r="675" ht="15.75" customHeight="1">
      <c r="A675" s="18">
        <f t="shared" si="3"/>
        <v>45801</v>
      </c>
      <c r="B675" s="19">
        <f t="shared" si="1"/>
        <v>45799</v>
      </c>
      <c r="C675" s="23" t="s">
        <v>520</v>
      </c>
      <c r="D675" s="5" t="s">
        <v>521</v>
      </c>
      <c r="E675" s="9" t="s">
        <v>191</v>
      </c>
      <c r="F675" s="9" t="str">
        <f t="array" ref="F675:G675">XLOOKUP($E675,product_epicenter!$A$2:$A$101,product_epicenter!$B$2:$C$101)</f>
        <v>Nail Polish 1 bottle </v>
      </c>
      <c r="G675" s="21">
        <v>120.0</v>
      </c>
      <c r="H675" s="9">
        <v>6.0</v>
      </c>
      <c r="I675" s="21">
        <f t="shared" si="2"/>
        <v>720</v>
      </c>
    </row>
    <row r="676" ht="15.75" customHeight="1">
      <c r="A676" s="18">
        <f t="shared" si="3"/>
        <v>45801</v>
      </c>
      <c r="B676" s="19">
        <f t="shared" si="1"/>
        <v>45799</v>
      </c>
      <c r="C676" s="23" t="s">
        <v>520</v>
      </c>
      <c r="D676" s="5" t="s">
        <v>521</v>
      </c>
      <c r="E676" s="9" t="s">
        <v>43</v>
      </c>
      <c r="F676" s="9" t="str">
        <f t="array" ref="F676:G676">XLOOKUP($E676,product_epicenter!$A$2:$A$101,product_epicenter!$B$2:$C$101)</f>
        <v>Potatoes 1kg </v>
      </c>
      <c r="G676" s="21">
        <v>30.0</v>
      </c>
      <c r="H676" s="9">
        <v>6.0</v>
      </c>
      <c r="I676" s="21">
        <f t="shared" si="2"/>
        <v>180</v>
      </c>
    </row>
    <row r="677" ht="15.75" customHeight="1">
      <c r="A677" s="18">
        <f t="shared" si="3"/>
        <v>45801</v>
      </c>
      <c r="B677" s="19">
        <f t="shared" si="1"/>
        <v>45799</v>
      </c>
      <c r="C677" s="23" t="s">
        <v>520</v>
      </c>
      <c r="D677" s="5" t="s">
        <v>521</v>
      </c>
      <c r="E677" s="9" t="s">
        <v>35</v>
      </c>
      <c r="F677" s="9" t="str">
        <f t="array" ref="F677:G677">XLOOKUP($E677,product_epicenter!$A$2:$A$101,product_epicenter!$B$2:$C$101)</f>
        <v>Fish 1kg </v>
      </c>
      <c r="G677" s="21">
        <v>300.0</v>
      </c>
      <c r="H677" s="9">
        <v>2.0</v>
      </c>
      <c r="I677" s="21">
        <f t="shared" si="2"/>
        <v>600</v>
      </c>
    </row>
    <row r="678" ht="15.75" customHeight="1">
      <c r="A678" s="18">
        <f t="shared" si="3"/>
        <v>45801</v>
      </c>
      <c r="B678" s="19">
        <f t="shared" si="1"/>
        <v>45799</v>
      </c>
      <c r="C678" s="23" t="s">
        <v>522</v>
      </c>
      <c r="D678" s="5" t="s">
        <v>523</v>
      </c>
      <c r="E678" s="9" t="s">
        <v>17</v>
      </c>
      <c r="F678" s="9" t="str">
        <f t="array" ref="F678:G678">XLOOKUP($E678,product_epicenter!$A$2:$A$101,product_epicenter!$B$2:$C$101)</f>
        <v>Dry Fruits Mix 1kg </v>
      </c>
      <c r="G678" s="21">
        <v>850.0</v>
      </c>
      <c r="H678" s="9">
        <v>7.0</v>
      </c>
      <c r="I678" s="21">
        <f t="shared" si="2"/>
        <v>5950</v>
      </c>
    </row>
    <row r="679" ht="15.75" customHeight="1">
      <c r="A679" s="18">
        <f t="shared" si="3"/>
        <v>45801</v>
      </c>
      <c r="B679" s="19">
        <f t="shared" si="1"/>
        <v>45799</v>
      </c>
      <c r="C679" s="23" t="s">
        <v>522</v>
      </c>
      <c r="D679" s="5" t="s">
        <v>523</v>
      </c>
      <c r="E679" s="9" t="s">
        <v>81</v>
      </c>
      <c r="F679" s="9" t="str">
        <f t="array" ref="F679:G679">XLOOKUP($E679,product_epicenter!$A$2:$A$101,product_epicenter!$B$2:$C$101)</f>
        <v>Cooking Oil 1 litre </v>
      </c>
      <c r="G679" s="21">
        <v>120.0</v>
      </c>
      <c r="H679" s="9">
        <v>9.0</v>
      </c>
      <c r="I679" s="21">
        <f t="shared" si="2"/>
        <v>1080</v>
      </c>
    </row>
    <row r="680" ht="15.75" customHeight="1">
      <c r="A680" s="18">
        <f t="shared" si="3"/>
        <v>45801</v>
      </c>
      <c r="B680" s="19">
        <f t="shared" si="1"/>
        <v>45799</v>
      </c>
      <c r="C680" s="23" t="s">
        <v>522</v>
      </c>
      <c r="D680" s="5" t="s">
        <v>523</v>
      </c>
      <c r="E680" s="9" t="s">
        <v>29</v>
      </c>
      <c r="F680" s="9" t="str">
        <f t="array" ref="F680:G680">XLOOKUP($E680,product_epicenter!$A$2:$A$101,product_epicenter!$B$2:$C$101)</f>
        <v>Cheese 200g </v>
      </c>
      <c r="G680" s="21">
        <v>150.0</v>
      </c>
      <c r="H680" s="9">
        <v>7.0</v>
      </c>
      <c r="I680" s="21">
        <f t="shared" si="2"/>
        <v>1050</v>
      </c>
    </row>
    <row r="681" ht="15.75" customHeight="1">
      <c r="A681" s="18">
        <f t="shared" si="3"/>
        <v>45801</v>
      </c>
      <c r="B681" s="19">
        <f t="shared" si="1"/>
        <v>45799</v>
      </c>
      <c r="C681" s="23" t="s">
        <v>522</v>
      </c>
      <c r="D681" s="5" t="s">
        <v>523</v>
      </c>
      <c r="E681" s="9" t="s">
        <v>161</v>
      </c>
      <c r="F681" s="9" t="str">
        <f t="array" ref="F681:G681">XLOOKUP($E681,product_epicenter!$A$2:$A$101,product_epicenter!$B$2:$C$101)</f>
        <v>Aluminium Foil 1 roll </v>
      </c>
      <c r="G681" s="21">
        <v>120.0</v>
      </c>
      <c r="H681" s="9">
        <v>2.0</v>
      </c>
      <c r="I681" s="21">
        <f t="shared" si="2"/>
        <v>240</v>
      </c>
    </row>
    <row r="682" ht="15.75" customHeight="1">
      <c r="A682" s="18">
        <f t="shared" si="3"/>
        <v>45801</v>
      </c>
      <c r="B682" s="19">
        <f t="shared" si="1"/>
        <v>45799</v>
      </c>
      <c r="C682" s="23" t="s">
        <v>522</v>
      </c>
      <c r="D682" s="5" t="s">
        <v>523</v>
      </c>
      <c r="E682" s="9" t="s">
        <v>95</v>
      </c>
      <c r="F682" s="9" t="str">
        <f t="array" ref="F682:G682">XLOOKUP($E682,product_epicenter!$A$2:$A$101,product_epicenter!$B$2:$C$101)</f>
        <v>Pasta 500g </v>
      </c>
      <c r="G682" s="21">
        <v>150.0</v>
      </c>
      <c r="H682" s="9">
        <v>2.0</v>
      </c>
      <c r="I682" s="21">
        <f t="shared" si="2"/>
        <v>300</v>
      </c>
    </row>
    <row r="683" ht="15.75" customHeight="1">
      <c r="A683" s="18">
        <f t="shared" si="3"/>
        <v>45801</v>
      </c>
      <c r="B683" s="19">
        <f t="shared" si="1"/>
        <v>45799</v>
      </c>
      <c r="C683" s="23" t="s">
        <v>524</v>
      </c>
      <c r="D683" s="5" t="s">
        <v>525</v>
      </c>
      <c r="E683" s="9" t="s">
        <v>127</v>
      </c>
      <c r="F683" s="9" t="str">
        <f t="array" ref="F683:G683">XLOOKUP($E683,product_epicenter!$A$2:$A$101,product_epicenter!$B$2:$C$101)</f>
        <v>Pomegranate 1kg </v>
      </c>
      <c r="G683" s="21">
        <v>200.0</v>
      </c>
      <c r="H683" s="9">
        <v>8.0</v>
      </c>
      <c r="I683" s="21">
        <f t="shared" si="2"/>
        <v>1600</v>
      </c>
    </row>
    <row r="684" ht="15.75" customHeight="1">
      <c r="A684" s="18">
        <f t="shared" si="3"/>
        <v>45801</v>
      </c>
      <c r="B684" s="19">
        <f t="shared" si="1"/>
        <v>45799</v>
      </c>
      <c r="C684" s="23" t="s">
        <v>524</v>
      </c>
      <c r="D684" s="5" t="s">
        <v>525</v>
      </c>
      <c r="E684" s="9" t="s">
        <v>113</v>
      </c>
      <c r="F684" s="9" t="str">
        <f t="array" ref="F684:G684">XLOOKUP($E684,product_epicenter!$A$2:$A$101,product_epicenter!$B$2:$C$101)</f>
        <v>Walnuts 500g </v>
      </c>
      <c r="G684" s="21">
        <v>700.0</v>
      </c>
      <c r="H684" s="9">
        <v>4.0</v>
      </c>
      <c r="I684" s="21">
        <f t="shared" si="2"/>
        <v>2800</v>
      </c>
    </row>
    <row r="685" ht="15.75" customHeight="1">
      <c r="A685" s="18">
        <f t="shared" si="3"/>
        <v>45801</v>
      </c>
      <c r="B685" s="19">
        <f t="shared" si="1"/>
        <v>45799</v>
      </c>
      <c r="C685" s="23" t="s">
        <v>524</v>
      </c>
      <c r="D685" s="5" t="s">
        <v>525</v>
      </c>
      <c r="E685" s="9" t="s">
        <v>115</v>
      </c>
      <c r="F685" s="9" t="str">
        <f t="array" ref="F685:G685">XLOOKUP($E685,product_epicenter!$A$2:$A$101,product_epicenter!$B$2:$C$101)</f>
        <v>Raisins 500g </v>
      </c>
      <c r="G685" s="21">
        <v>400.0</v>
      </c>
      <c r="H685" s="9">
        <v>9.0</v>
      </c>
      <c r="I685" s="21">
        <f t="shared" si="2"/>
        <v>3600</v>
      </c>
    </row>
    <row r="686" ht="15.75" customHeight="1">
      <c r="A686" s="18">
        <f t="shared" si="3"/>
        <v>45801</v>
      </c>
      <c r="B686" s="19">
        <f t="shared" si="1"/>
        <v>45799</v>
      </c>
      <c r="C686" s="23" t="s">
        <v>526</v>
      </c>
      <c r="D686" s="5" t="s">
        <v>527</v>
      </c>
      <c r="E686" s="9" t="s">
        <v>159</v>
      </c>
      <c r="F686" s="9" t="str">
        <f t="array" ref="F686:G686">XLOOKUP($E686,product_epicenter!$A$2:$A$101,product_epicenter!$B$2:$C$101)</f>
        <v>Plastic Wrap 1 roll </v>
      </c>
      <c r="G686" s="21">
        <v>150.0</v>
      </c>
      <c r="H686" s="9">
        <v>3.0</v>
      </c>
      <c r="I686" s="21">
        <f t="shared" si="2"/>
        <v>450</v>
      </c>
    </row>
    <row r="687" ht="15.75" customHeight="1">
      <c r="A687" s="18">
        <f t="shared" si="3"/>
        <v>45801</v>
      </c>
      <c r="B687" s="19">
        <f t="shared" si="1"/>
        <v>45799</v>
      </c>
      <c r="C687" s="23" t="s">
        <v>526</v>
      </c>
      <c r="D687" s="5" t="s">
        <v>527</v>
      </c>
      <c r="E687" s="9" t="s">
        <v>5</v>
      </c>
      <c r="F687" s="9" t="str">
        <f t="array" ref="F687:G687">XLOOKUP($E687,product_epicenter!$A$2:$A$101,product_epicenter!$B$2:$C$101)</f>
        <v>Dal (Lentils) 1kg </v>
      </c>
      <c r="G687" s="21">
        <v>100.0</v>
      </c>
      <c r="H687" s="9">
        <v>4.0</v>
      </c>
      <c r="I687" s="21">
        <f t="shared" si="2"/>
        <v>400</v>
      </c>
    </row>
    <row r="688" ht="15.75" customHeight="1">
      <c r="A688" s="18">
        <f t="shared" si="3"/>
        <v>45801</v>
      </c>
      <c r="B688" s="19">
        <f t="shared" si="1"/>
        <v>45799</v>
      </c>
      <c r="C688" s="23" t="s">
        <v>526</v>
      </c>
      <c r="D688" s="5" t="s">
        <v>527</v>
      </c>
      <c r="E688" s="9" t="s">
        <v>155</v>
      </c>
      <c r="F688" s="9" t="str">
        <f t="array" ref="F688:G688">XLOOKUP($E688,product_epicenter!$A$2:$A$101,product_epicenter!$B$2:$C$101)</f>
        <v>Whipped Cream 500ml </v>
      </c>
      <c r="G688" s="21">
        <v>250.0</v>
      </c>
      <c r="H688" s="9">
        <v>3.0</v>
      </c>
      <c r="I688" s="21">
        <f t="shared" si="2"/>
        <v>750</v>
      </c>
    </row>
    <row r="689" ht="15.75" customHeight="1">
      <c r="A689" s="18">
        <f t="shared" si="3"/>
        <v>45801</v>
      </c>
      <c r="B689" s="19">
        <f t="shared" si="1"/>
        <v>45799</v>
      </c>
      <c r="C689" s="23" t="s">
        <v>526</v>
      </c>
      <c r="D689" s="5" t="s">
        <v>527</v>
      </c>
      <c r="E689" s="9" t="s">
        <v>111</v>
      </c>
      <c r="F689" s="9" t="str">
        <f t="array" ref="F689:G689">XLOOKUP($E689,product_epicenter!$A$2:$A$101,product_epicenter!$B$2:$C$101)</f>
        <v>Almonds 500g </v>
      </c>
      <c r="G689" s="21">
        <v>500.0</v>
      </c>
      <c r="H689" s="9">
        <v>4.0</v>
      </c>
      <c r="I689" s="21">
        <f t="shared" si="2"/>
        <v>2000</v>
      </c>
    </row>
    <row r="690" ht="15.75" customHeight="1">
      <c r="A690" s="18">
        <f t="shared" si="3"/>
        <v>45801</v>
      </c>
      <c r="B690" s="19">
        <f t="shared" si="1"/>
        <v>45799</v>
      </c>
      <c r="C690" s="23" t="s">
        <v>526</v>
      </c>
      <c r="D690" s="5" t="s">
        <v>527</v>
      </c>
      <c r="E690" s="9" t="s">
        <v>39</v>
      </c>
      <c r="F690" s="9" t="str">
        <f t="array" ref="F690:G690">XLOOKUP($E690,product_epicenter!$A$2:$A$101,product_epicenter!$B$2:$C$101)</f>
        <v>Bananas 1 dozen </v>
      </c>
      <c r="G690" s="21">
        <v>60.0</v>
      </c>
      <c r="H690" s="9">
        <v>1.0</v>
      </c>
      <c r="I690" s="21">
        <f t="shared" si="2"/>
        <v>60</v>
      </c>
    </row>
    <row r="691" ht="15.75" customHeight="1">
      <c r="A691" s="18">
        <f t="shared" si="3"/>
        <v>45801</v>
      </c>
      <c r="B691" s="19">
        <f t="shared" si="1"/>
        <v>45799</v>
      </c>
      <c r="C691" s="23" t="s">
        <v>528</v>
      </c>
      <c r="D691" s="5" t="s">
        <v>529</v>
      </c>
      <c r="E691" s="9" t="s">
        <v>65</v>
      </c>
      <c r="F691" s="9" t="str">
        <f t="array" ref="F691:G691">XLOOKUP($E691,product_epicenter!$A$2:$A$101,product_epicenter!$B$2:$C$101)</f>
        <v>Soap 1 bar </v>
      </c>
      <c r="G691" s="21">
        <v>40.0</v>
      </c>
      <c r="H691" s="9">
        <v>1.0</v>
      </c>
      <c r="I691" s="21">
        <f t="shared" si="2"/>
        <v>40</v>
      </c>
    </row>
    <row r="692" ht="15.75" customHeight="1">
      <c r="A692" s="18">
        <f t="shared" si="3"/>
        <v>45801</v>
      </c>
      <c r="B692" s="19">
        <f t="shared" si="1"/>
        <v>45799</v>
      </c>
      <c r="C692" s="23" t="s">
        <v>528</v>
      </c>
      <c r="D692" s="5" t="s">
        <v>529</v>
      </c>
      <c r="E692" s="9" t="s">
        <v>85</v>
      </c>
      <c r="F692" s="9" t="str">
        <f t="array" ref="F692:G692">XLOOKUP($E692,product_epicenter!$A$2:$A$101,product_epicenter!$B$2:$C$101)</f>
        <v>Cumin Seeds 100g </v>
      </c>
      <c r="G692" s="21">
        <v>40.0</v>
      </c>
      <c r="H692" s="9">
        <v>4.0</v>
      </c>
      <c r="I692" s="21">
        <f t="shared" si="2"/>
        <v>160</v>
      </c>
    </row>
    <row r="693" ht="15.75" customHeight="1">
      <c r="A693" s="18">
        <f t="shared" si="3"/>
        <v>45801</v>
      </c>
      <c r="B693" s="19">
        <f t="shared" si="1"/>
        <v>45799</v>
      </c>
      <c r="C693" s="23" t="s">
        <v>528</v>
      </c>
      <c r="D693" s="5" t="s">
        <v>529</v>
      </c>
      <c r="E693" s="9" t="s">
        <v>39</v>
      </c>
      <c r="F693" s="9" t="str">
        <f t="array" ref="F693:G693">XLOOKUP($E693,product_epicenter!$A$2:$A$101,product_epicenter!$B$2:$C$101)</f>
        <v>Bananas 1 dozen </v>
      </c>
      <c r="G693" s="21">
        <v>60.0</v>
      </c>
      <c r="H693" s="9">
        <v>2.0</v>
      </c>
      <c r="I693" s="21">
        <f t="shared" si="2"/>
        <v>120</v>
      </c>
    </row>
    <row r="694" ht="15.75" customHeight="1">
      <c r="A694" s="18">
        <f t="shared" si="3"/>
        <v>45801</v>
      </c>
      <c r="B694" s="19">
        <f t="shared" si="1"/>
        <v>45799</v>
      </c>
      <c r="C694" s="23" t="s">
        <v>528</v>
      </c>
      <c r="D694" s="5" t="s">
        <v>529</v>
      </c>
      <c r="E694" s="9" t="s">
        <v>71</v>
      </c>
      <c r="F694" s="9" t="str">
        <f t="array" ref="F694:G694">XLOOKUP($E694,product_epicenter!$A$2:$A$101,product_epicenter!$B$2:$C$101)</f>
        <v>Dishwashing Liquid 500ml </v>
      </c>
      <c r="G694" s="21">
        <v>100.0</v>
      </c>
      <c r="H694" s="9">
        <v>6.0</v>
      </c>
      <c r="I694" s="21">
        <f t="shared" si="2"/>
        <v>600</v>
      </c>
    </row>
    <row r="695" ht="15.75" customHeight="1">
      <c r="A695" s="18">
        <f t="shared" si="3"/>
        <v>45801</v>
      </c>
      <c r="B695" s="19">
        <f t="shared" si="1"/>
        <v>45799</v>
      </c>
      <c r="C695" s="23" t="s">
        <v>528</v>
      </c>
      <c r="D695" s="5" t="s">
        <v>529</v>
      </c>
      <c r="E695" s="9" t="s">
        <v>45</v>
      </c>
      <c r="F695" s="9" t="str">
        <f t="array" ref="F695:G695">XLOOKUP($E695,product_epicenter!$A$2:$A$101,product_epicenter!$B$2:$C$101)</f>
        <v>Onions 1kg </v>
      </c>
      <c r="G695" s="21">
        <v>40.0</v>
      </c>
      <c r="H695" s="9">
        <v>2.0</v>
      </c>
      <c r="I695" s="21">
        <f t="shared" si="2"/>
        <v>80</v>
      </c>
    </row>
    <row r="696" ht="15.75" customHeight="1">
      <c r="A696" s="18">
        <f t="shared" si="3"/>
        <v>45801</v>
      </c>
      <c r="B696" s="19">
        <f t="shared" si="1"/>
        <v>45799</v>
      </c>
      <c r="C696" s="23" t="s">
        <v>530</v>
      </c>
      <c r="D696" s="5" t="s">
        <v>531</v>
      </c>
      <c r="E696" s="9" t="s">
        <v>131</v>
      </c>
      <c r="F696" s="9" t="str">
        <f t="array" ref="F696:G696">XLOOKUP($E696,product_epicenter!$A$2:$A$101,product_epicenter!$B$2:$C$101)</f>
        <v>Yogurt 500g </v>
      </c>
      <c r="G696" s="21">
        <v>80.0</v>
      </c>
      <c r="H696" s="9">
        <v>2.0</v>
      </c>
      <c r="I696" s="21">
        <f t="shared" si="2"/>
        <v>160</v>
      </c>
    </row>
    <row r="697" ht="15.75" customHeight="1">
      <c r="A697" s="18">
        <f t="shared" si="3"/>
        <v>45801</v>
      </c>
      <c r="B697" s="19">
        <f t="shared" si="1"/>
        <v>45799</v>
      </c>
      <c r="C697" s="23" t="s">
        <v>530</v>
      </c>
      <c r="D697" s="5" t="s">
        <v>531</v>
      </c>
      <c r="E697" s="9" t="s">
        <v>135</v>
      </c>
      <c r="F697" s="9" t="str">
        <f t="array" ref="F697:G697">XLOOKUP($E697,product_epicenter!$A$2:$A$101,product_epicenter!$B$2:$C$101)</f>
        <v>Ice Cubes 1 pack </v>
      </c>
      <c r="G697" s="21">
        <v>50.0</v>
      </c>
      <c r="H697" s="9">
        <v>8.0</v>
      </c>
      <c r="I697" s="21">
        <f t="shared" si="2"/>
        <v>400</v>
      </c>
    </row>
    <row r="698" ht="15.75" customHeight="1">
      <c r="A698" s="18">
        <f t="shared" si="3"/>
        <v>45801</v>
      </c>
      <c r="B698" s="19">
        <f t="shared" si="1"/>
        <v>45799</v>
      </c>
      <c r="C698" s="23" t="s">
        <v>530</v>
      </c>
      <c r="D698" s="5" t="s">
        <v>531</v>
      </c>
      <c r="E698" s="9" t="s">
        <v>123</v>
      </c>
      <c r="F698" s="9" t="str">
        <f t="array" ref="F698:G698">XLOOKUP($E698,product_epicenter!$A$2:$A$101,product_epicenter!$B$2:$C$101)</f>
        <v>Grapes 1kg </v>
      </c>
      <c r="G698" s="21">
        <v>150.0</v>
      </c>
      <c r="H698" s="9">
        <v>5.0</v>
      </c>
      <c r="I698" s="21">
        <f t="shared" si="2"/>
        <v>750</v>
      </c>
    </row>
    <row r="699" ht="15.75" customHeight="1">
      <c r="A699" s="18">
        <f t="shared" si="3"/>
        <v>45801</v>
      </c>
      <c r="B699" s="19">
        <f t="shared" si="1"/>
        <v>45799</v>
      </c>
      <c r="C699" s="23" t="s">
        <v>532</v>
      </c>
      <c r="D699" s="5" t="s">
        <v>533</v>
      </c>
      <c r="E699" s="9" t="s">
        <v>69</v>
      </c>
      <c r="F699" s="9" t="str">
        <f t="array" ref="F699:G699">XLOOKUP($E699,product_epicenter!$A$2:$A$101,product_epicenter!$B$2:$C$101)</f>
        <v>Detergent Powder 1kg </v>
      </c>
      <c r="G699" s="21">
        <v>150.0</v>
      </c>
      <c r="H699" s="9">
        <v>7.0</v>
      </c>
      <c r="I699" s="21">
        <f t="shared" si="2"/>
        <v>1050</v>
      </c>
    </row>
    <row r="700" ht="15.75" customHeight="1">
      <c r="A700" s="18">
        <f t="shared" si="3"/>
        <v>45801</v>
      </c>
      <c r="B700" s="19">
        <f t="shared" si="1"/>
        <v>45799</v>
      </c>
      <c r="C700" s="23" t="s">
        <v>532</v>
      </c>
      <c r="D700" s="5" t="s">
        <v>533</v>
      </c>
      <c r="E700" s="9" t="s">
        <v>11</v>
      </c>
      <c r="F700" s="9" t="str">
        <f t="array" ref="F700:G700">XLOOKUP($E700,product_epicenter!$A$2:$A$101,product_epicenter!$B$2:$C$101)</f>
        <v>Turmeric 100g </v>
      </c>
      <c r="G700" s="21">
        <v>200.0</v>
      </c>
      <c r="H700" s="9">
        <v>4.0</v>
      </c>
      <c r="I700" s="21">
        <f t="shared" si="2"/>
        <v>800</v>
      </c>
    </row>
    <row r="701" ht="15.75" customHeight="1">
      <c r="A701" s="18">
        <f t="shared" si="3"/>
        <v>45801</v>
      </c>
      <c r="B701" s="19">
        <f t="shared" si="1"/>
        <v>45799</v>
      </c>
      <c r="C701" s="23" t="s">
        <v>532</v>
      </c>
      <c r="D701" s="5" t="s">
        <v>533</v>
      </c>
      <c r="E701" s="9" t="s">
        <v>11</v>
      </c>
      <c r="F701" s="9" t="str">
        <f t="array" ref="F701:G701">XLOOKUP($E701,product_epicenter!$A$2:$A$101,product_epicenter!$B$2:$C$101)</f>
        <v>Turmeric 100g </v>
      </c>
      <c r="G701" s="21">
        <v>200.0</v>
      </c>
      <c r="H701" s="9">
        <v>6.0</v>
      </c>
      <c r="I701" s="21">
        <f t="shared" si="2"/>
        <v>1200</v>
      </c>
    </row>
    <row r="702" ht="15.75" customHeight="1">
      <c r="A702" s="18">
        <f t="shared" si="3"/>
        <v>45801</v>
      </c>
      <c r="B702" s="19">
        <f t="shared" si="1"/>
        <v>45799</v>
      </c>
      <c r="C702" s="23" t="s">
        <v>532</v>
      </c>
      <c r="D702" s="5" t="s">
        <v>533</v>
      </c>
      <c r="E702" s="9" t="s">
        <v>119</v>
      </c>
      <c r="F702" s="9" t="str">
        <f t="array" ref="F702:G702">XLOOKUP($E702,product_epicenter!$A$2:$A$101,product_epicenter!$B$2:$C$101)</f>
        <v>Black Tea 250g </v>
      </c>
      <c r="G702" s="21">
        <v>300.0</v>
      </c>
      <c r="H702" s="9">
        <v>8.0</v>
      </c>
      <c r="I702" s="21">
        <f t="shared" si="2"/>
        <v>2400</v>
      </c>
    </row>
    <row r="703" ht="15.75" customHeight="1">
      <c r="A703" s="18">
        <f t="shared" si="3"/>
        <v>45801</v>
      </c>
      <c r="B703" s="19">
        <f t="shared" si="1"/>
        <v>45799</v>
      </c>
      <c r="C703" s="23" t="s">
        <v>534</v>
      </c>
      <c r="D703" s="5" t="s">
        <v>535</v>
      </c>
      <c r="E703" s="9" t="s">
        <v>3</v>
      </c>
      <c r="F703" s="9" t="str">
        <f t="array" ref="F703:G703">XLOOKUP($E703,product_epicenter!$A$2:$A$101,product_epicenter!$B$2:$C$101)</f>
        <v>Rice 1kg </v>
      </c>
      <c r="G703" s="21">
        <v>60.0</v>
      </c>
      <c r="H703" s="9">
        <v>8.0</v>
      </c>
      <c r="I703" s="21">
        <f t="shared" si="2"/>
        <v>480</v>
      </c>
    </row>
    <row r="704" ht="15.75" customHeight="1">
      <c r="A704" s="18">
        <f t="shared" si="3"/>
        <v>45801</v>
      </c>
      <c r="B704" s="19">
        <f t="shared" si="1"/>
        <v>45799</v>
      </c>
      <c r="C704" s="23" t="s">
        <v>534</v>
      </c>
      <c r="D704" s="5" t="s">
        <v>535</v>
      </c>
      <c r="E704" s="9" t="s">
        <v>151</v>
      </c>
      <c r="F704" s="9" t="str">
        <f t="array" ref="F704:G704">XLOOKUP($E704,product_epicenter!$A$2:$A$101,product_epicenter!$B$2:$C$101)</f>
        <v>Cake Mix 1 box </v>
      </c>
      <c r="G704" s="21">
        <v>200.0</v>
      </c>
      <c r="H704" s="9">
        <v>9.0</v>
      </c>
      <c r="I704" s="21">
        <f t="shared" si="2"/>
        <v>1800</v>
      </c>
    </row>
    <row r="705" ht="15.75" customHeight="1">
      <c r="A705" s="18">
        <f t="shared" si="3"/>
        <v>45801</v>
      </c>
      <c r="B705" s="19">
        <f t="shared" si="1"/>
        <v>45799</v>
      </c>
      <c r="C705" s="23" t="s">
        <v>534</v>
      </c>
      <c r="D705" s="5" t="s">
        <v>535</v>
      </c>
      <c r="E705" s="9" t="s">
        <v>45</v>
      </c>
      <c r="F705" s="9" t="str">
        <f t="array" ref="F705:G705">XLOOKUP($E705,product_epicenter!$A$2:$A$101,product_epicenter!$B$2:$C$101)</f>
        <v>Onions 1kg </v>
      </c>
      <c r="G705" s="21">
        <v>40.0</v>
      </c>
      <c r="H705" s="9">
        <v>7.0</v>
      </c>
      <c r="I705" s="21">
        <f t="shared" si="2"/>
        <v>280</v>
      </c>
    </row>
    <row r="706" ht="15.75" customHeight="1">
      <c r="A706" s="18">
        <f t="shared" si="3"/>
        <v>45801</v>
      </c>
      <c r="B706" s="19">
        <f t="shared" si="1"/>
        <v>45799</v>
      </c>
      <c r="C706" s="23" t="s">
        <v>536</v>
      </c>
      <c r="D706" s="5" t="s">
        <v>537</v>
      </c>
      <c r="E706" s="9" t="s">
        <v>11</v>
      </c>
      <c r="F706" s="9" t="str">
        <f t="array" ref="F706:G706">XLOOKUP($E706,product_epicenter!$A$2:$A$101,product_epicenter!$B$2:$C$101)</f>
        <v>Turmeric 100g </v>
      </c>
      <c r="G706" s="21">
        <v>200.0</v>
      </c>
      <c r="H706" s="9">
        <v>6.0</v>
      </c>
      <c r="I706" s="21">
        <f t="shared" si="2"/>
        <v>1200</v>
      </c>
    </row>
    <row r="707" ht="15.75" customHeight="1">
      <c r="A707" s="18">
        <f t="shared" si="3"/>
        <v>45801</v>
      </c>
      <c r="B707" s="19">
        <f t="shared" si="1"/>
        <v>45799</v>
      </c>
      <c r="C707" s="23" t="s">
        <v>536</v>
      </c>
      <c r="D707" s="5" t="s">
        <v>537</v>
      </c>
      <c r="E707" s="9" t="s">
        <v>145</v>
      </c>
      <c r="F707" s="9" t="str">
        <f t="array" ref="F707:G707">XLOOKUP($E707,product_epicenter!$A$2:$A$101,product_epicenter!$B$2:$C$101)</f>
        <v>Quinoa 500g </v>
      </c>
      <c r="G707" s="21">
        <v>350.0</v>
      </c>
      <c r="H707" s="9">
        <v>4.0</v>
      </c>
      <c r="I707" s="21">
        <f t="shared" si="2"/>
        <v>1400</v>
      </c>
    </row>
    <row r="708" ht="15.75" customHeight="1">
      <c r="A708" s="18">
        <f t="shared" si="3"/>
        <v>45801</v>
      </c>
      <c r="B708" s="19">
        <f t="shared" si="1"/>
        <v>45799</v>
      </c>
      <c r="C708" s="23" t="s">
        <v>536</v>
      </c>
      <c r="D708" s="5" t="s">
        <v>537</v>
      </c>
      <c r="E708" s="9" t="s">
        <v>171</v>
      </c>
      <c r="F708" s="9" t="str">
        <f t="array" ref="F708:G708">XLOOKUP($E708,product_epicenter!$A$2:$A$101,product_epicenter!$B$2:$C$101)</f>
        <v>Mineral Water 1 litre </v>
      </c>
      <c r="G708" s="21">
        <v>20.0</v>
      </c>
      <c r="H708" s="9">
        <v>3.0</v>
      </c>
      <c r="I708" s="21">
        <f t="shared" si="2"/>
        <v>60</v>
      </c>
    </row>
    <row r="709" ht="15.75" customHeight="1">
      <c r="A709" s="18">
        <f t="shared" si="3"/>
        <v>45801</v>
      </c>
      <c r="B709" s="19">
        <f t="shared" si="1"/>
        <v>45799</v>
      </c>
      <c r="C709" s="23" t="s">
        <v>536</v>
      </c>
      <c r="D709" s="5" t="s">
        <v>537</v>
      </c>
      <c r="E709" s="9" t="s">
        <v>35</v>
      </c>
      <c r="F709" s="9" t="str">
        <f t="array" ref="F709:G709">XLOOKUP($E709,product_epicenter!$A$2:$A$101,product_epicenter!$B$2:$C$101)</f>
        <v>Fish 1kg </v>
      </c>
      <c r="G709" s="21">
        <v>300.0</v>
      </c>
      <c r="H709" s="9">
        <v>1.0</v>
      </c>
      <c r="I709" s="21">
        <f t="shared" si="2"/>
        <v>300</v>
      </c>
    </row>
    <row r="710" ht="15.75" customHeight="1">
      <c r="A710" s="18">
        <f t="shared" si="3"/>
        <v>45801</v>
      </c>
      <c r="B710" s="19">
        <f t="shared" si="1"/>
        <v>45799</v>
      </c>
      <c r="C710" s="23" t="s">
        <v>538</v>
      </c>
      <c r="D710" s="5" t="s">
        <v>539</v>
      </c>
      <c r="E710" s="9" t="s">
        <v>143</v>
      </c>
      <c r="F710" s="9" t="str">
        <f t="array" ref="F710:G710">XLOOKUP($E710,product_epicenter!$A$2:$A$101,product_epicenter!$B$2:$C$101)</f>
        <v>Brown Rice 1kg </v>
      </c>
      <c r="G710" s="21">
        <v>100.0</v>
      </c>
      <c r="H710" s="9">
        <v>2.0</v>
      </c>
      <c r="I710" s="21">
        <f t="shared" si="2"/>
        <v>200</v>
      </c>
    </row>
    <row r="711" ht="15.75" customHeight="1">
      <c r="A711" s="18">
        <f t="shared" si="3"/>
        <v>45801</v>
      </c>
      <c r="B711" s="19">
        <f t="shared" si="1"/>
        <v>45799</v>
      </c>
      <c r="C711" s="23" t="s">
        <v>538</v>
      </c>
      <c r="D711" s="5" t="s">
        <v>539</v>
      </c>
      <c r="E711" s="9" t="s">
        <v>45</v>
      </c>
      <c r="F711" s="9" t="str">
        <f t="array" ref="F711:G711">XLOOKUP($E711,product_epicenter!$A$2:$A$101,product_epicenter!$B$2:$C$101)</f>
        <v>Onions 1kg </v>
      </c>
      <c r="G711" s="21">
        <v>40.0</v>
      </c>
      <c r="H711" s="9">
        <v>4.0</v>
      </c>
      <c r="I711" s="21">
        <f t="shared" si="2"/>
        <v>160</v>
      </c>
    </row>
    <row r="712" ht="15.75" customHeight="1">
      <c r="A712" s="18">
        <f t="shared" si="3"/>
        <v>45801</v>
      </c>
      <c r="B712" s="19">
        <f t="shared" si="1"/>
        <v>45799</v>
      </c>
      <c r="C712" s="23" t="s">
        <v>538</v>
      </c>
      <c r="D712" s="5" t="s">
        <v>539</v>
      </c>
      <c r="E712" s="9" t="s">
        <v>87</v>
      </c>
      <c r="F712" s="9" t="str">
        <f t="array" ref="F712:G712">XLOOKUP($E712,product_epicenter!$A$2:$A$101,product_epicenter!$B$2:$C$101)</f>
        <v>Coriander Powder 100g </v>
      </c>
      <c r="G712" s="21">
        <v>50.0</v>
      </c>
      <c r="H712" s="9">
        <v>5.0</v>
      </c>
      <c r="I712" s="21">
        <f t="shared" si="2"/>
        <v>250</v>
      </c>
    </row>
    <row r="713" ht="15.75" customHeight="1">
      <c r="A713" s="18">
        <f t="shared" si="3"/>
        <v>45801</v>
      </c>
      <c r="B713" s="19">
        <f t="shared" si="1"/>
        <v>45799</v>
      </c>
      <c r="C713" s="23" t="s">
        <v>540</v>
      </c>
      <c r="D713" s="5" t="s">
        <v>541</v>
      </c>
      <c r="E713" s="9" t="s">
        <v>59</v>
      </c>
      <c r="F713" s="9" t="str">
        <f t="array" ref="F713:G713">XLOOKUP($E713,product_epicenter!$A$2:$A$101,product_epicenter!$B$2:$C$101)</f>
        <v>Cold Drink 1 litre </v>
      </c>
      <c r="G713" s="21">
        <v>100.0</v>
      </c>
      <c r="H713" s="9">
        <v>2.0</v>
      </c>
      <c r="I713" s="21">
        <f t="shared" si="2"/>
        <v>200</v>
      </c>
    </row>
    <row r="714" ht="15.75" customHeight="1">
      <c r="A714" s="18">
        <f t="shared" si="3"/>
        <v>45801</v>
      </c>
      <c r="B714" s="19">
        <f t="shared" si="1"/>
        <v>45799</v>
      </c>
      <c r="C714" s="23" t="s">
        <v>540</v>
      </c>
      <c r="D714" s="5" t="s">
        <v>541</v>
      </c>
      <c r="E714" s="9" t="s">
        <v>53</v>
      </c>
      <c r="F714" s="9" t="str">
        <f t="array" ref="F714:G714">XLOOKUP($E714,product_epicenter!$A$2:$A$101,product_epicenter!$B$2:$C$101)</f>
        <v>Ginger 250g </v>
      </c>
      <c r="G714" s="21">
        <v>40.0</v>
      </c>
      <c r="H714" s="9">
        <v>5.0</v>
      </c>
      <c r="I714" s="21">
        <f t="shared" si="2"/>
        <v>200</v>
      </c>
    </row>
    <row r="715" ht="15.75" customHeight="1">
      <c r="A715" s="18">
        <f t="shared" si="3"/>
        <v>45801</v>
      </c>
      <c r="B715" s="19">
        <f t="shared" si="1"/>
        <v>45799</v>
      </c>
      <c r="C715" s="23" t="s">
        <v>540</v>
      </c>
      <c r="D715" s="5" t="s">
        <v>541</v>
      </c>
      <c r="E715" s="9" t="s">
        <v>51</v>
      </c>
      <c r="F715" s="9" t="str">
        <f t="array" ref="F715:G715">XLOOKUP($E715,product_epicenter!$A$2:$A$101,product_epicenter!$B$2:$C$101)</f>
        <v>Garlic 250g </v>
      </c>
      <c r="G715" s="21">
        <v>50.0</v>
      </c>
      <c r="H715" s="9">
        <v>3.0</v>
      </c>
      <c r="I715" s="21">
        <f t="shared" si="2"/>
        <v>150</v>
      </c>
    </row>
    <row r="716" ht="15.75" customHeight="1">
      <c r="A716" s="18">
        <f t="shared" si="3"/>
        <v>45801</v>
      </c>
      <c r="B716" s="19">
        <f t="shared" si="1"/>
        <v>45799</v>
      </c>
      <c r="C716" s="23" t="s">
        <v>542</v>
      </c>
      <c r="D716" s="5" t="s">
        <v>543</v>
      </c>
      <c r="E716" s="9" t="s">
        <v>137</v>
      </c>
      <c r="F716" s="9" t="str">
        <f t="array" ref="F716:G716">XLOOKUP($E716,product_epicenter!$A$2:$A$101,product_epicenter!$B$2:$C$101)</f>
        <v>Peanut 1kg </v>
      </c>
      <c r="G716" s="21">
        <v>180.0</v>
      </c>
      <c r="H716" s="9">
        <v>6.0</v>
      </c>
      <c r="I716" s="21">
        <f t="shared" si="2"/>
        <v>1080</v>
      </c>
    </row>
    <row r="717" ht="15.75" customHeight="1">
      <c r="A717" s="18">
        <f t="shared" si="3"/>
        <v>45801</v>
      </c>
      <c r="B717" s="19">
        <f t="shared" si="1"/>
        <v>45799</v>
      </c>
      <c r="C717" s="23" t="s">
        <v>542</v>
      </c>
      <c r="D717" s="5" t="s">
        <v>543</v>
      </c>
      <c r="E717" s="9" t="s">
        <v>85</v>
      </c>
      <c r="F717" s="9" t="str">
        <f t="array" ref="F717:G717">XLOOKUP($E717,product_epicenter!$A$2:$A$101,product_epicenter!$B$2:$C$101)</f>
        <v>Cumin Seeds 100g </v>
      </c>
      <c r="G717" s="21">
        <v>40.0</v>
      </c>
      <c r="H717" s="9">
        <v>8.0</v>
      </c>
      <c r="I717" s="21">
        <f t="shared" si="2"/>
        <v>320</v>
      </c>
    </row>
    <row r="718" ht="15.75" customHeight="1">
      <c r="A718" s="18">
        <f t="shared" si="3"/>
        <v>45801</v>
      </c>
      <c r="B718" s="19">
        <f t="shared" si="1"/>
        <v>45799</v>
      </c>
      <c r="C718" s="23" t="s">
        <v>542</v>
      </c>
      <c r="D718" s="5" t="s">
        <v>543</v>
      </c>
      <c r="E718" s="9" t="s">
        <v>117</v>
      </c>
      <c r="F718" s="9" t="str">
        <f t="array" ref="F718:G718">XLOOKUP($E718,product_epicenter!$A$2:$A$101,product_epicenter!$B$2:$C$101)</f>
        <v>Green Tea 250g </v>
      </c>
      <c r="G718" s="21">
        <v>350.0</v>
      </c>
      <c r="H718" s="9">
        <v>7.0</v>
      </c>
      <c r="I718" s="21">
        <f t="shared" si="2"/>
        <v>2450</v>
      </c>
    </row>
    <row r="719" ht="15.75" customHeight="1">
      <c r="A719" s="18">
        <f t="shared" si="3"/>
        <v>45801</v>
      </c>
      <c r="B719" s="19">
        <f t="shared" si="1"/>
        <v>45799</v>
      </c>
      <c r="C719" s="23" t="s">
        <v>542</v>
      </c>
      <c r="D719" s="5" t="s">
        <v>543</v>
      </c>
      <c r="E719" s="9" t="s">
        <v>77</v>
      </c>
      <c r="F719" s="9" t="str">
        <f t="array" ref="F719:G719">XLOOKUP($E719,product_epicenter!$A$2:$A$101,product_epicenter!$B$2:$C$101)</f>
        <v>Mosquito Repellent 1 pack </v>
      </c>
      <c r="G719" s="21">
        <v>90.0</v>
      </c>
      <c r="H719" s="9">
        <v>5.0</v>
      </c>
      <c r="I719" s="21">
        <f t="shared" si="2"/>
        <v>450</v>
      </c>
    </row>
    <row r="720" ht="15.75" customHeight="1">
      <c r="A720" s="18">
        <f t="shared" si="3"/>
        <v>45801</v>
      </c>
      <c r="B720" s="19">
        <f t="shared" si="1"/>
        <v>45799</v>
      </c>
      <c r="C720" s="23" t="s">
        <v>544</v>
      </c>
      <c r="D720" s="5" t="s">
        <v>545</v>
      </c>
      <c r="E720" s="9" t="s">
        <v>155</v>
      </c>
      <c r="F720" s="9" t="str">
        <f t="array" ref="F720:G720">XLOOKUP($E720,product_epicenter!$A$2:$A$101,product_epicenter!$B$2:$C$101)</f>
        <v>Whipped Cream 500ml </v>
      </c>
      <c r="G720" s="21">
        <v>250.0</v>
      </c>
      <c r="H720" s="9">
        <v>7.0</v>
      </c>
      <c r="I720" s="21">
        <f t="shared" si="2"/>
        <v>1750</v>
      </c>
    </row>
    <row r="721" ht="15.75" customHeight="1">
      <c r="A721" s="18">
        <f t="shared" si="3"/>
        <v>45801</v>
      </c>
      <c r="B721" s="19">
        <f t="shared" si="1"/>
        <v>45799</v>
      </c>
      <c r="C721" s="23" t="s">
        <v>544</v>
      </c>
      <c r="D721" s="5" t="s">
        <v>545</v>
      </c>
      <c r="E721" s="9" t="s">
        <v>177</v>
      </c>
      <c r="F721" s="9" t="str">
        <f t="array" ref="F721:G721">XLOOKUP($E721,product_epicenter!$A$2:$A$101,product_epicenter!$B$2:$C$101)</f>
        <v>Juice 1 litre </v>
      </c>
      <c r="G721" s="21">
        <v>150.0</v>
      </c>
      <c r="H721" s="9">
        <v>1.0</v>
      </c>
      <c r="I721" s="21">
        <f t="shared" si="2"/>
        <v>150</v>
      </c>
    </row>
    <row r="722" ht="15.75" customHeight="1">
      <c r="A722" s="18">
        <f t="shared" si="3"/>
        <v>45801</v>
      </c>
      <c r="B722" s="19">
        <f t="shared" si="1"/>
        <v>45799</v>
      </c>
      <c r="C722" s="23" t="s">
        <v>544</v>
      </c>
      <c r="D722" s="5" t="s">
        <v>545</v>
      </c>
      <c r="E722" s="9" t="s">
        <v>41</v>
      </c>
      <c r="F722" s="9" t="str">
        <f t="array" ref="F722:G722">XLOOKUP($E722,product_epicenter!$A$2:$A$101,product_epicenter!$B$2:$C$101)</f>
        <v>Oranges 1kg </v>
      </c>
      <c r="G722" s="21">
        <v>100.0</v>
      </c>
      <c r="H722" s="9">
        <v>8.0</v>
      </c>
      <c r="I722" s="21">
        <f t="shared" si="2"/>
        <v>800</v>
      </c>
    </row>
    <row r="723" ht="15.75" customHeight="1">
      <c r="A723" s="18">
        <f t="shared" si="3"/>
        <v>45801</v>
      </c>
      <c r="B723" s="19">
        <f t="shared" si="1"/>
        <v>45799</v>
      </c>
      <c r="C723" s="23" t="s">
        <v>546</v>
      </c>
      <c r="D723" s="5" t="s">
        <v>547</v>
      </c>
      <c r="E723" s="9" t="s">
        <v>21</v>
      </c>
      <c r="F723" s="9" t="str">
        <f t="array" ref="F723:G723">XLOOKUP($E723,product_epicenter!$A$2:$A$101,product_epicenter!$B$2:$C$101)</f>
        <v>Salt 1kg </v>
      </c>
      <c r="G723" s="21">
        <v>20.0</v>
      </c>
      <c r="H723" s="9">
        <v>1.0</v>
      </c>
      <c r="I723" s="21">
        <f t="shared" si="2"/>
        <v>20</v>
      </c>
    </row>
    <row r="724" ht="15.75" customHeight="1">
      <c r="A724" s="18">
        <f t="shared" si="3"/>
        <v>45801</v>
      </c>
      <c r="B724" s="19">
        <f t="shared" si="1"/>
        <v>45799</v>
      </c>
      <c r="C724" s="23" t="s">
        <v>546</v>
      </c>
      <c r="D724" s="5" t="s">
        <v>547</v>
      </c>
      <c r="E724" s="9" t="s">
        <v>157</v>
      </c>
      <c r="F724" s="9" t="str">
        <f t="array" ref="F724:G724">XLOOKUP($E724,product_epicenter!$A$2:$A$101,product_epicenter!$B$2:$C$101)</f>
        <v>Butter Paper 1 roll </v>
      </c>
      <c r="G724" s="21">
        <v>100.0</v>
      </c>
      <c r="H724" s="9">
        <v>8.0</v>
      </c>
      <c r="I724" s="21">
        <f t="shared" si="2"/>
        <v>800</v>
      </c>
    </row>
    <row r="725" ht="15.75" customHeight="1">
      <c r="A725" s="18">
        <f t="shared" si="3"/>
        <v>45801</v>
      </c>
      <c r="B725" s="19">
        <f t="shared" si="1"/>
        <v>45799</v>
      </c>
      <c r="C725" s="23" t="s">
        <v>546</v>
      </c>
      <c r="D725" s="5" t="s">
        <v>547</v>
      </c>
      <c r="E725" s="9" t="s">
        <v>97</v>
      </c>
      <c r="F725" s="9" t="str">
        <f t="array" ref="F725:G725">XLOOKUP($E725,product_epicenter!$A$2:$A$101,product_epicenter!$B$2:$C$101)</f>
        <v>Noodles 500g </v>
      </c>
      <c r="G725" s="21">
        <v>100.0</v>
      </c>
      <c r="H725" s="9">
        <v>1.0</v>
      </c>
      <c r="I725" s="21">
        <f t="shared" si="2"/>
        <v>100</v>
      </c>
    </row>
    <row r="726" ht="15.75" customHeight="1">
      <c r="A726" s="18">
        <f t="shared" si="3"/>
        <v>45801</v>
      </c>
      <c r="B726" s="19">
        <f t="shared" si="1"/>
        <v>45799</v>
      </c>
      <c r="C726" s="23" t="s">
        <v>546</v>
      </c>
      <c r="D726" s="5" t="s">
        <v>547</v>
      </c>
      <c r="E726" s="9" t="s">
        <v>63</v>
      </c>
      <c r="F726" s="9" t="str">
        <f t="array" ref="F726:G726">XLOOKUP($E726,product_epicenter!$A$2:$A$101,product_epicenter!$B$2:$C$101)</f>
        <v>Shampoo 1 bottle </v>
      </c>
      <c r="G726" s="21">
        <v>200.0</v>
      </c>
      <c r="H726" s="9">
        <v>3.0</v>
      </c>
      <c r="I726" s="21">
        <f t="shared" si="2"/>
        <v>600</v>
      </c>
    </row>
    <row r="727" ht="15.75" customHeight="1">
      <c r="A727" s="18">
        <f t="shared" si="3"/>
        <v>45801</v>
      </c>
      <c r="B727" s="19">
        <f t="shared" si="1"/>
        <v>45799</v>
      </c>
      <c r="C727" s="23" t="s">
        <v>546</v>
      </c>
      <c r="D727" s="5" t="s">
        <v>547</v>
      </c>
      <c r="E727" s="9" t="s">
        <v>77</v>
      </c>
      <c r="F727" s="9" t="str">
        <f t="array" ref="F727:G727">XLOOKUP($E727,product_epicenter!$A$2:$A$101,product_epicenter!$B$2:$C$101)</f>
        <v>Mosquito Repellent 1 pack </v>
      </c>
      <c r="G727" s="21">
        <v>90.0</v>
      </c>
      <c r="H727" s="9">
        <v>5.0</v>
      </c>
      <c r="I727" s="21">
        <f t="shared" si="2"/>
        <v>450</v>
      </c>
    </row>
    <row r="728" ht="15.75" customHeight="1">
      <c r="A728" s="18">
        <f t="shared" si="3"/>
        <v>45801</v>
      </c>
      <c r="B728" s="19">
        <f t="shared" si="1"/>
        <v>45799</v>
      </c>
      <c r="C728" s="23" t="s">
        <v>548</v>
      </c>
      <c r="D728" s="5" t="s">
        <v>549</v>
      </c>
      <c r="E728" s="9" t="s">
        <v>55</v>
      </c>
      <c r="F728" s="9" t="str">
        <f t="array" ref="F728:G728">XLOOKUP($E728,product_epicenter!$A$2:$A$101,product_epicenter!$B$2:$C$101)</f>
        <v>Biscuits 1 pack </v>
      </c>
      <c r="G728" s="21">
        <v>30.0</v>
      </c>
      <c r="H728" s="9">
        <v>5.0</v>
      </c>
      <c r="I728" s="21">
        <f t="shared" si="2"/>
        <v>150</v>
      </c>
    </row>
    <row r="729" ht="15.75" customHeight="1">
      <c r="A729" s="18">
        <f t="shared" si="3"/>
        <v>45801</v>
      </c>
      <c r="B729" s="19">
        <f t="shared" si="1"/>
        <v>45799</v>
      </c>
      <c r="C729" s="23" t="s">
        <v>548</v>
      </c>
      <c r="D729" s="5" t="s">
        <v>549</v>
      </c>
      <c r="E729" s="9" t="s">
        <v>67</v>
      </c>
      <c r="F729" s="9" t="str">
        <f t="array" ref="F729:G729">XLOOKUP($E729,product_epicenter!$A$2:$A$101,product_epicenter!$B$2:$C$101)</f>
        <v>Toothpaste 1 tube </v>
      </c>
      <c r="G729" s="21">
        <v>80.0</v>
      </c>
      <c r="H729" s="9">
        <v>7.0</v>
      </c>
      <c r="I729" s="21">
        <f t="shared" si="2"/>
        <v>560</v>
      </c>
    </row>
    <row r="730" ht="15.75" customHeight="1">
      <c r="A730" s="18">
        <f t="shared" si="3"/>
        <v>45801</v>
      </c>
      <c r="B730" s="19">
        <f t="shared" si="1"/>
        <v>45799</v>
      </c>
      <c r="C730" s="23" t="s">
        <v>548</v>
      </c>
      <c r="D730" s="5" t="s">
        <v>549</v>
      </c>
      <c r="E730" s="9" t="s">
        <v>95</v>
      </c>
      <c r="F730" s="9" t="str">
        <f t="array" ref="F730:G730">XLOOKUP($E730,product_epicenter!$A$2:$A$101,product_epicenter!$B$2:$C$101)</f>
        <v>Pasta 500g </v>
      </c>
      <c r="G730" s="21">
        <v>150.0</v>
      </c>
      <c r="H730" s="9">
        <v>4.0</v>
      </c>
      <c r="I730" s="21">
        <f t="shared" si="2"/>
        <v>600</v>
      </c>
    </row>
    <row r="731" ht="15.75" customHeight="1">
      <c r="A731" s="18">
        <f t="shared" si="3"/>
        <v>45801</v>
      </c>
      <c r="B731" s="19">
        <f t="shared" si="1"/>
        <v>45799</v>
      </c>
      <c r="C731" s="23" t="s">
        <v>548</v>
      </c>
      <c r="D731" s="5" t="s">
        <v>549</v>
      </c>
      <c r="E731" s="9" t="s">
        <v>121</v>
      </c>
      <c r="F731" s="9" t="str">
        <f t="array" ref="F731:G731">XLOOKUP($E731,product_epicenter!$A$2:$A$101,product_epicenter!$B$2:$C$101)</f>
        <v>Lemon 1kg </v>
      </c>
      <c r="G731" s="21">
        <v>80.0</v>
      </c>
      <c r="H731" s="9">
        <v>7.0</v>
      </c>
      <c r="I731" s="21">
        <f t="shared" si="2"/>
        <v>560</v>
      </c>
    </row>
    <row r="732" ht="15.75" customHeight="1">
      <c r="A732" s="18">
        <f t="shared" si="3"/>
        <v>45801</v>
      </c>
      <c r="B732" s="19">
        <f t="shared" si="1"/>
        <v>45799</v>
      </c>
      <c r="C732" s="23" t="s">
        <v>548</v>
      </c>
      <c r="D732" s="5" t="s">
        <v>549</v>
      </c>
      <c r="E732" s="9" t="s">
        <v>81</v>
      </c>
      <c r="F732" s="9" t="str">
        <f t="array" ref="F732:G732">XLOOKUP($E732,product_epicenter!$A$2:$A$101,product_epicenter!$B$2:$C$101)</f>
        <v>Cooking Oil 1 litre </v>
      </c>
      <c r="G732" s="21">
        <v>120.0</v>
      </c>
      <c r="H732" s="9">
        <v>5.0</v>
      </c>
      <c r="I732" s="21">
        <f t="shared" si="2"/>
        <v>600</v>
      </c>
    </row>
    <row r="733" ht="15.75" customHeight="1">
      <c r="A733" s="18">
        <f t="shared" si="3"/>
        <v>45801</v>
      </c>
      <c r="B733" s="19">
        <f t="shared" si="1"/>
        <v>45799</v>
      </c>
      <c r="C733" s="23" t="s">
        <v>550</v>
      </c>
      <c r="D733" s="5" t="s">
        <v>551</v>
      </c>
      <c r="E733" s="9" t="s">
        <v>165</v>
      </c>
      <c r="F733" s="9" t="str">
        <f t="array" ref="F733:G733">XLOOKUP($E733,product_epicenter!$A$2:$A$101,product_epicenter!$B$2:$C$101)</f>
        <v>Candles 1 pack </v>
      </c>
      <c r="G733" s="21">
        <v>80.0</v>
      </c>
      <c r="H733" s="9">
        <v>7.0</v>
      </c>
      <c r="I733" s="21">
        <f t="shared" si="2"/>
        <v>560</v>
      </c>
    </row>
    <row r="734" ht="15.75" customHeight="1">
      <c r="A734" s="18">
        <f t="shared" si="3"/>
        <v>45801</v>
      </c>
      <c r="B734" s="19">
        <f t="shared" si="1"/>
        <v>45799</v>
      </c>
      <c r="C734" s="23" t="s">
        <v>550</v>
      </c>
      <c r="D734" s="5" t="s">
        <v>551</v>
      </c>
      <c r="E734" s="9" t="s">
        <v>47</v>
      </c>
      <c r="F734" s="9" t="str">
        <f t="array" ref="F734:G734">XLOOKUP($E734,product_epicenter!$A$2:$A$101,product_epicenter!$B$2:$C$101)</f>
        <v>Tomatoes 1kg </v>
      </c>
      <c r="G734" s="21">
        <v>50.0</v>
      </c>
      <c r="H734" s="9">
        <v>1.0</v>
      </c>
      <c r="I734" s="21">
        <f t="shared" si="2"/>
        <v>50</v>
      </c>
    </row>
    <row r="735" ht="15.75" customHeight="1">
      <c r="A735" s="18">
        <f t="shared" si="3"/>
        <v>45801</v>
      </c>
      <c r="B735" s="19">
        <f t="shared" si="1"/>
        <v>45799</v>
      </c>
      <c r="C735" s="23" t="s">
        <v>550</v>
      </c>
      <c r="D735" s="5" t="s">
        <v>551</v>
      </c>
      <c r="E735" s="9" t="s">
        <v>5</v>
      </c>
      <c r="F735" s="9" t="str">
        <f t="array" ref="F735:G735">XLOOKUP($E735,product_epicenter!$A$2:$A$101,product_epicenter!$B$2:$C$101)</f>
        <v>Dal (Lentils) 1kg </v>
      </c>
      <c r="G735" s="21">
        <v>100.0</v>
      </c>
      <c r="H735" s="9">
        <v>5.0</v>
      </c>
      <c r="I735" s="21">
        <f t="shared" si="2"/>
        <v>500</v>
      </c>
    </row>
    <row r="736" ht="15.75" customHeight="1">
      <c r="A736" s="18">
        <f t="shared" si="3"/>
        <v>45801</v>
      </c>
      <c r="B736" s="19">
        <f t="shared" si="1"/>
        <v>45799</v>
      </c>
      <c r="C736" s="23" t="s">
        <v>552</v>
      </c>
      <c r="D736" s="5" t="s">
        <v>553</v>
      </c>
      <c r="E736" s="9" t="s">
        <v>199</v>
      </c>
      <c r="F736" s="9" t="str">
        <f t="array" ref="F736:G736">XLOOKUP($E736,product_epicenter!$A$2:$A$101,product_epicenter!$B$2:$C$101)</f>
        <v>Face Mask 1 pack </v>
      </c>
      <c r="G736" s="21">
        <v>150.0</v>
      </c>
      <c r="H736" s="9">
        <v>1.0</v>
      </c>
      <c r="I736" s="21">
        <f t="shared" si="2"/>
        <v>150</v>
      </c>
    </row>
    <row r="737" ht="15.75" customHeight="1">
      <c r="A737" s="18">
        <f t="shared" si="3"/>
        <v>45801</v>
      </c>
      <c r="B737" s="19">
        <f t="shared" si="1"/>
        <v>45799</v>
      </c>
      <c r="C737" s="23" t="s">
        <v>552</v>
      </c>
      <c r="D737" s="5" t="s">
        <v>553</v>
      </c>
      <c r="E737" s="9" t="s">
        <v>115</v>
      </c>
      <c r="F737" s="9" t="str">
        <f t="array" ref="F737:G737">XLOOKUP($E737,product_epicenter!$A$2:$A$101,product_epicenter!$B$2:$C$101)</f>
        <v>Raisins 500g </v>
      </c>
      <c r="G737" s="21">
        <v>400.0</v>
      </c>
      <c r="H737" s="9">
        <v>9.0</v>
      </c>
      <c r="I737" s="21">
        <f t="shared" si="2"/>
        <v>3600</v>
      </c>
    </row>
    <row r="738" ht="15.75" customHeight="1">
      <c r="A738" s="18">
        <f t="shared" si="3"/>
        <v>45801</v>
      </c>
      <c r="B738" s="19">
        <f t="shared" si="1"/>
        <v>45799</v>
      </c>
      <c r="C738" s="23" t="s">
        <v>552</v>
      </c>
      <c r="D738" s="5" t="s">
        <v>553</v>
      </c>
      <c r="E738" s="9" t="s">
        <v>201</v>
      </c>
      <c r="F738" s="9" t="str">
        <f t="array" ref="F738:G738">XLOOKUP($E738,product_epicenter!$A$2:$A$101,product_epicenter!$B$2:$C$101)</f>
        <v>Cooking Vinegar 500ml </v>
      </c>
      <c r="G738" s="21">
        <v>90.0</v>
      </c>
      <c r="H738" s="9">
        <v>2.0</v>
      </c>
      <c r="I738" s="21">
        <f t="shared" si="2"/>
        <v>180</v>
      </c>
    </row>
    <row r="739" ht="15.75" customHeight="1">
      <c r="A739" s="18">
        <f t="shared" si="3"/>
        <v>45801</v>
      </c>
      <c r="B739" s="19">
        <f t="shared" si="1"/>
        <v>45799</v>
      </c>
      <c r="C739" s="23" t="s">
        <v>554</v>
      </c>
      <c r="D739" s="5" t="s">
        <v>555</v>
      </c>
      <c r="E739" s="9" t="s">
        <v>133</v>
      </c>
      <c r="F739" s="9" t="str">
        <f t="array" ref="F739:G739">XLOOKUP($E739,product_epicenter!$A$2:$A$101,product_epicenter!$B$2:$C$101)</f>
        <v>Paneer 1kg </v>
      </c>
      <c r="G739" s="21">
        <v>400.0</v>
      </c>
      <c r="H739" s="9">
        <v>1.0</v>
      </c>
      <c r="I739" s="21">
        <f t="shared" si="2"/>
        <v>400</v>
      </c>
    </row>
    <row r="740" ht="15.75" customHeight="1">
      <c r="A740" s="18">
        <f t="shared" si="3"/>
        <v>45801</v>
      </c>
      <c r="B740" s="19">
        <f t="shared" si="1"/>
        <v>45799</v>
      </c>
      <c r="C740" s="23" t="s">
        <v>554</v>
      </c>
      <c r="D740" s="5" t="s">
        <v>555</v>
      </c>
      <c r="E740" s="9" t="s">
        <v>35</v>
      </c>
      <c r="F740" s="9" t="str">
        <f t="array" ref="F740:G740">XLOOKUP($E740,product_epicenter!$A$2:$A$101,product_epicenter!$B$2:$C$101)</f>
        <v>Fish 1kg </v>
      </c>
      <c r="G740" s="21">
        <v>300.0</v>
      </c>
      <c r="H740" s="9">
        <v>8.0</v>
      </c>
      <c r="I740" s="21">
        <f t="shared" si="2"/>
        <v>2400</v>
      </c>
    </row>
    <row r="741" ht="15.75" customHeight="1">
      <c r="A741" s="18">
        <f t="shared" si="3"/>
        <v>45801</v>
      </c>
      <c r="B741" s="19">
        <f t="shared" si="1"/>
        <v>45799</v>
      </c>
      <c r="C741" s="23" t="s">
        <v>554</v>
      </c>
      <c r="D741" s="5" t="s">
        <v>555</v>
      </c>
      <c r="E741" s="9" t="s">
        <v>15</v>
      </c>
      <c r="F741" s="9" t="str">
        <f t="array" ref="F741:G741">XLOOKUP($E741,product_epicenter!$A$2:$A$101,product_epicenter!$B$2:$C$101)</f>
        <v>Tea 250g </v>
      </c>
      <c r="G741" s="21">
        <v>155.0</v>
      </c>
      <c r="H741" s="9">
        <v>3.0</v>
      </c>
      <c r="I741" s="21">
        <f t="shared" si="2"/>
        <v>465</v>
      </c>
    </row>
    <row r="742" ht="15.75" customHeight="1">
      <c r="A742" s="18">
        <f t="shared" si="3"/>
        <v>45801</v>
      </c>
      <c r="B742" s="19">
        <f t="shared" si="1"/>
        <v>45799</v>
      </c>
      <c r="C742" s="23" t="s">
        <v>556</v>
      </c>
      <c r="D742" s="5" t="s">
        <v>557</v>
      </c>
      <c r="E742" s="9" t="s">
        <v>25</v>
      </c>
      <c r="F742" s="9" t="str">
        <f t="array" ref="F742:G742">XLOOKUP($E742,product_epicenter!$A$2:$A$101,product_epicenter!$B$2:$C$101)</f>
        <v>Bread 500g </v>
      </c>
      <c r="G742" s="21">
        <v>40.0</v>
      </c>
      <c r="H742" s="9">
        <v>1.0</v>
      </c>
      <c r="I742" s="21">
        <f t="shared" si="2"/>
        <v>40</v>
      </c>
    </row>
    <row r="743" ht="15.75" customHeight="1">
      <c r="A743" s="18">
        <f t="shared" si="3"/>
        <v>45801</v>
      </c>
      <c r="B743" s="19">
        <f t="shared" si="1"/>
        <v>45799</v>
      </c>
      <c r="C743" s="23" t="s">
        <v>556</v>
      </c>
      <c r="D743" s="5" t="s">
        <v>557</v>
      </c>
      <c r="E743" s="9" t="s">
        <v>105</v>
      </c>
      <c r="F743" s="9" t="str">
        <f t="array" ref="F743:G743">XLOOKUP($E743,product_epicenter!$A$2:$A$101,product_epicenter!$B$2:$C$101)</f>
        <v>Jam 500g </v>
      </c>
      <c r="G743" s="21">
        <v>150.0</v>
      </c>
      <c r="H743" s="9">
        <v>2.0</v>
      </c>
      <c r="I743" s="21">
        <f t="shared" si="2"/>
        <v>300</v>
      </c>
    </row>
    <row r="744" ht="15.75" customHeight="1">
      <c r="A744" s="18">
        <f t="shared" si="3"/>
        <v>45801</v>
      </c>
      <c r="B744" s="19">
        <f t="shared" si="1"/>
        <v>45799</v>
      </c>
      <c r="C744" s="23" t="s">
        <v>556</v>
      </c>
      <c r="D744" s="5" t="s">
        <v>557</v>
      </c>
      <c r="E744" s="9" t="s">
        <v>193</v>
      </c>
      <c r="F744" s="9" t="str">
        <f t="array" ref="F744:G744">XLOOKUP($E744,product_epicenter!$A$2:$A$101,product_epicenter!$B$2:$C$101)</f>
        <v>Lip Balm 1 tube </v>
      </c>
      <c r="G744" s="21">
        <v>100.0</v>
      </c>
      <c r="H744" s="9">
        <v>6.0</v>
      </c>
      <c r="I744" s="21">
        <f t="shared" si="2"/>
        <v>600</v>
      </c>
    </row>
    <row r="745" ht="15.75" customHeight="1">
      <c r="A745" s="18">
        <f t="shared" si="3"/>
        <v>45801</v>
      </c>
      <c r="B745" s="19">
        <f t="shared" si="1"/>
        <v>45799</v>
      </c>
      <c r="C745" s="23" t="s">
        <v>556</v>
      </c>
      <c r="D745" s="5" t="s">
        <v>557</v>
      </c>
      <c r="E745" s="9" t="s">
        <v>59</v>
      </c>
      <c r="F745" s="9" t="str">
        <f t="array" ref="F745:G745">XLOOKUP($E745,product_epicenter!$A$2:$A$101,product_epicenter!$B$2:$C$101)</f>
        <v>Cold Drink 1 litre </v>
      </c>
      <c r="G745" s="21">
        <v>100.0</v>
      </c>
      <c r="H745" s="9">
        <v>8.0</v>
      </c>
      <c r="I745" s="21">
        <f t="shared" si="2"/>
        <v>800</v>
      </c>
    </row>
    <row r="746" ht="15.75" customHeight="1">
      <c r="A746" s="18">
        <f t="shared" si="3"/>
        <v>45801</v>
      </c>
      <c r="B746" s="19">
        <f t="shared" si="1"/>
        <v>45799</v>
      </c>
      <c r="C746" s="23" t="s">
        <v>556</v>
      </c>
      <c r="D746" s="5" t="s">
        <v>557</v>
      </c>
      <c r="E746" s="9" t="s">
        <v>125</v>
      </c>
      <c r="F746" s="9" t="str">
        <f t="array" ref="F746:G746">XLOOKUP($E746,product_epicenter!$A$2:$A$101,product_epicenter!$B$2:$C$101)</f>
        <v>Mangoes 1kg </v>
      </c>
      <c r="G746" s="21">
        <v>250.0</v>
      </c>
      <c r="H746" s="9">
        <v>6.0</v>
      </c>
      <c r="I746" s="21">
        <f t="shared" si="2"/>
        <v>1500</v>
      </c>
    </row>
    <row r="747" ht="15.75" customHeight="1">
      <c r="A747" s="18">
        <f t="shared" si="3"/>
        <v>45801</v>
      </c>
      <c r="B747" s="19">
        <f t="shared" si="1"/>
        <v>45799</v>
      </c>
      <c r="C747" s="23" t="s">
        <v>558</v>
      </c>
      <c r="D747" s="5" t="s">
        <v>559</v>
      </c>
      <c r="E747" s="9" t="s">
        <v>25</v>
      </c>
      <c r="F747" s="9" t="str">
        <f t="array" ref="F747:G747">XLOOKUP($E747,product_epicenter!$A$2:$A$101,product_epicenter!$B$2:$C$101)</f>
        <v>Bread 500g </v>
      </c>
      <c r="G747" s="21">
        <v>40.0</v>
      </c>
      <c r="H747" s="9">
        <v>4.0</v>
      </c>
      <c r="I747" s="21">
        <f t="shared" si="2"/>
        <v>160</v>
      </c>
    </row>
    <row r="748" ht="15.75" customHeight="1">
      <c r="A748" s="18">
        <f t="shared" si="3"/>
        <v>45801</v>
      </c>
      <c r="B748" s="19">
        <f t="shared" si="1"/>
        <v>45799</v>
      </c>
      <c r="C748" s="23" t="s">
        <v>558</v>
      </c>
      <c r="D748" s="5" t="s">
        <v>559</v>
      </c>
      <c r="E748" s="9" t="s">
        <v>165</v>
      </c>
      <c r="F748" s="9" t="str">
        <f t="array" ref="F748:G748">XLOOKUP($E748,product_epicenter!$A$2:$A$101,product_epicenter!$B$2:$C$101)</f>
        <v>Candles 1 pack </v>
      </c>
      <c r="G748" s="21">
        <v>80.0</v>
      </c>
      <c r="H748" s="9">
        <v>5.0</v>
      </c>
      <c r="I748" s="21">
        <f t="shared" si="2"/>
        <v>400</v>
      </c>
    </row>
    <row r="749" ht="15.75" customHeight="1">
      <c r="A749" s="18">
        <f t="shared" si="3"/>
        <v>45801</v>
      </c>
      <c r="B749" s="19">
        <f t="shared" si="1"/>
        <v>45799</v>
      </c>
      <c r="C749" s="23" t="s">
        <v>558</v>
      </c>
      <c r="D749" s="5" t="s">
        <v>559</v>
      </c>
      <c r="E749" s="9" t="s">
        <v>69</v>
      </c>
      <c r="F749" s="9" t="str">
        <f t="array" ref="F749:G749">XLOOKUP($E749,product_epicenter!$A$2:$A$101,product_epicenter!$B$2:$C$101)</f>
        <v>Detergent Powder 1kg </v>
      </c>
      <c r="G749" s="21">
        <v>150.0</v>
      </c>
      <c r="H749" s="9">
        <v>8.0</v>
      </c>
      <c r="I749" s="21">
        <f t="shared" si="2"/>
        <v>1200</v>
      </c>
    </row>
    <row r="750" ht="15.75" customHeight="1">
      <c r="A750" s="18">
        <f t="shared" si="3"/>
        <v>45801</v>
      </c>
      <c r="B750" s="19">
        <f t="shared" si="1"/>
        <v>45799</v>
      </c>
      <c r="C750" s="23" t="s">
        <v>558</v>
      </c>
      <c r="D750" s="5" t="s">
        <v>559</v>
      </c>
      <c r="E750" s="9" t="s">
        <v>75</v>
      </c>
      <c r="F750" s="9" t="str">
        <f t="array" ref="F750:G750">XLOOKUP($E750,product_epicenter!$A$2:$A$101,product_epicenter!$B$2:$C$101)</f>
        <v>Toilet Cleaner 1 litre </v>
      </c>
      <c r="G750" s="21">
        <v>120.0</v>
      </c>
      <c r="H750" s="9">
        <v>3.0</v>
      </c>
      <c r="I750" s="21">
        <f t="shared" si="2"/>
        <v>360</v>
      </c>
    </row>
    <row r="751" ht="15.75" customHeight="1">
      <c r="A751" s="18">
        <f t="shared" si="3"/>
        <v>45801</v>
      </c>
      <c r="B751" s="19">
        <f t="shared" si="1"/>
        <v>45799</v>
      </c>
      <c r="C751" s="23" t="s">
        <v>558</v>
      </c>
      <c r="D751" s="5" t="s">
        <v>559</v>
      </c>
      <c r="E751" s="9" t="s">
        <v>161</v>
      </c>
      <c r="F751" s="9" t="str">
        <f t="array" ref="F751:G751">XLOOKUP($E751,product_epicenter!$A$2:$A$101,product_epicenter!$B$2:$C$101)</f>
        <v>Aluminium Foil 1 roll </v>
      </c>
      <c r="G751" s="21">
        <v>120.0</v>
      </c>
      <c r="H751" s="9">
        <v>9.0</v>
      </c>
      <c r="I751" s="21">
        <f t="shared" si="2"/>
        <v>1080</v>
      </c>
    </row>
    <row r="752" ht="15.75" customHeight="1">
      <c r="A752" s="18">
        <f t="shared" si="3"/>
        <v>45801</v>
      </c>
      <c r="B752" s="19">
        <f t="shared" si="1"/>
        <v>45800</v>
      </c>
      <c r="C752" s="23" t="s">
        <v>560</v>
      </c>
      <c r="D752" s="5" t="s">
        <v>561</v>
      </c>
      <c r="E752" s="9" t="s">
        <v>93</v>
      </c>
      <c r="F752" s="9" t="str">
        <f t="array" ref="F752:G752">XLOOKUP($E752,product_epicenter!$A$2:$A$101,product_epicenter!$B$2:$C$101)</f>
        <v>Soy Sauce 500ml </v>
      </c>
      <c r="G752" s="21">
        <v>120.0</v>
      </c>
      <c r="H752" s="9">
        <v>4.0</v>
      </c>
      <c r="I752" s="21">
        <f t="shared" si="2"/>
        <v>480</v>
      </c>
    </row>
    <row r="753" ht="15.75" customHeight="1">
      <c r="A753" s="18">
        <f t="shared" si="3"/>
        <v>45801</v>
      </c>
      <c r="B753" s="19">
        <f t="shared" si="1"/>
        <v>45800</v>
      </c>
      <c r="C753" s="23" t="s">
        <v>560</v>
      </c>
      <c r="D753" s="5" t="s">
        <v>561</v>
      </c>
      <c r="E753" s="9" t="s">
        <v>51</v>
      </c>
      <c r="F753" s="9" t="str">
        <f t="array" ref="F753:G753">XLOOKUP($E753,product_epicenter!$A$2:$A$101,product_epicenter!$B$2:$C$101)</f>
        <v>Garlic 250g </v>
      </c>
      <c r="G753" s="21">
        <v>50.0</v>
      </c>
      <c r="H753" s="9">
        <v>7.0</v>
      </c>
      <c r="I753" s="21">
        <f t="shared" si="2"/>
        <v>350</v>
      </c>
    </row>
    <row r="754" ht="15.75" customHeight="1">
      <c r="A754" s="18">
        <f t="shared" si="3"/>
        <v>45801</v>
      </c>
      <c r="B754" s="19">
        <f t="shared" si="1"/>
        <v>45800</v>
      </c>
      <c r="C754" s="23" t="s">
        <v>560</v>
      </c>
      <c r="D754" s="5" t="s">
        <v>561</v>
      </c>
      <c r="E754" s="9" t="s">
        <v>85</v>
      </c>
      <c r="F754" s="9" t="str">
        <f t="array" ref="F754:G754">XLOOKUP($E754,product_epicenter!$A$2:$A$101,product_epicenter!$B$2:$C$101)</f>
        <v>Cumin Seeds 100g </v>
      </c>
      <c r="G754" s="21">
        <v>40.0</v>
      </c>
      <c r="H754" s="9">
        <v>1.0</v>
      </c>
      <c r="I754" s="21">
        <f t="shared" si="2"/>
        <v>40</v>
      </c>
    </row>
    <row r="755" ht="15.75" customHeight="1">
      <c r="A755" s="18">
        <f t="shared" si="3"/>
        <v>45801</v>
      </c>
      <c r="B755" s="19">
        <f t="shared" si="1"/>
        <v>45800</v>
      </c>
      <c r="C755" s="23" t="s">
        <v>562</v>
      </c>
      <c r="D755" s="5" t="s">
        <v>563</v>
      </c>
      <c r="E755" s="9" t="s">
        <v>101</v>
      </c>
      <c r="F755" s="9" t="str">
        <f t="array" ref="F755:G755">XLOOKUP($E755,product_epicenter!$A$2:$A$101,product_epicenter!$B$2:$C$101)</f>
        <v>Cornflakes 500g </v>
      </c>
      <c r="G755" s="21">
        <v>200.0</v>
      </c>
      <c r="H755" s="9">
        <v>6.0</v>
      </c>
      <c r="I755" s="21">
        <f t="shared" si="2"/>
        <v>1200</v>
      </c>
    </row>
    <row r="756" ht="15.75" customHeight="1">
      <c r="A756" s="18">
        <f t="shared" si="3"/>
        <v>45801</v>
      </c>
      <c r="B756" s="19">
        <f t="shared" si="1"/>
        <v>45800</v>
      </c>
      <c r="C756" s="23" t="s">
        <v>562</v>
      </c>
      <c r="D756" s="5" t="s">
        <v>563</v>
      </c>
      <c r="E756" s="9" t="s">
        <v>125</v>
      </c>
      <c r="F756" s="9" t="str">
        <f t="array" ref="F756:G756">XLOOKUP($E756,product_epicenter!$A$2:$A$101,product_epicenter!$B$2:$C$101)</f>
        <v>Mangoes 1kg </v>
      </c>
      <c r="G756" s="21">
        <v>250.0</v>
      </c>
      <c r="H756" s="9">
        <v>9.0</v>
      </c>
      <c r="I756" s="21">
        <f t="shared" si="2"/>
        <v>2250</v>
      </c>
    </row>
    <row r="757" ht="15.75" customHeight="1">
      <c r="A757" s="18">
        <f t="shared" si="3"/>
        <v>45801</v>
      </c>
      <c r="B757" s="19">
        <f t="shared" si="1"/>
        <v>45800</v>
      </c>
      <c r="C757" s="23" t="s">
        <v>562</v>
      </c>
      <c r="D757" s="5" t="s">
        <v>563</v>
      </c>
      <c r="E757" s="9" t="s">
        <v>67</v>
      </c>
      <c r="F757" s="9" t="str">
        <f t="array" ref="F757:G757">XLOOKUP($E757,product_epicenter!$A$2:$A$101,product_epicenter!$B$2:$C$101)</f>
        <v>Toothpaste 1 tube </v>
      </c>
      <c r="G757" s="21">
        <v>80.0</v>
      </c>
      <c r="H757" s="9">
        <v>1.0</v>
      </c>
      <c r="I757" s="21">
        <f t="shared" si="2"/>
        <v>80</v>
      </c>
    </row>
    <row r="758" ht="15.75" customHeight="1">
      <c r="A758" s="18">
        <f t="shared" si="3"/>
        <v>45801</v>
      </c>
      <c r="B758" s="19">
        <f t="shared" si="1"/>
        <v>45800</v>
      </c>
      <c r="C758" s="23" t="s">
        <v>562</v>
      </c>
      <c r="D758" s="5" t="s">
        <v>563</v>
      </c>
      <c r="E758" s="9" t="s">
        <v>139</v>
      </c>
      <c r="F758" s="9" t="str">
        <f t="array" ref="F758:G758">XLOOKUP($E758,product_epicenter!$A$2:$A$101,product_epicenter!$B$2:$C$101)</f>
        <v>Pickles 500g </v>
      </c>
      <c r="G758" s="21">
        <v>150.0</v>
      </c>
      <c r="H758" s="9">
        <v>9.0</v>
      </c>
      <c r="I758" s="21">
        <f t="shared" si="2"/>
        <v>1350</v>
      </c>
    </row>
    <row r="759" ht="15.75" customHeight="1">
      <c r="A759" s="18">
        <f t="shared" si="3"/>
        <v>45801</v>
      </c>
      <c r="B759" s="19">
        <f t="shared" si="1"/>
        <v>45800</v>
      </c>
      <c r="C759" s="23" t="s">
        <v>562</v>
      </c>
      <c r="D759" s="5" t="s">
        <v>563</v>
      </c>
      <c r="E759" s="9" t="s">
        <v>107</v>
      </c>
      <c r="F759" s="9" t="str">
        <f t="array" ref="F759:G759">XLOOKUP($E759,product_epicenter!$A$2:$A$101,product_epicenter!$B$2:$C$101)</f>
        <v>Peanut Butter 500g </v>
      </c>
      <c r="G759" s="21">
        <v>250.0</v>
      </c>
      <c r="H759" s="9">
        <v>2.0</v>
      </c>
      <c r="I759" s="21">
        <f t="shared" si="2"/>
        <v>500</v>
      </c>
    </row>
    <row r="760" ht="15.75" customHeight="1">
      <c r="A760" s="18">
        <f t="shared" si="3"/>
        <v>45801</v>
      </c>
      <c r="B760" s="19">
        <f t="shared" si="1"/>
        <v>45800</v>
      </c>
      <c r="C760" s="23" t="s">
        <v>564</v>
      </c>
      <c r="D760" s="5" t="s">
        <v>565</v>
      </c>
      <c r="E760" s="9" t="s">
        <v>99</v>
      </c>
      <c r="F760" s="9" t="str">
        <f t="array" ref="F760:G760">XLOOKUP($E760,product_epicenter!$A$2:$A$101,product_epicenter!$B$2:$C$101)</f>
        <v>Oats 1kg </v>
      </c>
      <c r="G760" s="21">
        <v>250.0</v>
      </c>
      <c r="H760" s="9">
        <v>1.0</v>
      </c>
      <c r="I760" s="21">
        <f t="shared" si="2"/>
        <v>250</v>
      </c>
    </row>
    <row r="761" ht="15.75" customHeight="1">
      <c r="A761" s="18">
        <f t="shared" si="3"/>
        <v>45801</v>
      </c>
      <c r="B761" s="19">
        <f t="shared" si="1"/>
        <v>45800</v>
      </c>
      <c r="C761" s="23" t="s">
        <v>564</v>
      </c>
      <c r="D761" s="5" t="s">
        <v>565</v>
      </c>
      <c r="E761" s="9" t="s">
        <v>145</v>
      </c>
      <c r="F761" s="9" t="str">
        <f t="array" ref="F761:G761">XLOOKUP($E761,product_epicenter!$A$2:$A$101,product_epicenter!$B$2:$C$101)</f>
        <v>Quinoa 500g </v>
      </c>
      <c r="G761" s="21">
        <v>350.0</v>
      </c>
      <c r="H761" s="9">
        <v>2.0</v>
      </c>
      <c r="I761" s="21">
        <f t="shared" si="2"/>
        <v>700</v>
      </c>
    </row>
    <row r="762" ht="15.75" customHeight="1">
      <c r="A762" s="18">
        <f t="shared" si="3"/>
        <v>45801</v>
      </c>
      <c r="B762" s="19">
        <f t="shared" si="1"/>
        <v>45800</v>
      </c>
      <c r="C762" s="23" t="s">
        <v>566</v>
      </c>
      <c r="D762" s="5" t="s">
        <v>567</v>
      </c>
      <c r="E762" s="9" t="s">
        <v>143</v>
      </c>
      <c r="F762" s="9" t="str">
        <f t="array" ref="F762:G762">XLOOKUP($E762,product_epicenter!$A$2:$A$101,product_epicenter!$B$2:$C$101)</f>
        <v>Brown Rice 1kg </v>
      </c>
      <c r="G762" s="21">
        <v>100.0</v>
      </c>
      <c r="H762" s="9">
        <v>1.0</v>
      </c>
      <c r="I762" s="21">
        <f t="shared" si="2"/>
        <v>100</v>
      </c>
    </row>
    <row r="763" ht="15.75" customHeight="1">
      <c r="A763" s="18">
        <f t="shared" si="3"/>
        <v>45801</v>
      </c>
      <c r="B763" s="19">
        <f t="shared" si="1"/>
        <v>45800</v>
      </c>
      <c r="C763" s="23" t="s">
        <v>566</v>
      </c>
      <c r="D763" s="5" t="s">
        <v>567</v>
      </c>
      <c r="E763" s="9" t="s">
        <v>201</v>
      </c>
      <c r="F763" s="9" t="str">
        <f t="array" ref="F763:G763">XLOOKUP($E763,product_epicenter!$A$2:$A$101,product_epicenter!$B$2:$C$101)</f>
        <v>Cooking Vinegar 500ml </v>
      </c>
      <c r="G763" s="21">
        <v>90.0</v>
      </c>
      <c r="H763" s="9">
        <v>8.0</v>
      </c>
      <c r="I763" s="21">
        <f t="shared" si="2"/>
        <v>720</v>
      </c>
    </row>
    <row r="764" ht="15.75" customHeight="1">
      <c r="A764" s="18">
        <f t="shared" si="3"/>
        <v>45801</v>
      </c>
      <c r="B764" s="19">
        <f t="shared" si="1"/>
        <v>45800</v>
      </c>
      <c r="C764" s="23" t="s">
        <v>566</v>
      </c>
      <c r="D764" s="5" t="s">
        <v>567</v>
      </c>
      <c r="E764" s="9" t="s">
        <v>143</v>
      </c>
      <c r="F764" s="9" t="str">
        <f t="array" ref="F764:G764">XLOOKUP($E764,product_epicenter!$A$2:$A$101,product_epicenter!$B$2:$C$101)</f>
        <v>Brown Rice 1kg </v>
      </c>
      <c r="G764" s="21">
        <v>100.0</v>
      </c>
      <c r="H764" s="9">
        <v>6.0</v>
      </c>
      <c r="I764" s="21">
        <f t="shared" si="2"/>
        <v>600</v>
      </c>
    </row>
    <row r="765" ht="15.75" customHeight="1">
      <c r="A765" s="18">
        <f t="shared" si="3"/>
        <v>45801</v>
      </c>
      <c r="B765" s="19">
        <f t="shared" si="1"/>
        <v>45800</v>
      </c>
      <c r="C765" s="23" t="s">
        <v>566</v>
      </c>
      <c r="D765" s="5" t="s">
        <v>567</v>
      </c>
      <c r="E765" s="9" t="s">
        <v>187</v>
      </c>
      <c r="F765" s="9" t="str">
        <f t="array" ref="F765:G765">XLOOKUP($E765,product_epicenter!$A$2:$A$101,product_epicenter!$B$2:$C$101)</f>
        <v>Shaving Cream 100g </v>
      </c>
      <c r="G765" s="21">
        <v>150.0</v>
      </c>
      <c r="H765" s="9">
        <v>1.0</v>
      </c>
      <c r="I765" s="21">
        <f t="shared" si="2"/>
        <v>150</v>
      </c>
    </row>
    <row r="766" ht="15.75" customHeight="1">
      <c r="A766" s="18">
        <f t="shared" si="3"/>
        <v>45801</v>
      </c>
      <c r="B766" s="19">
        <f t="shared" si="1"/>
        <v>45800</v>
      </c>
      <c r="C766" s="23" t="s">
        <v>566</v>
      </c>
      <c r="D766" s="5" t="s">
        <v>567</v>
      </c>
      <c r="E766" s="9" t="s">
        <v>33</v>
      </c>
      <c r="F766" s="9" t="str">
        <f t="array" ref="F766:G766">XLOOKUP($E766,product_epicenter!$A$2:$A$101,product_epicenter!$B$2:$C$101)</f>
        <v>Chicken 1kg </v>
      </c>
      <c r="G766" s="21">
        <v>250.0</v>
      </c>
      <c r="H766" s="9">
        <v>3.0</v>
      </c>
      <c r="I766" s="21">
        <f t="shared" si="2"/>
        <v>750</v>
      </c>
    </row>
    <row r="767" ht="15.75" customHeight="1">
      <c r="A767" s="18">
        <f t="shared" si="3"/>
        <v>45801</v>
      </c>
      <c r="B767" s="19">
        <f t="shared" si="1"/>
        <v>45800</v>
      </c>
      <c r="C767" s="23" t="s">
        <v>568</v>
      </c>
      <c r="D767" s="5" t="s">
        <v>569</v>
      </c>
      <c r="E767" s="9" t="s">
        <v>179</v>
      </c>
      <c r="F767" s="9" t="str">
        <f t="array" ref="F767:G767">XLOOKUP($E767,product_epicenter!$A$2:$A$101,product_epicenter!$B$2:$C$101)</f>
        <v>Sports Drink 1 litre </v>
      </c>
      <c r="G767" s="21">
        <v>200.0</v>
      </c>
      <c r="H767" s="9">
        <v>2.0</v>
      </c>
      <c r="I767" s="21">
        <f t="shared" si="2"/>
        <v>400</v>
      </c>
    </row>
    <row r="768" ht="15.75" customHeight="1">
      <c r="A768" s="18">
        <f t="shared" si="3"/>
        <v>45801</v>
      </c>
      <c r="B768" s="19">
        <f t="shared" si="1"/>
        <v>45800</v>
      </c>
      <c r="C768" s="23" t="s">
        <v>568</v>
      </c>
      <c r="D768" s="5" t="s">
        <v>569</v>
      </c>
      <c r="E768" s="9" t="s">
        <v>65</v>
      </c>
      <c r="F768" s="9" t="str">
        <f t="array" ref="F768:G768">XLOOKUP($E768,product_epicenter!$A$2:$A$101,product_epicenter!$B$2:$C$101)</f>
        <v>Soap 1 bar </v>
      </c>
      <c r="G768" s="21">
        <v>40.0</v>
      </c>
      <c r="H768" s="9">
        <v>4.0</v>
      </c>
      <c r="I768" s="21">
        <f t="shared" si="2"/>
        <v>160</v>
      </c>
    </row>
    <row r="769" ht="15.75" customHeight="1">
      <c r="A769" s="18">
        <f t="shared" si="3"/>
        <v>45801</v>
      </c>
      <c r="B769" s="19">
        <f t="shared" si="1"/>
        <v>45800</v>
      </c>
      <c r="C769" s="23" t="s">
        <v>568</v>
      </c>
      <c r="D769" s="5" t="s">
        <v>569</v>
      </c>
      <c r="E769" s="9" t="s">
        <v>191</v>
      </c>
      <c r="F769" s="9" t="str">
        <f t="array" ref="F769:G769">XLOOKUP($E769,product_epicenter!$A$2:$A$101,product_epicenter!$B$2:$C$101)</f>
        <v>Nail Polish 1 bottle </v>
      </c>
      <c r="G769" s="21">
        <v>120.0</v>
      </c>
      <c r="H769" s="9">
        <v>5.0</v>
      </c>
      <c r="I769" s="21">
        <f t="shared" si="2"/>
        <v>600</v>
      </c>
    </row>
    <row r="770" ht="15.75" customHeight="1">
      <c r="A770" s="18">
        <f t="shared" si="3"/>
        <v>45801</v>
      </c>
      <c r="B770" s="19">
        <f t="shared" si="1"/>
        <v>45800</v>
      </c>
      <c r="C770" s="23" t="s">
        <v>568</v>
      </c>
      <c r="D770" s="5" t="s">
        <v>569</v>
      </c>
      <c r="E770" s="9" t="s">
        <v>27</v>
      </c>
      <c r="F770" s="9" t="str">
        <f t="array" ref="F770:G770">XLOOKUP($E770,product_epicenter!$A$2:$A$101,product_epicenter!$B$2:$C$101)</f>
        <v>Butter 500g </v>
      </c>
      <c r="G770" s="21">
        <v>250.0</v>
      </c>
      <c r="H770" s="9">
        <v>6.0</v>
      </c>
      <c r="I770" s="21">
        <f t="shared" si="2"/>
        <v>1500</v>
      </c>
    </row>
    <row r="771" ht="15.75" customHeight="1">
      <c r="A771" s="18">
        <f t="shared" si="3"/>
        <v>45801</v>
      </c>
      <c r="B771" s="19">
        <f t="shared" si="1"/>
        <v>45800</v>
      </c>
      <c r="C771" s="23" t="s">
        <v>568</v>
      </c>
      <c r="D771" s="5" t="s">
        <v>569</v>
      </c>
      <c r="E771" s="9" t="s">
        <v>5</v>
      </c>
      <c r="F771" s="9" t="str">
        <f t="array" ref="F771:G771">XLOOKUP($E771,product_epicenter!$A$2:$A$101,product_epicenter!$B$2:$C$101)</f>
        <v>Dal (Lentils) 1kg </v>
      </c>
      <c r="G771" s="21">
        <v>100.0</v>
      </c>
      <c r="H771" s="9">
        <v>5.0</v>
      </c>
      <c r="I771" s="21">
        <f t="shared" si="2"/>
        <v>500</v>
      </c>
    </row>
    <row r="772" ht="15.75" customHeight="1">
      <c r="A772" s="18">
        <f t="shared" si="3"/>
        <v>45801</v>
      </c>
      <c r="B772" s="19">
        <f t="shared" si="1"/>
        <v>45800</v>
      </c>
      <c r="C772" s="23" t="s">
        <v>568</v>
      </c>
      <c r="D772" s="5" t="s">
        <v>569</v>
      </c>
      <c r="E772" s="9" t="s">
        <v>71</v>
      </c>
      <c r="F772" s="9" t="str">
        <f t="array" ref="F772:G772">XLOOKUP($E772,product_epicenter!$A$2:$A$101,product_epicenter!$B$2:$C$101)</f>
        <v>Dishwashing Liquid 500ml </v>
      </c>
      <c r="G772" s="21">
        <v>100.0</v>
      </c>
      <c r="H772" s="9">
        <v>5.0</v>
      </c>
      <c r="I772" s="21">
        <f t="shared" si="2"/>
        <v>500</v>
      </c>
    </row>
    <row r="773" ht="15.75" customHeight="1">
      <c r="A773" s="18">
        <f t="shared" si="3"/>
        <v>45801</v>
      </c>
      <c r="B773" s="19">
        <f t="shared" si="1"/>
        <v>45800</v>
      </c>
      <c r="C773" s="23" t="s">
        <v>570</v>
      </c>
      <c r="D773" s="5" t="s">
        <v>571</v>
      </c>
      <c r="E773" s="9" t="s">
        <v>115</v>
      </c>
      <c r="F773" s="9" t="str">
        <f t="array" ref="F773:G773">XLOOKUP($E773,product_epicenter!$A$2:$A$101,product_epicenter!$B$2:$C$101)</f>
        <v>Raisins 500g </v>
      </c>
      <c r="G773" s="21">
        <v>400.0</v>
      </c>
      <c r="H773" s="9">
        <v>5.0</v>
      </c>
      <c r="I773" s="21">
        <f t="shared" si="2"/>
        <v>2000</v>
      </c>
    </row>
    <row r="774" ht="15.75" customHeight="1">
      <c r="A774" s="18">
        <f t="shared" si="3"/>
        <v>45801</v>
      </c>
      <c r="B774" s="19">
        <f t="shared" si="1"/>
        <v>45800</v>
      </c>
      <c r="C774" s="23" t="s">
        <v>570</v>
      </c>
      <c r="D774" s="5" t="s">
        <v>571</v>
      </c>
      <c r="E774" s="9" t="s">
        <v>51</v>
      </c>
      <c r="F774" s="9" t="str">
        <f t="array" ref="F774:G774">XLOOKUP($E774,product_epicenter!$A$2:$A$101,product_epicenter!$B$2:$C$101)</f>
        <v>Garlic 250g </v>
      </c>
      <c r="G774" s="21">
        <v>50.0</v>
      </c>
      <c r="H774" s="9">
        <v>9.0</v>
      </c>
      <c r="I774" s="21">
        <f t="shared" si="2"/>
        <v>450</v>
      </c>
    </row>
    <row r="775" ht="15.75" customHeight="1">
      <c r="A775" s="18">
        <f t="shared" si="3"/>
        <v>45801</v>
      </c>
      <c r="B775" s="19">
        <f t="shared" si="1"/>
        <v>45800</v>
      </c>
      <c r="C775" s="23" t="s">
        <v>570</v>
      </c>
      <c r="D775" s="5" t="s">
        <v>571</v>
      </c>
      <c r="E775" s="9" t="s">
        <v>103</v>
      </c>
      <c r="F775" s="9" t="str">
        <f t="array" ref="F775:G775">XLOOKUP($E775,product_epicenter!$A$2:$A$101,product_epicenter!$B$2:$C$101)</f>
        <v>Honey 500g </v>
      </c>
      <c r="G775" s="21">
        <v>300.0</v>
      </c>
      <c r="H775" s="9">
        <v>8.0</v>
      </c>
      <c r="I775" s="21">
        <f t="shared" si="2"/>
        <v>2400</v>
      </c>
    </row>
    <row r="776" ht="15.75" customHeight="1">
      <c r="A776" s="18">
        <f t="shared" si="3"/>
        <v>45801</v>
      </c>
      <c r="B776" s="19">
        <f t="shared" si="1"/>
        <v>45800</v>
      </c>
      <c r="C776" s="23" t="s">
        <v>570</v>
      </c>
      <c r="D776" s="5" t="s">
        <v>571</v>
      </c>
      <c r="E776" s="9" t="s">
        <v>85</v>
      </c>
      <c r="F776" s="9" t="str">
        <f t="array" ref="F776:G776">XLOOKUP($E776,product_epicenter!$A$2:$A$101,product_epicenter!$B$2:$C$101)</f>
        <v>Cumin Seeds 100g </v>
      </c>
      <c r="G776" s="21">
        <v>40.0</v>
      </c>
      <c r="H776" s="9">
        <v>6.0</v>
      </c>
      <c r="I776" s="21">
        <f t="shared" si="2"/>
        <v>240</v>
      </c>
    </row>
    <row r="777" ht="15.75" customHeight="1">
      <c r="A777" s="18">
        <f t="shared" si="3"/>
        <v>45801</v>
      </c>
      <c r="B777" s="19">
        <f t="shared" si="1"/>
        <v>45800</v>
      </c>
      <c r="C777" s="23" t="s">
        <v>572</v>
      </c>
      <c r="D777" s="5" t="s">
        <v>573</v>
      </c>
      <c r="E777" s="9" t="s">
        <v>107</v>
      </c>
      <c r="F777" s="9" t="str">
        <f t="array" ref="F777:G777">XLOOKUP($E777,product_epicenter!$A$2:$A$101,product_epicenter!$B$2:$C$101)</f>
        <v>Peanut Butter 500g </v>
      </c>
      <c r="G777" s="21">
        <v>250.0</v>
      </c>
      <c r="H777" s="9">
        <v>9.0</v>
      </c>
      <c r="I777" s="21">
        <f t="shared" si="2"/>
        <v>2250</v>
      </c>
    </row>
    <row r="778" ht="15.75" customHeight="1">
      <c r="A778" s="18">
        <f t="shared" si="3"/>
        <v>45801</v>
      </c>
      <c r="B778" s="19">
        <f t="shared" si="1"/>
        <v>45800</v>
      </c>
      <c r="C778" s="23" t="s">
        <v>572</v>
      </c>
      <c r="D778" s="5" t="s">
        <v>573</v>
      </c>
      <c r="E778" s="9" t="s">
        <v>147</v>
      </c>
      <c r="F778" s="9" t="str">
        <f t="array" ref="F778:G778">XLOOKUP($E778,product_epicenter!$A$2:$A$101,product_epicenter!$B$2:$C$101)</f>
        <v>Baking Soda 500g </v>
      </c>
      <c r="G778" s="21">
        <v>50.0</v>
      </c>
      <c r="H778" s="9">
        <v>1.0</v>
      </c>
      <c r="I778" s="21">
        <f t="shared" si="2"/>
        <v>50</v>
      </c>
    </row>
    <row r="779" ht="15.75" customHeight="1">
      <c r="A779" s="18">
        <f t="shared" si="3"/>
        <v>45801</v>
      </c>
      <c r="B779" s="19">
        <f t="shared" si="1"/>
        <v>45800</v>
      </c>
      <c r="C779" s="23" t="s">
        <v>572</v>
      </c>
      <c r="D779" s="5" t="s">
        <v>573</v>
      </c>
      <c r="E779" s="9" t="s">
        <v>193</v>
      </c>
      <c r="F779" s="9" t="str">
        <f t="array" ref="F779:G779">XLOOKUP($E779,product_epicenter!$A$2:$A$101,product_epicenter!$B$2:$C$101)</f>
        <v>Lip Balm 1 tube </v>
      </c>
      <c r="G779" s="21">
        <v>100.0</v>
      </c>
      <c r="H779" s="9">
        <v>1.0</v>
      </c>
      <c r="I779" s="21">
        <f t="shared" si="2"/>
        <v>100</v>
      </c>
    </row>
    <row r="780" ht="15.75" customHeight="1">
      <c r="A780" s="18">
        <f t="shared" si="3"/>
        <v>45801</v>
      </c>
      <c r="B780" s="19">
        <f t="shared" si="1"/>
        <v>45800</v>
      </c>
      <c r="C780" s="23" t="s">
        <v>574</v>
      </c>
      <c r="D780" s="5" t="s">
        <v>575</v>
      </c>
      <c r="E780" s="9" t="s">
        <v>139</v>
      </c>
      <c r="F780" s="9" t="str">
        <f t="array" ref="F780:G780">XLOOKUP($E780,product_epicenter!$A$2:$A$101,product_epicenter!$B$2:$C$101)</f>
        <v>Pickles 500g </v>
      </c>
      <c r="G780" s="21">
        <v>150.0</v>
      </c>
      <c r="H780" s="9">
        <v>1.0</v>
      </c>
      <c r="I780" s="21">
        <f t="shared" si="2"/>
        <v>150</v>
      </c>
    </row>
    <row r="781" ht="15.75" customHeight="1">
      <c r="A781" s="18">
        <f t="shared" si="3"/>
        <v>45801</v>
      </c>
      <c r="B781" s="19">
        <f t="shared" si="1"/>
        <v>45800</v>
      </c>
      <c r="C781" s="23" t="s">
        <v>574</v>
      </c>
      <c r="D781" s="5" t="s">
        <v>575</v>
      </c>
      <c r="E781" s="9" t="s">
        <v>131</v>
      </c>
      <c r="F781" s="9" t="str">
        <f t="array" ref="F781:G781">XLOOKUP($E781,product_epicenter!$A$2:$A$101,product_epicenter!$B$2:$C$101)</f>
        <v>Yogurt 500g </v>
      </c>
      <c r="G781" s="21">
        <v>80.0</v>
      </c>
      <c r="H781" s="9">
        <v>2.0</v>
      </c>
      <c r="I781" s="21">
        <f t="shared" si="2"/>
        <v>160</v>
      </c>
    </row>
    <row r="782" ht="15.75" customHeight="1">
      <c r="A782" s="18">
        <f t="shared" si="3"/>
        <v>45801</v>
      </c>
      <c r="B782" s="19">
        <f t="shared" si="1"/>
        <v>45800</v>
      </c>
      <c r="C782" s="23" t="s">
        <v>574</v>
      </c>
      <c r="D782" s="5" t="s">
        <v>575</v>
      </c>
      <c r="E782" s="9" t="s">
        <v>157</v>
      </c>
      <c r="F782" s="9" t="str">
        <f t="array" ref="F782:G782">XLOOKUP($E782,product_epicenter!$A$2:$A$101,product_epicenter!$B$2:$C$101)</f>
        <v>Butter Paper 1 roll </v>
      </c>
      <c r="G782" s="21">
        <v>100.0</v>
      </c>
      <c r="H782" s="9">
        <v>9.0</v>
      </c>
      <c r="I782" s="21">
        <f t="shared" si="2"/>
        <v>900</v>
      </c>
    </row>
    <row r="783" ht="15.75" customHeight="1">
      <c r="A783" s="18">
        <f t="shared" si="3"/>
        <v>45801</v>
      </c>
      <c r="B783" s="19">
        <f t="shared" si="1"/>
        <v>45800</v>
      </c>
      <c r="C783" s="23" t="s">
        <v>574</v>
      </c>
      <c r="D783" s="5" t="s">
        <v>575</v>
      </c>
      <c r="E783" s="9" t="s">
        <v>57</v>
      </c>
      <c r="F783" s="9" t="str">
        <f t="array" ref="F783:G783">XLOOKUP($E783,product_epicenter!$A$2:$A$101,product_epicenter!$B$2:$C$101)</f>
        <v>Chocolates 1 bar </v>
      </c>
      <c r="G783" s="21">
        <v>100.0</v>
      </c>
      <c r="H783" s="9">
        <v>4.0</v>
      </c>
      <c r="I783" s="21">
        <f t="shared" si="2"/>
        <v>400</v>
      </c>
    </row>
    <row r="784" ht="15.75" customHeight="1">
      <c r="A784" s="18">
        <f t="shared" si="3"/>
        <v>45801</v>
      </c>
      <c r="B784" s="19">
        <f t="shared" si="1"/>
        <v>45800</v>
      </c>
      <c r="C784" s="23" t="s">
        <v>574</v>
      </c>
      <c r="D784" s="5" t="s">
        <v>575</v>
      </c>
      <c r="E784" s="9" t="s">
        <v>165</v>
      </c>
      <c r="F784" s="9" t="str">
        <f t="array" ref="F784:G784">XLOOKUP($E784,product_epicenter!$A$2:$A$101,product_epicenter!$B$2:$C$101)</f>
        <v>Candles 1 pack </v>
      </c>
      <c r="G784" s="21">
        <v>80.0</v>
      </c>
      <c r="H784" s="9">
        <v>4.0</v>
      </c>
      <c r="I784" s="21">
        <f t="shared" si="2"/>
        <v>320</v>
      </c>
    </row>
    <row r="785" ht="15.75" customHeight="1">
      <c r="A785" s="18">
        <f t="shared" si="3"/>
        <v>45801</v>
      </c>
      <c r="B785" s="19">
        <f t="shared" si="1"/>
        <v>45800</v>
      </c>
      <c r="C785" s="23" t="s">
        <v>576</v>
      </c>
      <c r="D785" s="5" t="s">
        <v>577</v>
      </c>
      <c r="E785" s="9" t="s">
        <v>49</v>
      </c>
      <c r="F785" s="9" t="str">
        <f t="array" ref="F785:G785">XLOOKUP($E785,product_epicenter!$A$2:$A$101,product_epicenter!$B$2:$C$101)</f>
        <v>Green Chillies 250g </v>
      </c>
      <c r="G785" s="21">
        <v>20.0</v>
      </c>
      <c r="H785" s="9">
        <v>4.0</v>
      </c>
      <c r="I785" s="21">
        <f t="shared" si="2"/>
        <v>80</v>
      </c>
    </row>
    <row r="786" ht="15.75" customHeight="1">
      <c r="A786" s="18">
        <f t="shared" si="3"/>
        <v>45801</v>
      </c>
      <c r="B786" s="19">
        <f t="shared" si="1"/>
        <v>45800</v>
      </c>
      <c r="C786" s="23" t="s">
        <v>576</v>
      </c>
      <c r="D786" s="5" t="s">
        <v>577</v>
      </c>
      <c r="E786" s="9" t="s">
        <v>181</v>
      </c>
      <c r="F786" s="9" t="str">
        <f t="array" ref="F786:G786">XLOOKUP($E786,product_epicenter!$A$2:$A$101,product_epicenter!$B$2:$C$101)</f>
        <v>Hand Wash 500ml </v>
      </c>
      <c r="G786" s="21">
        <v>150.0</v>
      </c>
      <c r="H786" s="9">
        <v>4.0</v>
      </c>
      <c r="I786" s="21">
        <f t="shared" si="2"/>
        <v>600</v>
      </c>
    </row>
    <row r="787" ht="15.75" customHeight="1">
      <c r="A787" s="18">
        <f t="shared" si="3"/>
        <v>45801</v>
      </c>
      <c r="B787" s="19">
        <f t="shared" si="1"/>
        <v>45800</v>
      </c>
      <c r="C787" s="23" t="s">
        <v>576</v>
      </c>
      <c r="D787" s="5" t="s">
        <v>577</v>
      </c>
      <c r="E787" s="9" t="s">
        <v>15</v>
      </c>
      <c r="F787" s="9" t="str">
        <f t="array" ref="F787:G787">XLOOKUP($E787,product_epicenter!$A$2:$A$101,product_epicenter!$B$2:$C$101)</f>
        <v>Tea 250g </v>
      </c>
      <c r="G787" s="21">
        <v>155.0</v>
      </c>
      <c r="H787" s="9">
        <v>3.0</v>
      </c>
      <c r="I787" s="21">
        <f t="shared" si="2"/>
        <v>465</v>
      </c>
    </row>
    <row r="788" ht="15.75" customHeight="1">
      <c r="A788" s="18">
        <f t="shared" si="3"/>
        <v>45801</v>
      </c>
      <c r="B788" s="19">
        <f t="shared" si="1"/>
        <v>45800</v>
      </c>
      <c r="C788" s="23" t="s">
        <v>576</v>
      </c>
      <c r="D788" s="5" t="s">
        <v>577</v>
      </c>
      <c r="E788" s="9" t="s">
        <v>63</v>
      </c>
      <c r="F788" s="9" t="str">
        <f t="array" ref="F788:G788">XLOOKUP($E788,product_epicenter!$A$2:$A$101,product_epicenter!$B$2:$C$101)</f>
        <v>Shampoo 1 bottle </v>
      </c>
      <c r="G788" s="21">
        <v>200.0</v>
      </c>
      <c r="H788" s="9">
        <v>9.0</v>
      </c>
      <c r="I788" s="21">
        <f t="shared" si="2"/>
        <v>1800</v>
      </c>
    </row>
    <row r="789" ht="15.75" customHeight="1">
      <c r="A789" s="18">
        <f t="shared" si="3"/>
        <v>45801</v>
      </c>
      <c r="B789" s="19">
        <f t="shared" si="1"/>
        <v>45800</v>
      </c>
      <c r="C789" s="23" t="s">
        <v>576</v>
      </c>
      <c r="D789" s="5" t="s">
        <v>577</v>
      </c>
      <c r="E789" s="9" t="s">
        <v>45</v>
      </c>
      <c r="F789" s="9" t="str">
        <f t="array" ref="F789:G789">XLOOKUP($E789,product_epicenter!$A$2:$A$101,product_epicenter!$B$2:$C$101)</f>
        <v>Onions 1kg </v>
      </c>
      <c r="G789" s="21">
        <v>40.0</v>
      </c>
      <c r="H789" s="9">
        <v>4.0</v>
      </c>
      <c r="I789" s="21">
        <f t="shared" si="2"/>
        <v>160</v>
      </c>
    </row>
    <row r="790" ht="15.75" customHeight="1">
      <c r="A790" s="18">
        <f t="shared" si="3"/>
        <v>45801</v>
      </c>
      <c r="B790" s="19">
        <f t="shared" si="1"/>
        <v>45800</v>
      </c>
      <c r="C790" s="23" t="s">
        <v>578</v>
      </c>
      <c r="D790" s="5" t="s">
        <v>579</v>
      </c>
      <c r="E790" s="9" t="s">
        <v>111</v>
      </c>
      <c r="F790" s="9" t="str">
        <f t="array" ref="F790:G790">XLOOKUP($E790,product_epicenter!$A$2:$A$101,product_epicenter!$B$2:$C$101)</f>
        <v>Almonds 500g </v>
      </c>
      <c r="G790" s="21">
        <v>500.0</v>
      </c>
      <c r="H790" s="9">
        <v>7.0</v>
      </c>
      <c r="I790" s="21">
        <f t="shared" si="2"/>
        <v>3500</v>
      </c>
    </row>
    <row r="791" ht="15.75" customHeight="1">
      <c r="A791" s="18">
        <f t="shared" si="3"/>
        <v>45801</v>
      </c>
      <c r="B791" s="19">
        <f t="shared" si="1"/>
        <v>45800</v>
      </c>
      <c r="C791" s="23" t="s">
        <v>578</v>
      </c>
      <c r="D791" s="5" t="s">
        <v>579</v>
      </c>
      <c r="E791" s="9" t="s">
        <v>63</v>
      </c>
      <c r="F791" s="9" t="str">
        <f t="array" ref="F791:G791">XLOOKUP($E791,product_epicenter!$A$2:$A$101,product_epicenter!$B$2:$C$101)</f>
        <v>Shampoo 1 bottle </v>
      </c>
      <c r="G791" s="21">
        <v>200.0</v>
      </c>
      <c r="H791" s="9">
        <v>6.0</v>
      </c>
      <c r="I791" s="21">
        <f t="shared" si="2"/>
        <v>1200</v>
      </c>
    </row>
    <row r="792" ht="15.75" customHeight="1">
      <c r="A792" s="18">
        <f t="shared" si="3"/>
        <v>45801</v>
      </c>
      <c r="B792" s="19">
        <f t="shared" si="1"/>
        <v>45800</v>
      </c>
      <c r="C792" s="23" t="s">
        <v>578</v>
      </c>
      <c r="D792" s="5" t="s">
        <v>579</v>
      </c>
      <c r="E792" s="9" t="s">
        <v>201</v>
      </c>
      <c r="F792" s="9" t="str">
        <f t="array" ref="F792:G792">XLOOKUP($E792,product_epicenter!$A$2:$A$101,product_epicenter!$B$2:$C$101)</f>
        <v>Cooking Vinegar 500ml </v>
      </c>
      <c r="G792" s="21">
        <v>90.0</v>
      </c>
      <c r="H792" s="9">
        <v>4.0</v>
      </c>
      <c r="I792" s="21">
        <f t="shared" si="2"/>
        <v>360</v>
      </c>
    </row>
    <row r="793" ht="15.75" customHeight="1">
      <c r="A793" s="18">
        <f t="shared" si="3"/>
        <v>45801</v>
      </c>
      <c r="B793" s="19">
        <f t="shared" si="1"/>
        <v>45800</v>
      </c>
      <c r="C793" s="23" t="s">
        <v>580</v>
      </c>
      <c r="D793" s="5" t="s">
        <v>581</v>
      </c>
      <c r="E793" s="9" t="s">
        <v>195</v>
      </c>
      <c r="F793" s="9" t="str">
        <f t="array" ref="F793:G793">XLOOKUP($E793,product_epicenter!$A$2:$A$101,product_epicenter!$B$2:$C$101)</f>
        <v>Face Wash 250ml </v>
      </c>
      <c r="G793" s="21">
        <v>200.0</v>
      </c>
      <c r="H793" s="9">
        <v>9.0</v>
      </c>
      <c r="I793" s="21">
        <f t="shared" si="2"/>
        <v>1800</v>
      </c>
    </row>
    <row r="794" ht="15.75" customHeight="1">
      <c r="A794" s="18">
        <f t="shared" si="3"/>
        <v>45801</v>
      </c>
      <c r="B794" s="19">
        <f t="shared" si="1"/>
        <v>45800</v>
      </c>
      <c r="C794" s="23" t="s">
        <v>580</v>
      </c>
      <c r="D794" s="5" t="s">
        <v>581</v>
      </c>
      <c r="E794" s="9" t="s">
        <v>155</v>
      </c>
      <c r="F794" s="9" t="str">
        <f t="array" ref="F794:G794">XLOOKUP($E794,product_epicenter!$A$2:$A$101,product_epicenter!$B$2:$C$101)</f>
        <v>Whipped Cream 500ml </v>
      </c>
      <c r="G794" s="21">
        <v>250.0</v>
      </c>
      <c r="H794" s="9">
        <v>2.0</v>
      </c>
      <c r="I794" s="21">
        <f t="shared" si="2"/>
        <v>500</v>
      </c>
    </row>
    <row r="795" ht="15.75" customHeight="1">
      <c r="A795" s="18">
        <f t="shared" si="3"/>
        <v>45801</v>
      </c>
      <c r="B795" s="19">
        <f t="shared" si="1"/>
        <v>45800</v>
      </c>
      <c r="C795" s="23" t="s">
        <v>580</v>
      </c>
      <c r="D795" s="5" t="s">
        <v>581</v>
      </c>
      <c r="E795" s="9" t="s">
        <v>161</v>
      </c>
      <c r="F795" s="9" t="str">
        <f t="array" ref="F795:G795">XLOOKUP($E795,product_epicenter!$A$2:$A$101,product_epicenter!$B$2:$C$101)</f>
        <v>Aluminium Foil 1 roll </v>
      </c>
      <c r="G795" s="21">
        <v>120.0</v>
      </c>
      <c r="H795" s="9">
        <v>9.0</v>
      </c>
      <c r="I795" s="21">
        <f t="shared" si="2"/>
        <v>1080</v>
      </c>
    </row>
    <row r="796" ht="15.75" customHeight="1">
      <c r="A796" s="18">
        <f t="shared" si="3"/>
        <v>45801</v>
      </c>
      <c r="B796" s="19">
        <f t="shared" si="1"/>
        <v>45800</v>
      </c>
      <c r="C796" s="23" t="s">
        <v>582</v>
      </c>
      <c r="D796" s="5" t="s">
        <v>583</v>
      </c>
      <c r="E796" s="9" t="s">
        <v>173</v>
      </c>
      <c r="F796" s="9" t="str">
        <f t="array" ref="F796:G796">XLOOKUP($E796,product_epicenter!$A$2:$A$101,product_epicenter!$B$2:$C$101)</f>
        <v>Coconut Water 1 litre </v>
      </c>
      <c r="G796" s="21">
        <v>80.0</v>
      </c>
      <c r="H796" s="9">
        <v>4.0</v>
      </c>
      <c r="I796" s="21">
        <f t="shared" si="2"/>
        <v>320</v>
      </c>
    </row>
    <row r="797" ht="15.75" customHeight="1">
      <c r="A797" s="18">
        <f t="shared" si="3"/>
        <v>45801</v>
      </c>
      <c r="B797" s="19">
        <f t="shared" si="1"/>
        <v>45800</v>
      </c>
      <c r="C797" s="23" t="s">
        <v>582</v>
      </c>
      <c r="D797" s="5" t="s">
        <v>583</v>
      </c>
      <c r="E797" s="9" t="s">
        <v>169</v>
      </c>
      <c r="F797" s="9" t="str">
        <f t="array" ref="F797:G797">XLOOKUP($E797,product_epicenter!$A$2:$A$101,product_epicenter!$B$2:$C$101)</f>
        <v>Energy Drink 1 can </v>
      </c>
      <c r="G797" s="21">
        <v>100.0</v>
      </c>
      <c r="H797" s="9">
        <v>9.0</v>
      </c>
      <c r="I797" s="21">
        <f t="shared" si="2"/>
        <v>900</v>
      </c>
    </row>
    <row r="798" ht="15.75" customHeight="1">
      <c r="A798" s="18">
        <f t="shared" si="3"/>
        <v>45801</v>
      </c>
      <c r="B798" s="19">
        <f t="shared" si="1"/>
        <v>45800</v>
      </c>
      <c r="C798" s="23" t="s">
        <v>582</v>
      </c>
      <c r="D798" s="5" t="s">
        <v>583</v>
      </c>
      <c r="E798" s="9" t="s">
        <v>53</v>
      </c>
      <c r="F798" s="9" t="str">
        <f t="array" ref="F798:G798">XLOOKUP($E798,product_epicenter!$A$2:$A$101,product_epicenter!$B$2:$C$101)</f>
        <v>Ginger 250g </v>
      </c>
      <c r="G798" s="21">
        <v>40.0</v>
      </c>
      <c r="H798" s="9">
        <v>6.0</v>
      </c>
      <c r="I798" s="21">
        <f t="shared" si="2"/>
        <v>240</v>
      </c>
    </row>
    <row r="799" ht="15.75" customHeight="1">
      <c r="A799" s="18">
        <f t="shared" si="3"/>
        <v>45801</v>
      </c>
      <c r="B799" s="19">
        <f t="shared" si="1"/>
        <v>45800</v>
      </c>
      <c r="C799" s="23" t="s">
        <v>582</v>
      </c>
      <c r="D799" s="5" t="s">
        <v>583</v>
      </c>
      <c r="E799" s="9" t="s">
        <v>185</v>
      </c>
      <c r="F799" s="9" t="str">
        <f t="array" ref="F799:G799">XLOOKUP($E799,product_epicenter!$A$2:$A$101,product_epicenter!$B$2:$C$101)</f>
        <v>Hair Conditioner 500ml </v>
      </c>
      <c r="G799" s="21">
        <v>300.0</v>
      </c>
      <c r="H799" s="9">
        <v>4.0</v>
      </c>
      <c r="I799" s="21">
        <f t="shared" si="2"/>
        <v>1200</v>
      </c>
    </row>
    <row r="800" ht="15.75" customHeight="1">
      <c r="A800" s="18">
        <f t="shared" si="3"/>
        <v>45801</v>
      </c>
      <c r="B800" s="19">
        <f t="shared" si="1"/>
        <v>45800</v>
      </c>
      <c r="C800" s="23" t="s">
        <v>584</v>
      </c>
      <c r="D800" s="5" t="s">
        <v>585</v>
      </c>
      <c r="E800" s="9" t="s">
        <v>19</v>
      </c>
      <c r="F800" s="9" t="str">
        <f t="array" ref="F800:G800">XLOOKUP($E800,product_epicenter!$A$2:$A$101,product_epicenter!$B$2:$C$101)</f>
        <v>Green Peas 1kg </v>
      </c>
      <c r="G800" s="21">
        <v>120.0</v>
      </c>
      <c r="H800" s="9">
        <v>4.0</v>
      </c>
      <c r="I800" s="21">
        <f t="shared" si="2"/>
        <v>480</v>
      </c>
    </row>
    <row r="801" ht="15.75" customHeight="1">
      <c r="A801" s="18">
        <f t="shared" si="3"/>
        <v>45801</v>
      </c>
      <c r="B801" s="19">
        <f t="shared" si="1"/>
        <v>45800</v>
      </c>
      <c r="C801" s="23" t="s">
        <v>584</v>
      </c>
      <c r="D801" s="5" t="s">
        <v>585</v>
      </c>
      <c r="E801" s="9" t="s">
        <v>179</v>
      </c>
      <c r="F801" s="9" t="str">
        <f t="array" ref="F801:G801">XLOOKUP($E801,product_epicenter!$A$2:$A$101,product_epicenter!$B$2:$C$101)</f>
        <v>Sports Drink 1 litre </v>
      </c>
      <c r="G801" s="21">
        <v>200.0</v>
      </c>
      <c r="H801" s="9">
        <v>9.0</v>
      </c>
      <c r="I801" s="21">
        <f t="shared" si="2"/>
        <v>1800</v>
      </c>
    </row>
    <row r="802" ht="15.75" customHeight="1">
      <c r="A802" s="18">
        <f t="shared" si="3"/>
        <v>45801</v>
      </c>
      <c r="B802" s="19">
        <f t="shared" si="1"/>
        <v>45800</v>
      </c>
      <c r="C802" s="23" t="s">
        <v>584</v>
      </c>
      <c r="D802" s="5" t="s">
        <v>585</v>
      </c>
      <c r="E802" s="9" t="s">
        <v>49</v>
      </c>
      <c r="F802" s="9" t="str">
        <f t="array" ref="F802:G802">XLOOKUP($E802,product_epicenter!$A$2:$A$101,product_epicenter!$B$2:$C$101)</f>
        <v>Green Chillies 250g </v>
      </c>
      <c r="G802" s="21">
        <v>20.0</v>
      </c>
      <c r="H802" s="9">
        <v>1.0</v>
      </c>
      <c r="I802" s="21">
        <f t="shared" si="2"/>
        <v>20</v>
      </c>
    </row>
    <row r="803" ht="15.75" customHeight="1">
      <c r="A803" s="18">
        <f t="shared" si="3"/>
        <v>45801</v>
      </c>
      <c r="B803" s="19">
        <f t="shared" si="1"/>
        <v>45800</v>
      </c>
      <c r="C803" s="23" t="s">
        <v>584</v>
      </c>
      <c r="D803" s="5" t="s">
        <v>585</v>
      </c>
      <c r="E803" s="9" t="s">
        <v>133</v>
      </c>
      <c r="F803" s="9" t="str">
        <f t="array" ref="F803:G803">XLOOKUP($E803,product_epicenter!$A$2:$A$101,product_epicenter!$B$2:$C$101)</f>
        <v>Paneer 1kg </v>
      </c>
      <c r="G803" s="21">
        <v>400.0</v>
      </c>
      <c r="H803" s="9">
        <v>7.0</v>
      </c>
      <c r="I803" s="21">
        <f t="shared" si="2"/>
        <v>2800</v>
      </c>
    </row>
    <row r="804" ht="15.75" customHeight="1">
      <c r="A804" s="18">
        <f t="shared" si="3"/>
        <v>45801</v>
      </c>
      <c r="B804" s="19">
        <f t="shared" si="1"/>
        <v>45800</v>
      </c>
      <c r="C804" s="23" t="s">
        <v>586</v>
      </c>
      <c r="D804" s="5" t="s">
        <v>587</v>
      </c>
      <c r="E804" s="9" t="s">
        <v>21</v>
      </c>
      <c r="F804" s="9" t="str">
        <f t="array" ref="F804:G804">XLOOKUP($E804,product_epicenter!$A$2:$A$101,product_epicenter!$B$2:$C$101)</f>
        <v>Salt 1kg </v>
      </c>
      <c r="G804" s="21">
        <v>20.0</v>
      </c>
      <c r="H804" s="9">
        <v>6.0</v>
      </c>
      <c r="I804" s="21">
        <f t="shared" si="2"/>
        <v>120</v>
      </c>
    </row>
    <row r="805" ht="15.75" customHeight="1">
      <c r="A805" s="18">
        <f t="shared" si="3"/>
        <v>45801</v>
      </c>
      <c r="B805" s="19">
        <f t="shared" si="1"/>
        <v>45800</v>
      </c>
      <c r="C805" s="23" t="s">
        <v>586</v>
      </c>
      <c r="D805" s="5" t="s">
        <v>587</v>
      </c>
      <c r="E805" s="9" t="s">
        <v>105</v>
      </c>
      <c r="F805" s="9" t="str">
        <f t="array" ref="F805:G805">XLOOKUP($E805,product_epicenter!$A$2:$A$101,product_epicenter!$B$2:$C$101)</f>
        <v>Jam 500g </v>
      </c>
      <c r="G805" s="21">
        <v>150.0</v>
      </c>
      <c r="H805" s="9">
        <v>5.0</v>
      </c>
      <c r="I805" s="21">
        <f t="shared" si="2"/>
        <v>750</v>
      </c>
    </row>
    <row r="806" ht="15.75" customHeight="1">
      <c r="A806" s="18">
        <f t="shared" si="3"/>
        <v>45801</v>
      </c>
      <c r="B806" s="19">
        <f t="shared" si="1"/>
        <v>45800</v>
      </c>
      <c r="C806" s="23" t="s">
        <v>586</v>
      </c>
      <c r="D806" s="5" t="s">
        <v>587</v>
      </c>
      <c r="E806" s="9" t="s">
        <v>33</v>
      </c>
      <c r="F806" s="9" t="str">
        <f t="array" ref="F806:G806">XLOOKUP($E806,product_epicenter!$A$2:$A$101,product_epicenter!$B$2:$C$101)</f>
        <v>Chicken 1kg </v>
      </c>
      <c r="G806" s="21">
        <v>250.0</v>
      </c>
      <c r="H806" s="9">
        <v>9.0</v>
      </c>
      <c r="I806" s="21">
        <f t="shared" si="2"/>
        <v>2250</v>
      </c>
    </row>
    <row r="807" ht="15.75" customHeight="1">
      <c r="A807" s="18">
        <f t="shared" si="3"/>
        <v>45801</v>
      </c>
      <c r="B807" s="19">
        <f t="shared" si="1"/>
        <v>45800</v>
      </c>
      <c r="C807" s="23" t="s">
        <v>588</v>
      </c>
      <c r="D807" s="5" t="s">
        <v>589</v>
      </c>
      <c r="E807" s="9" t="s">
        <v>31</v>
      </c>
      <c r="F807" s="9" t="str">
        <f t="array" ref="F807:G807">XLOOKUP($E807,product_epicenter!$A$2:$A$101,product_epicenter!$B$2:$C$101)</f>
        <v>Eggs 12 pcs </v>
      </c>
      <c r="G807" s="21">
        <v>80.0</v>
      </c>
      <c r="H807" s="9">
        <v>2.0</v>
      </c>
      <c r="I807" s="21">
        <f t="shared" si="2"/>
        <v>160</v>
      </c>
    </row>
    <row r="808" ht="15.75" customHeight="1">
      <c r="A808" s="18">
        <f t="shared" si="3"/>
        <v>45801</v>
      </c>
      <c r="B808" s="19">
        <f t="shared" si="1"/>
        <v>45800</v>
      </c>
      <c r="C808" s="23" t="s">
        <v>588</v>
      </c>
      <c r="D808" s="5" t="s">
        <v>589</v>
      </c>
      <c r="E808" s="9" t="s">
        <v>127</v>
      </c>
      <c r="F808" s="9" t="str">
        <f t="array" ref="F808:G808">XLOOKUP($E808,product_epicenter!$A$2:$A$101,product_epicenter!$B$2:$C$101)</f>
        <v>Pomegranate 1kg </v>
      </c>
      <c r="G808" s="21">
        <v>200.0</v>
      </c>
      <c r="H808" s="9">
        <v>3.0</v>
      </c>
      <c r="I808" s="21">
        <f t="shared" si="2"/>
        <v>600</v>
      </c>
    </row>
    <row r="809" ht="15.75" customHeight="1">
      <c r="A809" s="18">
        <f t="shared" si="3"/>
        <v>45801</v>
      </c>
      <c r="B809" s="19">
        <f t="shared" si="1"/>
        <v>45800</v>
      </c>
      <c r="C809" s="23" t="s">
        <v>588</v>
      </c>
      <c r="D809" s="5" t="s">
        <v>589</v>
      </c>
      <c r="E809" s="9" t="s">
        <v>77</v>
      </c>
      <c r="F809" s="9" t="str">
        <f t="array" ref="F809:G809">XLOOKUP($E809,product_epicenter!$A$2:$A$101,product_epicenter!$B$2:$C$101)</f>
        <v>Mosquito Repellent 1 pack </v>
      </c>
      <c r="G809" s="21">
        <v>90.0</v>
      </c>
      <c r="H809" s="9">
        <v>9.0</v>
      </c>
      <c r="I809" s="21">
        <f t="shared" si="2"/>
        <v>810</v>
      </c>
    </row>
    <row r="810" ht="15.75" customHeight="1">
      <c r="A810" s="18">
        <f t="shared" si="3"/>
        <v>45801</v>
      </c>
      <c r="B810" s="19">
        <f t="shared" si="1"/>
        <v>45800</v>
      </c>
      <c r="C810" s="23" t="s">
        <v>588</v>
      </c>
      <c r="D810" s="5" t="s">
        <v>589</v>
      </c>
      <c r="E810" s="9" t="s">
        <v>139</v>
      </c>
      <c r="F810" s="9" t="str">
        <f t="array" ref="F810:G810">XLOOKUP($E810,product_epicenter!$A$2:$A$101,product_epicenter!$B$2:$C$101)</f>
        <v>Pickles 500g </v>
      </c>
      <c r="G810" s="21">
        <v>150.0</v>
      </c>
      <c r="H810" s="9">
        <v>6.0</v>
      </c>
      <c r="I810" s="21">
        <f t="shared" si="2"/>
        <v>900</v>
      </c>
    </row>
    <row r="811" ht="15.75" customHeight="1">
      <c r="A811" s="18">
        <f t="shared" si="3"/>
        <v>45801</v>
      </c>
      <c r="B811" s="19">
        <f t="shared" si="1"/>
        <v>45800</v>
      </c>
      <c r="C811" s="23" t="s">
        <v>588</v>
      </c>
      <c r="D811" s="5" t="s">
        <v>589</v>
      </c>
      <c r="E811" s="9" t="s">
        <v>39</v>
      </c>
      <c r="F811" s="9" t="str">
        <f t="array" ref="F811:G811">XLOOKUP($E811,product_epicenter!$A$2:$A$101,product_epicenter!$B$2:$C$101)</f>
        <v>Bananas 1 dozen </v>
      </c>
      <c r="G811" s="21">
        <v>60.0</v>
      </c>
      <c r="H811" s="9">
        <v>4.0</v>
      </c>
      <c r="I811" s="21">
        <f t="shared" si="2"/>
        <v>240</v>
      </c>
    </row>
    <row r="812" ht="15.75" customHeight="1">
      <c r="A812" s="18">
        <f t="shared" si="3"/>
        <v>45801</v>
      </c>
      <c r="B812" s="19">
        <f t="shared" si="1"/>
        <v>45800</v>
      </c>
      <c r="C812" s="23" t="s">
        <v>590</v>
      </c>
      <c r="D812" s="5" t="s">
        <v>591</v>
      </c>
      <c r="E812" s="9" t="s">
        <v>151</v>
      </c>
      <c r="F812" s="9" t="str">
        <f t="array" ref="F812:G812">XLOOKUP($E812,product_epicenter!$A$2:$A$101,product_epicenter!$B$2:$C$101)</f>
        <v>Cake Mix 1 box </v>
      </c>
      <c r="G812" s="21">
        <v>200.0</v>
      </c>
      <c r="H812" s="9">
        <v>6.0</v>
      </c>
      <c r="I812" s="21">
        <f t="shared" si="2"/>
        <v>1200</v>
      </c>
    </row>
    <row r="813" ht="15.75" customHeight="1">
      <c r="A813" s="18">
        <f t="shared" si="3"/>
        <v>45801</v>
      </c>
      <c r="B813" s="19">
        <f t="shared" si="1"/>
        <v>45800</v>
      </c>
      <c r="C813" s="23" t="s">
        <v>590</v>
      </c>
      <c r="D813" s="5" t="s">
        <v>591</v>
      </c>
      <c r="E813" s="9" t="s">
        <v>177</v>
      </c>
      <c r="F813" s="9" t="str">
        <f t="array" ref="F813:G813">XLOOKUP($E813,product_epicenter!$A$2:$A$101,product_epicenter!$B$2:$C$101)</f>
        <v>Juice 1 litre </v>
      </c>
      <c r="G813" s="21">
        <v>150.0</v>
      </c>
      <c r="H813" s="9">
        <v>3.0</v>
      </c>
      <c r="I813" s="21">
        <f t="shared" si="2"/>
        <v>450</v>
      </c>
    </row>
    <row r="814" ht="15.75" customHeight="1">
      <c r="A814" s="18">
        <f t="shared" si="3"/>
        <v>45801</v>
      </c>
      <c r="B814" s="19">
        <f t="shared" si="1"/>
        <v>45800</v>
      </c>
      <c r="C814" s="23" t="s">
        <v>590</v>
      </c>
      <c r="D814" s="5" t="s">
        <v>591</v>
      </c>
      <c r="E814" s="9" t="s">
        <v>169</v>
      </c>
      <c r="F814" s="9" t="str">
        <f t="array" ref="F814:G814">XLOOKUP($E814,product_epicenter!$A$2:$A$101,product_epicenter!$B$2:$C$101)</f>
        <v>Energy Drink 1 can </v>
      </c>
      <c r="G814" s="21">
        <v>100.0</v>
      </c>
      <c r="H814" s="9">
        <v>4.0</v>
      </c>
      <c r="I814" s="21">
        <f t="shared" si="2"/>
        <v>400</v>
      </c>
    </row>
    <row r="815" ht="15.75" customHeight="1">
      <c r="A815" s="18">
        <f t="shared" si="3"/>
        <v>45801</v>
      </c>
      <c r="B815" s="19">
        <f t="shared" si="1"/>
        <v>45800</v>
      </c>
      <c r="C815" s="23" t="s">
        <v>590</v>
      </c>
      <c r="D815" s="5" t="s">
        <v>591</v>
      </c>
      <c r="E815" s="9" t="s">
        <v>137</v>
      </c>
      <c r="F815" s="9" t="str">
        <f t="array" ref="F815:G815">XLOOKUP($E815,product_epicenter!$A$2:$A$101,product_epicenter!$B$2:$C$101)</f>
        <v>Peanut 1kg </v>
      </c>
      <c r="G815" s="21">
        <v>180.0</v>
      </c>
      <c r="H815" s="9">
        <v>8.0</v>
      </c>
      <c r="I815" s="21">
        <f t="shared" si="2"/>
        <v>1440</v>
      </c>
    </row>
    <row r="816" ht="15.75" customHeight="1">
      <c r="A816" s="18">
        <f t="shared" si="3"/>
        <v>45801</v>
      </c>
      <c r="B816" s="19">
        <f t="shared" si="1"/>
        <v>45800</v>
      </c>
      <c r="C816" s="23" t="s">
        <v>592</v>
      </c>
      <c r="D816" s="5" t="s">
        <v>593</v>
      </c>
      <c r="E816" s="9" t="s">
        <v>175</v>
      </c>
      <c r="F816" s="9" t="str">
        <f t="array" ref="F816:G816">XLOOKUP($E816,product_epicenter!$A$2:$A$101,product_epicenter!$B$2:$C$101)</f>
        <v>Ice Tea 1 litre </v>
      </c>
      <c r="G816" s="21">
        <v>120.0</v>
      </c>
      <c r="H816" s="9">
        <v>6.0</v>
      </c>
      <c r="I816" s="21">
        <f t="shared" si="2"/>
        <v>720</v>
      </c>
    </row>
    <row r="817" ht="15.75" customHeight="1">
      <c r="A817" s="18">
        <f t="shared" si="3"/>
        <v>45801</v>
      </c>
      <c r="B817" s="19">
        <f t="shared" si="1"/>
        <v>45800</v>
      </c>
      <c r="C817" s="23" t="s">
        <v>592</v>
      </c>
      <c r="D817" s="5" t="s">
        <v>593</v>
      </c>
      <c r="E817" s="9" t="s">
        <v>201</v>
      </c>
      <c r="F817" s="9" t="str">
        <f t="array" ref="F817:G817">XLOOKUP($E817,product_epicenter!$A$2:$A$101,product_epicenter!$B$2:$C$101)</f>
        <v>Cooking Vinegar 500ml </v>
      </c>
      <c r="G817" s="21">
        <v>90.0</v>
      </c>
      <c r="H817" s="9">
        <v>6.0</v>
      </c>
      <c r="I817" s="21">
        <f t="shared" si="2"/>
        <v>540</v>
      </c>
    </row>
    <row r="818" ht="15.75" customHeight="1">
      <c r="A818" s="18">
        <f t="shared" si="3"/>
        <v>45801</v>
      </c>
      <c r="B818" s="19">
        <f t="shared" si="1"/>
        <v>45800</v>
      </c>
      <c r="C818" s="23" t="s">
        <v>592</v>
      </c>
      <c r="D818" s="5" t="s">
        <v>593</v>
      </c>
      <c r="E818" s="9" t="s">
        <v>79</v>
      </c>
      <c r="F818" s="9" t="str">
        <f t="array" ref="F818:G818">XLOOKUP($E818,product_epicenter!$A$2:$A$101,product_epicenter!$B$2:$C$101)</f>
        <v>Tissue Roll 1 pack </v>
      </c>
      <c r="G818" s="21">
        <v>60.0</v>
      </c>
      <c r="H818" s="9">
        <v>2.0</v>
      </c>
      <c r="I818" s="21">
        <f t="shared" si="2"/>
        <v>120</v>
      </c>
    </row>
    <row r="819" ht="15.75" customHeight="1">
      <c r="A819" s="18">
        <f t="shared" si="3"/>
        <v>45801</v>
      </c>
      <c r="B819" s="19">
        <f t="shared" si="1"/>
        <v>45800</v>
      </c>
      <c r="C819" s="23" t="s">
        <v>592</v>
      </c>
      <c r="D819" s="5" t="s">
        <v>593</v>
      </c>
      <c r="E819" s="9" t="s">
        <v>41</v>
      </c>
      <c r="F819" s="9" t="str">
        <f t="array" ref="F819:G819">XLOOKUP($E819,product_epicenter!$A$2:$A$101,product_epicenter!$B$2:$C$101)</f>
        <v>Oranges 1kg </v>
      </c>
      <c r="G819" s="21">
        <v>100.0</v>
      </c>
      <c r="H819" s="9">
        <v>4.0</v>
      </c>
      <c r="I819" s="21">
        <f t="shared" si="2"/>
        <v>400</v>
      </c>
    </row>
    <row r="820" ht="15.75" customHeight="1">
      <c r="A820" s="18">
        <f t="shared" si="3"/>
        <v>45801</v>
      </c>
      <c r="B820" s="19">
        <f t="shared" si="1"/>
        <v>45800</v>
      </c>
      <c r="C820" s="23" t="s">
        <v>594</v>
      </c>
      <c r="D820" s="5" t="s">
        <v>595</v>
      </c>
      <c r="E820" s="9" t="s">
        <v>35</v>
      </c>
      <c r="F820" s="9" t="str">
        <f t="array" ref="F820:G820">XLOOKUP($E820,product_epicenter!$A$2:$A$101,product_epicenter!$B$2:$C$101)</f>
        <v>Fish 1kg </v>
      </c>
      <c r="G820" s="21">
        <v>300.0</v>
      </c>
      <c r="H820" s="9">
        <v>2.0</v>
      </c>
      <c r="I820" s="21">
        <f t="shared" si="2"/>
        <v>600</v>
      </c>
    </row>
    <row r="821" ht="15.75" customHeight="1">
      <c r="A821" s="18">
        <f t="shared" si="3"/>
        <v>45801</v>
      </c>
      <c r="B821" s="19">
        <f t="shared" si="1"/>
        <v>45800</v>
      </c>
      <c r="C821" s="23" t="s">
        <v>594</v>
      </c>
      <c r="D821" s="5" t="s">
        <v>595</v>
      </c>
      <c r="E821" s="9" t="s">
        <v>37</v>
      </c>
      <c r="F821" s="9" t="str">
        <f t="array" ref="F821:G821">XLOOKUP($E821,product_epicenter!$A$2:$A$101,product_epicenter!$B$2:$C$101)</f>
        <v>Apples 1kg </v>
      </c>
      <c r="G821" s="21">
        <v>200.0</v>
      </c>
      <c r="H821" s="9">
        <v>1.0</v>
      </c>
      <c r="I821" s="21">
        <f t="shared" si="2"/>
        <v>200</v>
      </c>
    </row>
    <row r="822" ht="15.75" customHeight="1">
      <c r="A822" s="18">
        <f t="shared" si="3"/>
        <v>45801</v>
      </c>
      <c r="B822" s="19">
        <f t="shared" si="1"/>
        <v>45800</v>
      </c>
      <c r="C822" s="23" t="s">
        <v>594</v>
      </c>
      <c r="D822" s="5" t="s">
        <v>595</v>
      </c>
      <c r="E822" s="9" t="s">
        <v>83</v>
      </c>
      <c r="F822" s="9" t="str">
        <f t="array" ref="F822:G822">XLOOKUP($E822,product_epicenter!$A$2:$A$101,product_epicenter!$B$2:$C$101)</f>
        <v>Mustard Seeds 100g </v>
      </c>
      <c r="G822" s="21">
        <v>30.0</v>
      </c>
      <c r="H822" s="9">
        <v>9.0</v>
      </c>
      <c r="I822" s="21">
        <f t="shared" si="2"/>
        <v>270</v>
      </c>
    </row>
    <row r="823" ht="15.75" customHeight="1">
      <c r="A823" s="18">
        <f t="shared" si="3"/>
        <v>45801</v>
      </c>
      <c r="B823" s="19">
        <f t="shared" si="1"/>
        <v>45800</v>
      </c>
      <c r="C823" s="23" t="s">
        <v>594</v>
      </c>
      <c r="D823" s="5" t="s">
        <v>595</v>
      </c>
      <c r="E823" s="9" t="s">
        <v>149</v>
      </c>
      <c r="F823" s="9" t="str">
        <f t="array" ref="F823:G823">XLOOKUP($E823,product_epicenter!$A$2:$A$101,product_epicenter!$B$2:$C$101)</f>
        <v>Baking Powder 250g </v>
      </c>
      <c r="G823" s="21">
        <v>80.0</v>
      </c>
      <c r="H823" s="9">
        <v>4.0</v>
      </c>
      <c r="I823" s="21">
        <f t="shared" si="2"/>
        <v>320</v>
      </c>
    </row>
    <row r="824" ht="15.75" customHeight="1">
      <c r="A824" s="18">
        <f t="shared" si="3"/>
        <v>45801</v>
      </c>
      <c r="B824" s="19">
        <f t="shared" si="1"/>
        <v>45800</v>
      </c>
      <c r="C824" s="23" t="s">
        <v>596</v>
      </c>
      <c r="D824" s="5" t="s">
        <v>597</v>
      </c>
      <c r="E824" s="9" t="s">
        <v>99</v>
      </c>
      <c r="F824" s="9" t="str">
        <f t="array" ref="F824:G824">XLOOKUP($E824,product_epicenter!$A$2:$A$101,product_epicenter!$B$2:$C$101)</f>
        <v>Oats 1kg </v>
      </c>
      <c r="G824" s="21">
        <v>250.0</v>
      </c>
      <c r="H824" s="9">
        <v>8.0</v>
      </c>
      <c r="I824" s="21">
        <f t="shared" si="2"/>
        <v>2000</v>
      </c>
    </row>
    <row r="825" ht="15.75" customHeight="1">
      <c r="A825" s="18">
        <f t="shared" si="3"/>
        <v>45801</v>
      </c>
      <c r="B825" s="19">
        <f t="shared" si="1"/>
        <v>45800</v>
      </c>
      <c r="C825" s="23" t="s">
        <v>596</v>
      </c>
      <c r="D825" s="5" t="s">
        <v>597</v>
      </c>
      <c r="E825" s="9" t="s">
        <v>101</v>
      </c>
      <c r="F825" s="9" t="str">
        <f t="array" ref="F825:G825">XLOOKUP($E825,product_epicenter!$A$2:$A$101,product_epicenter!$B$2:$C$101)</f>
        <v>Cornflakes 500g </v>
      </c>
      <c r="G825" s="21">
        <v>200.0</v>
      </c>
      <c r="H825" s="9">
        <v>5.0</v>
      </c>
      <c r="I825" s="21">
        <f t="shared" si="2"/>
        <v>1000</v>
      </c>
    </row>
    <row r="826" ht="15.75" customHeight="1">
      <c r="A826" s="18">
        <f t="shared" si="3"/>
        <v>45801</v>
      </c>
      <c r="B826" s="19">
        <f t="shared" si="1"/>
        <v>45800</v>
      </c>
      <c r="C826" s="23" t="s">
        <v>596</v>
      </c>
      <c r="D826" s="5" t="s">
        <v>597</v>
      </c>
      <c r="E826" s="9" t="s">
        <v>87</v>
      </c>
      <c r="F826" s="9" t="str">
        <f t="array" ref="F826:G826">XLOOKUP($E826,product_epicenter!$A$2:$A$101,product_epicenter!$B$2:$C$101)</f>
        <v>Coriander Powder 100g </v>
      </c>
      <c r="G826" s="21">
        <v>50.0</v>
      </c>
      <c r="H826" s="9">
        <v>1.0</v>
      </c>
      <c r="I826" s="21">
        <f t="shared" si="2"/>
        <v>50</v>
      </c>
    </row>
    <row r="827" ht="15.75" customHeight="1">
      <c r="A827" s="18">
        <f t="shared" si="3"/>
        <v>45801</v>
      </c>
      <c r="B827" s="19">
        <f t="shared" si="1"/>
        <v>45800</v>
      </c>
      <c r="C827" s="23" t="s">
        <v>596</v>
      </c>
      <c r="D827" s="5" t="s">
        <v>597</v>
      </c>
      <c r="E827" s="9" t="s">
        <v>193</v>
      </c>
      <c r="F827" s="9" t="str">
        <f t="array" ref="F827:G827">XLOOKUP($E827,product_epicenter!$A$2:$A$101,product_epicenter!$B$2:$C$101)</f>
        <v>Lip Balm 1 tube </v>
      </c>
      <c r="G827" s="21">
        <v>100.0</v>
      </c>
      <c r="H827" s="9">
        <v>1.0</v>
      </c>
      <c r="I827" s="21">
        <f t="shared" si="2"/>
        <v>100</v>
      </c>
    </row>
    <row r="828" ht="15.75" customHeight="1">
      <c r="A828" s="18">
        <f t="shared" si="3"/>
        <v>45801</v>
      </c>
      <c r="B828" s="19">
        <f t="shared" si="1"/>
        <v>45800</v>
      </c>
      <c r="C828" s="23" t="s">
        <v>598</v>
      </c>
      <c r="D828" s="5" t="s">
        <v>599</v>
      </c>
      <c r="E828" s="9" t="s">
        <v>147</v>
      </c>
      <c r="F828" s="9" t="str">
        <f t="array" ref="F828:G828">XLOOKUP($E828,product_epicenter!$A$2:$A$101,product_epicenter!$B$2:$C$101)</f>
        <v>Baking Soda 500g </v>
      </c>
      <c r="G828" s="21">
        <v>50.0</v>
      </c>
      <c r="H828" s="9">
        <v>5.0</v>
      </c>
      <c r="I828" s="21">
        <f t="shared" si="2"/>
        <v>250</v>
      </c>
    </row>
    <row r="829" ht="15.75" customHeight="1">
      <c r="A829" s="18">
        <f t="shared" si="3"/>
        <v>45801</v>
      </c>
      <c r="B829" s="19">
        <f t="shared" si="1"/>
        <v>45800</v>
      </c>
      <c r="C829" s="23" t="s">
        <v>598</v>
      </c>
      <c r="D829" s="5" t="s">
        <v>599</v>
      </c>
      <c r="E829" s="9" t="s">
        <v>181</v>
      </c>
      <c r="F829" s="9" t="str">
        <f t="array" ref="F829:G829">XLOOKUP($E829,product_epicenter!$A$2:$A$101,product_epicenter!$B$2:$C$101)</f>
        <v>Hand Wash 500ml </v>
      </c>
      <c r="G829" s="21">
        <v>150.0</v>
      </c>
      <c r="H829" s="9">
        <v>9.0</v>
      </c>
      <c r="I829" s="21">
        <f t="shared" si="2"/>
        <v>1350</v>
      </c>
    </row>
    <row r="830" ht="15.75" customHeight="1">
      <c r="A830" s="18">
        <f t="shared" si="3"/>
        <v>45801</v>
      </c>
      <c r="B830" s="19">
        <f t="shared" si="1"/>
        <v>45800</v>
      </c>
      <c r="C830" s="23" t="s">
        <v>598</v>
      </c>
      <c r="D830" s="5" t="s">
        <v>599</v>
      </c>
      <c r="E830" s="9" t="s">
        <v>7</v>
      </c>
      <c r="F830" s="9" t="str">
        <f t="array" ref="F830:G830">XLOOKUP($E830,product_epicenter!$A$2:$A$101,product_epicenter!$B$2:$C$101)</f>
        <v>Sugar 1kg </v>
      </c>
      <c r="G830" s="21">
        <v>45.0</v>
      </c>
      <c r="H830" s="9">
        <v>3.0</v>
      </c>
      <c r="I830" s="21">
        <f t="shared" si="2"/>
        <v>135</v>
      </c>
    </row>
    <row r="831" ht="15.75" customHeight="1">
      <c r="A831" s="18">
        <f t="shared" si="3"/>
        <v>45801</v>
      </c>
      <c r="B831" s="19">
        <f t="shared" si="1"/>
        <v>45800</v>
      </c>
      <c r="C831" s="23" t="s">
        <v>598</v>
      </c>
      <c r="D831" s="5" t="s">
        <v>599</v>
      </c>
      <c r="E831" s="9" t="s">
        <v>145</v>
      </c>
      <c r="F831" s="9" t="str">
        <f t="array" ref="F831:G831">XLOOKUP($E831,product_epicenter!$A$2:$A$101,product_epicenter!$B$2:$C$101)</f>
        <v>Quinoa 500g </v>
      </c>
      <c r="G831" s="21">
        <v>350.0</v>
      </c>
      <c r="H831" s="9">
        <v>6.0</v>
      </c>
      <c r="I831" s="21">
        <f t="shared" si="2"/>
        <v>2100</v>
      </c>
    </row>
    <row r="832" ht="15.75" customHeight="1">
      <c r="A832" s="18">
        <f t="shared" si="3"/>
        <v>45801</v>
      </c>
      <c r="B832" s="19">
        <f t="shared" si="1"/>
        <v>45800</v>
      </c>
      <c r="C832" s="23" t="s">
        <v>598</v>
      </c>
      <c r="D832" s="5" t="s">
        <v>599</v>
      </c>
      <c r="E832" s="9" t="s">
        <v>201</v>
      </c>
      <c r="F832" s="9" t="str">
        <f t="array" ref="F832:G832">XLOOKUP($E832,product_epicenter!$A$2:$A$101,product_epicenter!$B$2:$C$101)</f>
        <v>Cooking Vinegar 500ml </v>
      </c>
      <c r="G832" s="21">
        <v>90.0</v>
      </c>
      <c r="H832" s="9">
        <v>3.0</v>
      </c>
      <c r="I832" s="21">
        <f t="shared" si="2"/>
        <v>270</v>
      </c>
    </row>
    <row r="833" ht="15.75" customHeight="1">
      <c r="A833" s="18">
        <f t="shared" si="3"/>
        <v>45801</v>
      </c>
      <c r="B833" s="19">
        <f t="shared" si="1"/>
        <v>45800</v>
      </c>
      <c r="C833" s="23" t="s">
        <v>600</v>
      </c>
      <c r="D833" s="5" t="s">
        <v>601</v>
      </c>
      <c r="E833" s="9" t="s">
        <v>199</v>
      </c>
      <c r="F833" s="9" t="str">
        <f t="array" ref="F833:G833">XLOOKUP($E833,product_epicenter!$A$2:$A$101,product_epicenter!$B$2:$C$101)</f>
        <v>Face Mask 1 pack </v>
      </c>
      <c r="G833" s="21">
        <v>150.0</v>
      </c>
      <c r="H833" s="9">
        <v>8.0</v>
      </c>
      <c r="I833" s="21">
        <f t="shared" si="2"/>
        <v>1200</v>
      </c>
    </row>
    <row r="834" ht="15.75" customHeight="1">
      <c r="A834" s="18">
        <f t="shared" si="3"/>
        <v>45801</v>
      </c>
      <c r="B834" s="19">
        <f t="shared" si="1"/>
        <v>45800</v>
      </c>
      <c r="C834" s="23" t="s">
        <v>600</v>
      </c>
      <c r="D834" s="5" t="s">
        <v>601</v>
      </c>
      <c r="E834" s="9" t="s">
        <v>61</v>
      </c>
      <c r="F834" s="9" t="str">
        <f t="array" ref="F834:G834">XLOOKUP($E834,product_epicenter!$A$2:$A$101,product_epicenter!$B$2:$C$101)</f>
        <v>Ice Cream 1 litre </v>
      </c>
      <c r="G834" s="21">
        <v>300.0</v>
      </c>
      <c r="H834" s="9">
        <v>3.0</v>
      </c>
      <c r="I834" s="21">
        <f t="shared" si="2"/>
        <v>900</v>
      </c>
    </row>
    <row r="835" ht="15.75" customHeight="1">
      <c r="A835" s="18">
        <f t="shared" si="3"/>
        <v>45801</v>
      </c>
      <c r="B835" s="19">
        <f t="shared" si="1"/>
        <v>45800</v>
      </c>
      <c r="C835" s="23" t="s">
        <v>600</v>
      </c>
      <c r="D835" s="5" t="s">
        <v>601</v>
      </c>
      <c r="E835" s="9" t="s">
        <v>41</v>
      </c>
      <c r="F835" s="9" t="str">
        <f t="array" ref="F835:G835">XLOOKUP($E835,product_epicenter!$A$2:$A$101,product_epicenter!$B$2:$C$101)</f>
        <v>Oranges 1kg </v>
      </c>
      <c r="G835" s="21">
        <v>100.0</v>
      </c>
      <c r="H835" s="9">
        <v>6.0</v>
      </c>
      <c r="I835" s="21">
        <f t="shared" si="2"/>
        <v>600</v>
      </c>
    </row>
    <row r="836" ht="15.75" customHeight="1">
      <c r="A836" s="18">
        <f t="shared" si="3"/>
        <v>45801</v>
      </c>
      <c r="B836" s="19">
        <f t="shared" si="1"/>
        <v>45800</v>
      </c>
      <c r="C836" s="23" t="s">
        <v>602</v>
      </c>
      <c r="D836" s="5" t="s">
        <v>603</v>
      </c>
      <c r="E836" s="9" t="s">
        <v>33</v>
      </c>
      <c r="F836" s="9" t="str">
        <f t="array" ref="F836:G836">XLOOKUP($E836,product_epicenter!$A$2:$A$101,product_epicenter!$B$2:$C$101)</f>
        <v>Chicken 1kg </v>
      </c>
      <c r="G836" s="21">
        <v>250.0</v>
      </c>
      <c r="H836" s="9">
        <v>6.0</v>
      </c>
      <c r="I836" s="21">
        <f t="shared" si="2"/>
        <v>1500</v>
      </c>
    </row>
    <row r="837" ht="15.75" customHeight="1">
      <c r="A837" s="18">
        <f t="shared" si="3"/>
        <v>45801</v>
      </c>
      <c r="B837" s="19">
        <f t="shared" si="1"/>
        <v>45800</v>
      </c>
      <c r="C837" s="23" t="s">
        <v>602</v>
      </c>
      <c r="D837" s="5" t="s">
        <v>603</v>
      </c>
      <c r="E837" s="9" t="s">
        <v>59</v>
      </c>
      <c r="F837" s="9" t="str">
        <f t="array" ref="F837:G837">XLOOKUP($E837,product_epicenter!$A$2:$A$101,product_epicenter!$B$2:$C$101)</f>
        <v>Cold Drink 1 litre </v>
      </c>
      <c r="G837" s="21">
        <v>100.0</v>
      </c>
      <c r="H837" s="9">
        <v>5.0</v>
      </c>
      <c r="I837" s="21">
        <f t="shared" si="2"/>
        <v>500</v>
      </c>
    </row>
    <row r="838" ht="15.75" customHeight="1">
      <c r="A838" s="18">
        <f t="shared" si="3"/>
        <v>45801</v>
      </c>
      <c r="B838" s="19">
        <f t="shared" si="1"/>
        <v>45800</v>
      </c>
      <c r="C838" s="23" t="s">
        <v>602</v>
      </c>
      <c r="D838" s="5" t="s">
        <v>603</v>
      </c>
      <c r="E838" s="9" t="s">
        <v>65</v>
      </c>
      <c r="F838" s="9" t="str">
        <f t="array" ref="F838:G838">XLOOKUP($E838,product_epicenter!$A$2:$A$101,product_epicenter!$B$2:$C$101)</f>
        <v>Soap 1 bar </v>
      </c>
      <c r="G838" s="21">
        <v>40.0</v>
      </c>
      <c r="H838" s="9">
        <v>2.0</v>
      </c>
      <c r="I838" s="21">
        <f t="shared" si="2"/>
        <v>80</v>
      </c>
    </row>
    <row r="839" ht="15.75" customHeight="1">
      <c r="A839" s="18">
        <f t="shared" si="3"/>
        <v>45801</v>
      </c>
      <c r="B839" s="19">
        <f t="shared" si="1"/>
        <v>45800</v>
      </c>
      <c r="C839" s="23" t="s">
        <v>602</v>
      </c>
      <c r="D839" s="5" t="s">
        <v>603</v>
      </c>
      <c r="E839" s="9" t="s">
        <v>47</v>
      </c>
      <c r="F839" s="9" t="str">
        <f t="array" ref="F839:G839">XLOOKUP($E839,product_epicenter!$A$2:$A$101,product_epicenter!$B$2:$C$101)</f>
        <v>Tomatoes 1kg </v>
      </c>
      <c r="G839" s="21">
        <v>50.0</v>
      </c>
      <c r="H839" s="9">
        <v>3.0</v>
      </c>
      <c r="I839" s="21">
        <f t="shared" si="2"/>
        <v>150</v>
      </c>
    </row>
    <row r="840" ht="15.75" customHeight="1">
      <c r="A840" s="18">
        <f t="shared" si="3"/>
        <v>45801</v>
      </c>
      <c r="B840" s="19">
        <f t="shared" si="1"/>
        <v>45800</v>
      </c>
      <c r="C840" s="23" t="s">
        <v>602</v>
      </c>
      <c r="D840" s="5" t="s">
        <v>603</v>
      </c>
      <c r="E840" s="9" t="s">
        <v>151</v>
      </c>
      <c r="F840" s="9" t="str">
        <f t="array" ref="F840:G840">XLOOKUP($E840,product_epicenter!$A$2:$A$101,product_epicenter!$B$2:$C$101)</f>
        <v>Cake Mix 1 box </v>
      </c>
      <c r="G840" s="21">
        <v>200.0</v>
      </c>
      <c r="H840" s="9">
        <v>9.0</v>
      </c>
      <c r="I840" s="21">
        <f t="shared" si="2"/>
        <v>1800</v>
      </c>
    </row>
    <row r="841" ht="15.75" customHeight="1">
      <c r="A841" s="18">
        <f t="shared" si="3"/>
        <v>45801</v>
      </c>
      <c r="B841" s="19">
        <f t="shared" si="1"/>
        <v>45800</v>
      </c>
      <c r="C841" s="23" t="s">
        <v>604</v>
      </c>
      <c r="D841" s="5" t="s">
        <v>605</v>
      </c>
      <c r="E841" s="9" t="s">
        <v>13</v>
      </c>
      <c r="F841" s="9" t="str">
        <f t="array" ref="F841:G841">XLOOKUP($E841,product_epicenter!$A$2:$A$101,product_epicenter!$B$2:$C$101)</f>
        <v>Coffee 100g </v>
      </c>
      <c r="G841" s="21">
        <v>250.0</v>
      </c>
      <c r="H841" s="9">
        <v>8.0</v>
      </c>
      <c r="I841" s="21">
        <f t="shared" si="2"/>
        <v>2000</v>
      </c>
    </row>
    <row r="842" ht="15.75" customHeight="1">
      <c r="A842" s="18">
        <f t="shared" si="3"/>
        <v>45801</v>
      </c>
      <c r="B842" s="19">
        <f t="shared" si="1"/>
        <v>45800</v>
      </c>
      <c r="C842" s="23" t="s">
        <v>604</v>
      </c>
      <c r="D842" s="5" t="s">
        <v>605</v>
      </c>
      <c r="E842" s="9" t="s">
        <v>145</v>
      </c>
      <c r="F842" s="9" t="str">
        <f t="array" ref="F842:G842">XLOOKUP($E842,product_epicenter!$A$2:$A$101,product_epicenter!$B$2:$C$101)</f>
        <v>Quinoa 500g </v>
      </c>
      <c r="G842" s="21">
        <v>350.0</v>
      </c>
      <c r="H842" s="9">
        <v>1.0</v>
      </c>
      <c r="I842" s="21">
        <f t="shared" si="2"/>
        <v>350</v>
      </c>
    </row>
    <row r="843" ht="15.75" customHeight="1">
      <c r="A843" s="18">
        <f t="shared" si="3"/>
        <v>45801</v>
      </c>
      <c r="B843" s="19">
        <f t="shared" si="1"/>
        <v>45800</v>
      </c>
      <c r="C843" s="23" t="s">
        <v>604</v>
      </c>
      <c r="D843" s="5" t="s">
        <v>605</v>
      </c>
      <c r="E843" s="9" t="s">
        <v>77</v>
      </c>
      <c r="F843" s="9" t="str">
        <f t="array" ref="F843:G843">XLOOKUP($E843,product_epicenter!$A$2:$A$101,product_epicenter!$B$2:$C$101)</f>
        <v>Mosquito Repellent 1 pack </v>
      </c>
      <c r="G843" s="21">
        <v>90.0</v>
      </c>
      <c r="H843" s="9">
        <v>2.0</v>
      </c>
      <c r="I843" s="21">
        <f t="shared" si="2"/>
        <v>180</v>
      </c>
    </row>
    <row r="844" ht="15.75" customHeight="1">
      <c r="A844" s="18">
        <f t="shared" si="3"/>
        <v>45801</v>
      </c>
      <c r="B844" s="19">
        <f t="shared" si="1"/>
        <v>45800</v>
      </c>
      <c r="C844" s="23" t="s">
        <v>604</v>
      </c>
      <c r="D844" s="5" t="s">
        <v>605</v>
      </c>
      <c r="E844" s="9" t="s">
        <v>157</v>
      </c>
      <c r="F844" s="9" t="str">
        <f t="array" ref="F844:G844">XLOOKUP($E844,product_epicenter!$A$2:$A$101,product_epicenter!$B$2:$C$101)</f>
        <v>Butter Paper 1 roll </v>
      </c>
      <c r="G844" s="21">
        <v>100.0</v>
      </c>
      <c r="H844" s="9">
        <v>9.0</v>
      </c>
      <c r="I844" s="21">
        <f t="shared" si="2"/>
        <v>900</v>
      </c>
    </row>
    <row r="845" ht="15.75" customHeight="1">
      <c r="A845" s="18">
        <f t="shared" si="3"/>
        <v>45801</v>
      </c>
      <c r="B845" s="19">
        <f t="shared" si="1"/>
        <v>45800</v>
      </c>
      <c r="C845" s="23" t="s">
        <v>604</v>
      </c>
      <c r="D845" s="5" t="s">
        <v>605</v>
      </c>
      <c r="E845" s="9" t="s">
        <v>179</v>
      </c>
      <c r="F845" s="9" t="str">
        <f t="array" ref="F845:G845">XLOOKUP($E845,product_epicenter!$A$2:$A$101,product_epicenter!$B$2:$C$101)</f>
        <v>Sports Drink 1 litre </v>
      </c>
      <c r="G845" s="21">
        <v>200.0</v>
      </c>
      <c r="H845" s="9">
        <v>1.0</v>
      </c>
      <c r="I845" s="21">
        <f t="shared" si="2"/>
        <v>200</v>
      </c>
    </row>
    <row r="846" ht="15.75" customHeight="1">
      <c r="A846" s="18">
        <f t="shared" si="3"/>
        <v>45801</v>
      </c>
      <c r="B846" s="19">
        <f t="shared" si="1"/>
        <v>45800</v>
      </c>
      <c r="C846" s="23" t="s">
        <v>606</v>
      </c>
      <c r="D846" s="5" t="s">
        <v>607</v>
      </c>
      <c r="E846" s="9" t="s">
        <v>65</v>
      </c>
      <c r="F846" s="9" t="str">
        <f t="array" ref="F846:G846">XLOOKUP($E846,product_epicenter!$A$2:$A$101,product_epicenter!$B$2:$C$101)</f>
        <v>Soap 1 bar </v>
      </c>
      <c r="G846" s="21">
        <v>40.0</v>
      </c>
      <c r="H846" s="9">
        <v>2.0</v>
      </c>
      <c r="I846" s="21">
        <f t="shared" si="2"/>
        <v>80</v>
      </c>
    </row>
    <row r="847" ht="15.75" customHeight="1">
      <c r="A847" s="18">
        <f t="shared" si="3"/>
        <v>45801</v>
      </c>
      <c r="B847" s="19">
        <f t="shared" si="1"/>
        <v>45800</v>
      </c>
      <c r="C847" s="23" t="s">
        <v>606</v>
      </c>
      <c r="D847" s="5" t="s">
        <v>607</v>
      </c>
      <c r="E847" s="9" t="s">
        <v>25</v>
      </c>
      <c r="F847" s="9" t="str">
        <f t="array" ref="F847:G847">XLOOKUP($E847,product_epicenter!$A$2:$A$101,product_epicenter!$B$2:$C$101)</f>
        <v>Bread 500g </v>
      </c>
      <c r="G847" s="21">
        <v>40.0</v>
      </c>
      <c r="H847" s="9">
        <v>1.0</v>
      </c>
      <c r="I847" s="21">
        <f t="shared" si="2"/>
        <v>40</v>
      </c>
    </row>
    <row r="848" ht="15.75" customHeight="1">
      <c r="A848" s="18">
        <f t="shared" si="3"/>
        <v>45801</v>
      </c>
      <c r="B848" s="19">
        <f t="shared" si="1"/>
        <v>45800</v>
      </c>
      <c r="C848" s="23" t="s">
        <v>606</v>
      </c>
      <c r="D848" s="5" t="s">
        <v>607</v>
      </c>
      <c r="E848" s="9" t="s">
        <v>107</v>
      </c>
      <c r="F848" s="9" t="str">
        <f t="array" ref="F848:G848">XLOOKUP($E848,product_epicenter!$A$2:$A$101,product_epicenter!$B$2:$C$101)</f>
        <v>Peanut Butter 500g </v>
      </c>
      <c r="G848" s="21">
        <v>250.0</v>
      </c>
      <c r="H848" s="9">
        <v>4.0</v>
      </c>
      <c r="I848" s="21">
        <f t="shared" si="2"/>
        <v>1000</v>
      </c>
    </row>
    <row r="849" ht="15.75" customHeight="1">
      <c r="A849" s="18">
        <f t="shared" si="3"/>
        <v>45801</v>
      </c>
      <c r="B849" s="19">
        <f t="shared" si="1"/>
        <v>45800</v>
      </c>
      <c r="C849" s="23" t="s">
        <v>608</v>
      </c>
      <c r="D849" s="5" t="s">
        <v>609</v>
      </c>
      <c r="E849" s="9" t="s">
        <v>193</v>
      </c>
      <c r="F849" s="9" t="str">
        <f t="array" ref="F849:G849">XLOOKUP($E849,product_epicenter!$A$2:$A$101,product_epicenter!$B$2:$C$101)</f>
        <v>Lip Balm 1 tube </v>
      </c>
      <c r="G849" s="21">
        <v>100.0</v>
      </c>
      <c r="H849" s="9">
        <v>2.0</v>
      </c>
      <c r="I849" s="21">
        <f t="shared" si="2"/>
        <v>200</v>
      </c>
    </row>
    <row r="850" ht="15.75" customHeight="1">
      <c r="A850" s="18">
        <f t="shared" si="3"/>
        <v>45801</v>
      </c>
      <c r="B850" s="19">
        <f t="shared" si="1"/>
        <v>45800</v>
      </c>
      <c r="C850" s="23" t="s">
        <v>608</v>
      </c>
      <c r="D850" s="5" t="s">
        <v>609</v>
      </c>
      <c r="E850" s="9" t="s">
        <v>19</v>
      </c>
      <c r="F850" s="9" t="str">
        <f t="array" ref="F850:G850">XLOOKUP($E850,product_epicenter!$A$2:$A$101,product_epicenter!$B$2:$C$101)</f>
        <v>Green Peas 1kg </v>
      </c>
      <c r="G850" s="21">
        <v>120.0</v>
      </c>
      <c r="H850" s="9">
        <v>3.0</v>
      </c>
      <c r="I850" s="21">
        <f t="shared" si="2"/>
        <v>360</v>
      </c>
    </row>
    <row r="851" ht="15.75" customHeight="1">
      <c r="A851" s="18">
        <f t="shared" si="3"/>
        <v>45801</v>
      </c>
      <c r="B851" s="19">
        <f t="shared" si="1"/>
        <v>45800</v>
      </c>
      <c r="C851" s="23" t="s">
        <v>608</v>
      </c>
      <c r="D851" s="5" t="s">
        <v>609</v>
      </c>
      <c r="E851" s="9" t="s">
        <v>131</v>
      </c>
      <c r="F851" s="9" t="str">
        <f t="array" ref="F851:G851">XLOOKUP($E851,product_epicenter!$A$2:$A$101,product_epicenter!$B$2:$C$101)</f>
        <v>Yogurt 500g </v>
      </c>
      <c r="G851" s="21">
        <v>80.0</v>
      </c>
      <c r="H851" s="9">
        <v>6.0</v>
      </c>
      <c r="I851" s="21">
        <f t="shared" si="2"/>
        <v>480</v>
      </c>
    </row>
    <row r="852" ht="15.75" customHeight="1">
      <c r="A852" s="18">
        <f t="shared" si="3"/>
        <v>45801</v>
      </c>
      <c r="B852" s="19">
        <f t="shared" si="1"/>
        <v>45800</v>
      </c>
      <c r="C852" s="23" t="s">
        <v>608</v>
      </c>
      <c r="D852" s="5" t="s">
        <v>609</v>
      </c>
      <c r="E852" s="9" t="s">
        <v>11</v>
      </c>
      <c r="F852" s="9" t="str">
        <f t="array" ref="F852:G852">XLOOKUP($E852,product_epicenter!$A$2:$A$101,product_epicenter!$B$2:$C$101)</f>
        <v>Turmeric 100g </v>
      </c>
      <c r="G852" s="21">
        <v>200.0</v>
      </c>
      <c r="H852" s="9">
        <v>4.0</v>
      </c>
      <c r="I852" s="21">
        <f t="shared" si="2"/>
        <v>800</v>
      </c>
    </row>
    <row r="853" ht="15.75" customHeight="1">
      <c r="A853" s="18">
        <f t="shared" si="3"/>
        <v>45801</v>
      </c>
      <c r="B853" s="19">
        <f t="shared" si="1"/>
        <v>45800</v>
      </c>
      <c r="C853" s="23" t="s">
        <v>610</v>
      </c>
      <c r="D853" s="5" t="s">
        <v>611</v>
      </c>
      <c r="E853" s="9" t="s">
        <v>133</v>
      </c>
      <c r="F853" s="9" t="str">
        <f t="array" ref="F853:G853">XLOOKUP($E853,product_epicenter!$A$2:$A$101,product_epicenter!$B$2:$C$101)</f>
        <v>Paneer 1kg </v>
      </c>
      <c r="G853" s="21">
        <v>400.0</v>
      </c>
      <c r="H853" s="9">
        <v>7.0</v>
      </c>
      <c r="I853" s="21">
        <f t="shared" si="2"/>
        <v>2800</v>
      </c>
    </row>
    <row r="854" ht="15.75" customHeight="1">
      <c r="A854" s="18">
        <f t="shared" si="3"/>
        <v>45801</v>
      </c>
      <c r="B854" s="19">
        <f t="shared" si="1"/>
        <v>45800</v>
      </c>
      <c r="C854" s="23" t="s">
        <v>610</v>
      </c>
      <c r="D854" s="5" t="s">
        <v>611</v>
      </c>
      <c r="E854" s="9" t="s">
        <v>159</v>
      </c>
      <c r="F854" s="9" t="str">
        <f t="array" ref="F854:G854">XLOOKUP($E854,product_epicenter!$A$2:$A$101,product_epicenter!$B$2:$C$101)</f>
        <v>Plastic Wrap 1 roll </v>
      </c>
      <c r="G854" s="21">
        <v>150.0</v>
      </c>
      <c r="H854" s="9">
        <v>6.0</v>
      </c>
      <c r="I854" s="21">
        <f t="shared" si="2"/>
        <v>900</v>
      </c>
    </row>
    <row r="855" ht="15.75" customHeight="1">
      <c r="A855" s="18">
        <f t="shared" si="3"/>
        <v>45801</v>
      </c>
      <c r="B855" s="19">
        <f t="shared" si="1"/>
        <v>45800</v>
      </c>
      <c r="C855" s="23" t="s">
        <v>610</v>
      </c>
      <c r="D855" s="5" t="s">
        <v>611</v>
      </c>
      <c r="E855" s="9" t="s">
        <v>19</v>
      </c>
      <c r="F855" s="9" t="str">
        <f t="array" ref="F855:G855">XLOOKUP($E855,product_epicenter!$A$2:$A$101,product_epicenter!$B$2:$C$101)</f>
        <v>Green Peas 1kg </v>
      </c>
      <c r="G855" s="21">
        <v>120.0</v>
      </c>
      <c r="H855" s="9">
        <v>8.0</v>
      </c>
      <c r="I855" s="21">
        <f t="shared" si="2"/>
        <v>960</v>
      </c>
    </row>
    <row r="856" ht="15.75" customHeight="1">
      <c r="A856" s="18">
        <f t="shared" si="3"/>
        <v>45801</v>
      </c>
      <c r="B856" s="19">
        <f t="shared" si="1"/>
        <v>45800</v>
      </c>
      <c r="C856" s="23" t="s">
        <v>612</v>
      </c>
      <c r="D856" s="5" t="s">
        <v>613</v>
      </c>
      <c r="E856" s="9" t="s">
        <v>97</v>
      </c>
      <c r="F856" s="9" t="str">
        <f t="array" ref="F856:G856">XLOOKUP($E856,product_epicenter!$A$2:$A$101,product_epicenter!$B$2:$C$101)</f>
        <v>Noodles 500g </v>
      </c>
      <c r="G856" s="21">
        <v>100.0</v>
      </c>
      <c r="H856" s="9">
        <v>5.0</v>
      </c>
      <c r="I856" s="21">
        <f t="shared" si="2"/>
        <v>500</v>
      </c>
    </row>
    <row r="857" ht="15.75" customHeight="1">
      <c r="A857" s="18">
        <f t="shared" si="3"/>
        <v>45801</v>
      </c>
      <c r="B857" s="19">
        <f t="shared" si="1"/>
        <v>45800</v>
      </c>
      <c r="C857" s="23" t="s">
        <v>612</v>
      </c>
      <c r="D857" s="5" t="s">
        <v>613</v>
      </c>
      <c r="E857" s="9" t="s">
        <v>37</v>
      </c>
      <c r="F857" s="9" t="str">
        <f t="array" ref="F857:G857">XLOOKUP($E857,product_epicenter!$A$2:$A$101,product_epicenter!$B$2:$C$101)</f>
        <v>Apples 1kg </v>
      </c>
      <c r="G857" s="21">
        <v>200.0</v>
      </c>
      <c r="H857" s="9">
        <v>7.0</v>
      </c>
      <c r="I857" s="21">
        <f t="shared" si="2"/>
        <v>1400</v>
      </c>
    </row>
    <row r="858" ht="15.75" customHeight="1">
      <c r="A858" s="18">
        <f t="shared" si="3"/>
        <v>45801</v>
      </c>
      <c r="B858" s="19">
        <f t="shared" si="1"/>
        <v>45800</v>
      </c>
      <c r="C858" s="23" t="s">
        <v>612</v>
      </c>
      <c r="D858" s="5" t="s">
        <v>613</v>
      </c>
      <c r="E858" s="9" t="s">
        <v>161</v>
      </c>
      <c r="F858" s="9" t="str">
        <f t="array" ref="F858:G858">XLOOKUP($E858,product_epicenter!$A$2:$A$101,product_epicenter!$B$2:$C$101)</f>
        <v>Aluminium Foil 1 roll </v>
      </c>
      <c r="G858" s="21">
        <v>120.0</v>
      </c>
      <c r="H858" s="9">
        <v>9.0</v>
      </c>
      <c r="I858" s="21">
        <f t="shared" si="2"/>
        <v>1080</v>
      </c>
    </row>
    <row r="859" ht="15.75" customHeight="1">
      <c r="A859" s="18">
        <f t="shared" si="3"/>
        <v>45801</v>
      </c>
      <c r="B859" s="19">
        <f t="shared" si="1"/>
        <v>45800</v>
      </c>
      <c r="C859" s="23" t="s">
        <v>612</v>
      </c>
      <c r="D859" s="5" t="s">
        <v>613</v>
      </c>
      <c r="E859" s="9" t="s">
        <v>141</v>
      </c>
      <c r="F859" s="9" t="str">
        <f t="array" ref="F859:G859">XLOOKUP($E859,product_epicenter!$A$2:$A$101,product_epicenter!$B$2:$C$101)</f>
        <v>Basmati Rice 1kg </v>
      </c>
      <c r="G859" s="21">
        <v>120.0</v>
      </c>
      <c r="H859" s="9">
        <v>9.0</v>
      </c>
      <c r="I859" s="21">
        <f t="shared" si="2"/>
        <v>1080</v>
      </c>
    </row>
    <row r="860" ht="15.75" customHeight="1">
      <c r="A860" s="18">
        <f t="shared" si="3"/>
        <v>45801</v>
      </c>
      <c r="B860" s="19">
        <f t="shared" si="1"/>
        <v>45800</v>
      </c>
      <c r="C860" s="23" t="s">
        <v>614</v>
      </c>
      <c r="D860" s="5" t="s">
        <v>615</v>
      </c>
      <c r="E860" s="9" t="s">
        <v>99</v>
      </c>
      <c r="F860" s="9" t="str">
        <f t="array" ref="F860:G860">XLOOKUP($E860,product_epicenter!$A$2:$A$101,product_epicenter!$B$2:$C$101)</f>
        <v>Oats 1kg </v>
      </c>
      <c r="G860" s="21">
        <v>250.0</v>
      </c>
      <c r="H860" s="9">
        <v>9.0</v>
      </c>
      <c r="I860" s="21">
        <f t="shared" si="2"/>
        <v>2250</v>
      </c>
    </row>
    <row r="861" ht="15.75" customHeight="1">
      <c r="A861" s="18">
        <f t="shared" si="3"/>
        <v>45801</v>
      </c>
      <c r="B861" s="19">
        <f t="shared" si="1"/>
        <v>45800</v>
      </c>
      <c r="C861" s="23" t="s">
        <v>614</v>
      </c>
      <c r="D861" s="5" t="s">
        <v>615</v>
      </c>
      <c r="E861" s="9" t="s">
        <v>187</v>
      </c>
      <c r="F861" s="9" t="str">
        <f t="array" ref="F861:G861">XLOOKUP($E861,product_epicenter!$A$2:$A$101,product_epicenter!$B$2:$C$101)</f>
        <v>Shaving Cream 100g </v>
      </c>
      <c r="G861" s="21">
        <v>150.0</v>
      </c>
      <c r="H861" s="9">
        <v>7.0</v>
      </c>
      <c r="I861" s="21">
        <f t="shared" si="2"/>
        <v>1050</v>
      </c>
    </row>
    <row r="862" ht="15.75" customHeight="1">
      <c r="A862" s="18">
        <f t="shared" si="3"/>
        <v>45801</v>
      </c>
      <c r="B862" s="19">
        <f t="shared" si="1"/>
        <v>45800</v>
      </c>
      <c r="C862" s="23" t="s">
        <v>614</v>
      </c>
      <c r="D862" s="5" t="s">
        <v>615</v>
      </c>
      <c r="E862" s="9" t="s">
        <v>67</v>
      </c>
      <c r="F862" s="9" t="str">
        <f t="array" ref="F862:G862">XLOOKUP($E862,product_epicenter!$A$2:$A$101,product_epicenter!$B$2:$C$101)</f>
        <v>Toothpaste 1 tube </v>
      </c>
      <c r="G862" s="21">
        <v>80.0</v>
      </c>
      <c r="H862" s="9">
        <v>4.0</v>
      </c>
      <c r="I862" s="21">
        <f t="shared" si="2"/>
        <v>320</v>
      </c>
    </row>
    <row r="863" ht="15.75" customHeight="1">
      <c r="A863" s="18">
        <f t="shared" si="3"/>
        <v>45801</v>
      </c>
      <c r="B863" s="19">
        <f t="shared" si="1"/>
        <v>45800</v>
      </c>
      <c r="C863" s="23" t="s">
        <v>616</v>
      </c>
      <c r="D863" s="5" t="s">
        <v>617</v>
      </c>
      <c r="E863" s="9" t="s">
        <v>17</v>
      </c>
      <c r="F863" s="9" t="str">
        <f t="array" ref="F863:G863">XLOOKUP($E863,product_epicenter!$A$2:$A$101,product_epicenter!$B$2:$C$101)</f>
        <v>Dry Fruits Mix 1kg </v>
      </c>
      <c r="G863" s="21">
        <v>850.0</v>
      </c>
      <c r="H863" s="9">
        <v>3.0</v>
      </c>
      <c r="I863" s="21">
        <f t="shared" si="2"/>
        <v>2550</v>
      </c>
    </row>
    <row r="864" ht="15.75" customHeight="1">
      <c r="A864" s="18">
        <f t="shared" si="3"/>
        <v>45801</v>
      </c>
      <c r="B864" s="19">
        <f t="shared" si="1"/>
        <v>45800</v>
      </c>
      <c r="C864" s="23" t="s">
        <v>616</v>
      </c>
      <c r="D864" s="5" t="s">
        <v>617</v>
      </c>
      <c r="E864" s="9" t="s">
        <v>57</v>
      </c>
      <c r="F864" s="9" t="str">
        <f t="array" ref="F864:G864">XLOOKUP($E864,product_epicenter!$A$2:$A$101,product_epicenter!$B$2:$C$101)</f>
        <v>Chocolates 1 bar </v>
      </c>
      <c r="G864" s="21">
        <v>100.0</v>
      </c>
      <c r="H864" s="9">
        <v>6.0</v>
      </c>
      <c r="I864" s="21">
        <f t="shared" si="2"/>
        <v>600</v>
      </c>
    </row>
    <row r="865" ht="15.75" customHeight="1">
      <c r="A865" s="18">
        <f t="shared" si="3"/>
        <v>45801</v>
      </c>
      <c r="B865" s="19">
        <f t="shared" si="1"/>
        <v>45800</v>
      </c>
      <c r="C865" s="23" t="s">
        <v>616</v>
      </c>
      <c r="D865" s="5" t="s">
        <v>617</v>
      </c>
      <c r="E865" s="9" t="s">
        <v>105</v>
      </c>
      <c r="F865" s="9" t="str">
        <f t="array" ref="F865:G865">XLOOKUP($E865,product_epicenter!$A$2:$A$101,product_epicenter!$B$2:$C$101)</f>
        <v>Jam 500g </v>
      </c>
      <c r="G865" s="21">
        <v>150.0</v>
      </c>
      <c r="H865" s="9">
        <v>4.0</v>
      </c>
      <c r="I865" s="21">
        <f t="shared" si="2"/>
        <v>600</v>
      </c>
    </row>
    <row r="866" ht="15.75" customHeight="1">
      <c r="A866" s="18">
        <f t="shared" si="3"/>
        <v>45801</v>
      </c>
      <c r="B866" s="19">
        <f t="shared" si="1"/>
        <v>45800</v>
      </c>
      <c r="C866" s="23" t="s">
        <v>618</v>
      </c>
      <c r="D866" s="5" t="s">
        <v>619</v>
      </c>
      <c r="E866" s="9" t="s">
        <v>97</v>
      </c>
      <c r="F866" s="9" t="str">
        <f t="array" ref="F866:G866">XLOOKUP($E866,product_epicenter!$A$2:$A$101,product_epicenter!$B$2:$C$101)</f>
        <v>Noodles 500g </v>
      </c>
      <c r="G866" s="21">
        <v>100.0</v>
      </c>
      <c r="H866" s="9">
        <v>3.0</v>
      </c>
      <c r="I866" s="21">
        <f t="shared" si="2"/>
        <v>300</v>
      </c>
    </row>
    <row r="867" ht="15.75" customHeight="1">
      <c r="A867" s="18">
        <f t="shared" si="3"/>
        <v>45801</v>
      </c>
      <c r="B867" s="19">
        <f t="shared" si="1"/>
        <v>45800</v>
      </c>
      <c r="C867" s="23" t="s">
        <v>618</v>
      </c>
      <c r="D867" s="5" t="s">
        <v>619</v>
      </c>
      <c r="E867" s="9" t="s">
        <v>117</v>
      </c>
      <c r="F867" s="9" t="str">
        <f t="array" ref="F867:G867">XLOOKUP($E867,product_epicenter!$A$2:$A$101,product_epicenter!$B$2:$C$101)</f>
        <v>Green Tea 250g </v>
      </c>
      <c r="G867" s="21">
        <v>350.0</v>
      </c>
      <c r="H867" s="9">
        <v>4.0</v>
      </c>
      <c r="I867" s="21">
        <f t="shared" si="2"/>
        <v>1400</v>
      </c>
    </row>
    <row r="868" ht="15.75" customHeight="1">
      <c r="A868" s="18">
        <f t="shared" si="3"/>
        <v>45801</v>
      </c>
      <c r="B868" s="19">
        <f t="shared" si="1"/>
        <v>45800</v>
      </c>
      <c r="C868" s="23" t="s">
        <v>618</v>
      </c>
      <c r="D868" s="5" t="s">
        <v>619</v>
      </c>
      <c r="E868" s="9" t="s">
        <v>85</v>
      </c>
      <c r="F868" s="9" t="str">
        <f t="array" ref="F868:G868">XLOOKUP($E868,product_epicenter!$A$2:$A$101,product_epicenter!$B$2:$C$101)</f>
        <v>Cumin Seeds 100g </v>
      </c>
      <c r="G868" s="21">
        <v>40.0</v>
      </c>
      <c r="H868" s="9">
        <v>8.0</v>
      </c>
      <c r="I868" s="21">
        <f t="shared" si="2"/>
        <v>320</v>
      </c>
    </row>
    <row r="869" ht="15.75" customHeight="1">
      <c r="A869" s="18">
        <f t="shared" si="3"/>
        <v>45801</v>
      </c>
      <c r="B869" s="19">
        <f t="shared" si="1"/>
        <v>45800</v>
      </c>
      <c r="C869" s="23" t="s">
        <v>618</v>
      </c>
      <c r="D869" s="5" t="s">
        <v>619</v>
      </c>
      <c r="E869" s="9" t="s">
        <v>57</v>
      </c>
      <c r="F869" s="9" t="str">
        <f t="array" ref="F869:G869">XLOOKUP($E869,product_epicenter!$A$2:$A$101,product_epicenter!$B$2:$C$101)</f>
        <v>Chocolates 1 bar </v>
      </c>
      <c r="G869" s="21">
        <v>100.0</v>
      </c>
      <c r="H869" s="9">
        <v>6.0</v>
      </c>
      <c r="I869" s="21">
        <f t="shared" si="2"/>
        <v>600</v>
      </c>
    </row>
    <row r="870" ht="15.75" customHeight="1">
      <c r="A870" s="18">
        <f t="shared" si="3"/>
        <v>45801</v>
      </c>
      <c r="B870" s="19">
        <f t="shared" si="1"/>
        <v>45800</v>
      </c>
      <c r="C870" s="23" t="s">
        <v>620</v>
      </c>
      <c r="D870" s="5" t="s">
        <v>621</v>
      </c>
      <c r="E870" s="9" t="s">
        <v>195</v>
      </c>
      <c r="F870" s="9" t="str">
        <f t="array" ref="F870:G870">XLOOKUP($E870,product_epicenter!$A$2:$A$101,product_epicenter!$B$2:$C$101)</f>
        <v>Face Wash 250ml </v>
      </c>
      <c r="G870" s="21">
        <v>200.0</v>
      </c>
      <c r="H870" s="9">
        <v>8.0</v>
      </c>
      <c r="I870" s="21">
        <f t="shared" si="2"/>
        <v>1600</v>
      </c>
    </row>
    <row r="871" ht="15.75" customHeight="1">
      <c r="A871" s="18">
        <f t="shared" si="3"/>
        <v>45801</v>
      </c>
      <c r="B871" s="19">
        <f t="shared" si="1"/>
        <v>45800</v>
      </c>
      <c r="C871" s="23" t="s">
        <v>620</v>
      </c>
      <c r="D871" s="5" t="s">
        <v>621</v>
      </c>
      <c r="E871" s="9" t="s">
        <v>125</v>
      </c>
      <c r="F871" s="9" t="str">
        <f t="array" ref="F871:G871">XLOOKUP($E871,product_epicenter!$A$2:$A$101,product_epicenter!$B$2:$C$101)</f>
        <v>Mangoes 1kg </v>
      </c>
      <c r="G871" s="21">
        <v>250.0</v>
      </c>
      <c r="H871" s="9">
        <v>5.0</v>
      </c>
      <c r="I871" s="21">
        <f t="shared" si="2"/>
        <v>1250</v>
      </c>
    </row>
    <row r="872" ht="15.75" customHeight="1">
      <c r="A872" s="18">
        <f t="shared" si="3"/>
        <v>45801</v>
      </c>
      <c r="B872" s="19">
        <f t="shared" si="1"/>
        <v>45800</v>
      </c>
      <c r="C872" s="23" t="s">
        <v>620</v>
      </c>
      <c r="D872" s="5" t="s">
        <v>621</v>
      </c>
      <c r="E872" s="9" t="s">
        <v>119</v>
      </c>
      <c r="F872" s="9" t="str">
        <f t="array" ref="F872:G872">XLOOKUP($E872,product_epicenter!$A$2:$A$101,product_epicenter!$B$2:$C$101)</f>
        <v>Black Tea 250g </v>
      </c>
      <c r="G872" s="21">
        <v>300.0</v>
      </c>
      <c r="H872" s="9">
        <v>2.0</v>
      </c>
      <c r="I872" s="21">
        <f t="shared" si="2"/>
        <v>600</v>
      </c>
    </row>
    <row r="873" ht="15.75" customHeight="1">
      <c r="A873" s="18">
        <f t="shared" si="3"/>
        <v>45801</v>
      </c>
      <c r="B873" s="19">
        <f t="shared" si="1"/>
        <v>45800</v>
      </c>
      <c r="C873" s="23" t="s">
        <v>622</v>
      </c>
      <c r="D873" s="5" t="s">
        <v>623</v>
      </c>
      <c r="E873" s="9" t="s">
        <v>165</v>
      </c>
      <c r="F873" s="9" t="str">
        <f t="array" ref="F873:G873">XLOOKUP($E873,product_epicenter!$A$2:$A$101,product_epicenter!$B$2:$C$101)</f>
        <v>Candles 1 pack </v>
      </c>
      <c r="G873" s="21">
        <v>80.0</v>
      </c>
      <c r="H873" s="9">
        <v>9.0</v>
      </c>
      <c r="I873" s="21">
        <f t="shared" si="2"/>
        <v>720</v>
      </c>
    </row>
    <row r="874" ht="15.75" customHeight="1">
      <c r="A874" s="18">
        <f t="shared" si="3"/>
        <v>45801</v>
      </c>
      <c r="B874" s="19">
        <f t="shared" si="1"/>
        <v>45800</v>
      </c>
      <c r="C874" s="23" t="s">
        <v>622</v>
      </c>
      <c r="D874" s="5" t="s">
        <v>623</v>
      </c>
      <c r="E874" s="9" t="s">
        <v>137</v>
      </c>
      <c r="F874" s="9" t="str">
        <f t="array" ref="F874:G874">XLOOKUP($E874,product_epicenter!$A$2:$A$101,product_epicenter!$B$2:$C$101)</f>
        <v>Peanut 1kg </v>
      </c>
      <c r="G874" s="21">
        <v>180.0</v>
      </c>
      <c r="H874" s="9">
        <v>7.0</v>
      </c>
      <c r="I874" s="21">
        <f t="shared" si="2"/>
        <v>1260</v>
      </c>
    </row>
    <row r="875" ht="15.75" customHeight="1">
      <c r="A875" s="18">
        <f t="shared" si="3"/>
        <v>45801</v>
      </c>
      <c r="B875" s="19">
        <f t="shared" si="1"/>
        <v>45800</v>
      </c>
      <c r="C875" s="23" t="s">
        <v>622</v>
      </c>
      <c r="D875" s="5" t="s">
        <v>623</v>
      </c>
      <c r="E875" s="9" t="s">
        <v>31</v>
      </c>
      <c r="F875" s="9" t="str">
        <f t="array" ref="F875:G875">XLOOKUP($E875,product_epicenter!$A$2:$A$101,product_epicenter!$B$2:$C$101)</f>
        <v>Eggs 12 pcs </v>
      </c>
      <c r="G875" s="21">
        <v>80.0</v>
      </c>
      <c r="H875" s="9">
        <v>2.0</v>
      </c>
      <c r="I875" s="21">
        <f t="shared" si="2"/>
        <v>160</v>
      </c>
    </row>
    <row r="876" ht="15.75" customHeight="1">
      <c r="A876" s="18">
        <f t="shared" si="3"/>
        <v>45801</v>
      </c>
      <c r="B876" s="19">
        <f t="shared" si="1"/>
        <v>45800</v>
      </c>
      <c r="C876" s="23" t="s">
        <v>622</v>
      </c>
      <c r="D876" s="5" t="s">
        <v>623</v>
      </c>
      <c r="E876" s="9" t="s">
        <v>183</v>
      </c>
      <c r="F876" s="9" t="str">
        <f t="array" ref="F876:G876">XLOOKUP($E876,product_epicenter!$A$2:$A$101,product_epicenter!$B$2:$C$101)</f>
        <v>Body Lotion 500ml </v>
      </c>
      <c r="G876" s="21">
        <v>250.0</v>
      </c>
      <c r="H876" s="9">
        <v>6.0</v>
      </c>
      <c r="I876" s="21">
        <f t="shared" si="2"/>
        <v>1500</v>
      </c>
    </row>
    <row r="877" ht="15.75" customHeight="1">
      <c r="A877" s="18">
        <f t="shared" si="3"/>
        <v>45801</v>
      </c>
      <c r="B877" s="19">
        <f t="shared" si="1"/>
        <v>45800</v>
      </c>
      <c r="C877" s="23" t="s">
        <v>622</v>
      </c>
      <c r="D877" s="5" t="s">
        <v>623</v>
      </c>
      <c r="E877" s="9" t="s">
        <v>17</v>
      </c>
      <c r="F877" s="9" t="str">
        <f t="array" ref="F877:G877">XLOOKUP($E877,product_epicenter!$A$2:$A$101,product_epicenter!$B$2:$C$101)</f>
        <v>Dry Fruits Mix 1kg </v>
      </c>
      <c r="G877" s="21">
        <v>850.0</v>
      </c>
      <c r="H877" s="9">
        <v>4.0</v>
      </c>
      <c r="I877" s="21">
        <f t="shared" si="2"/>
        <v>3400</v>
      </c>
    </row>
    <row r="878" ht="15.75" customHeight="1">
      <c r="A878" s="18">
        <f t="shared" si="3"/>
        <v>45801</v>
      </c>
      <c r="B878" s="19">
        <f t="shared" si="1"/>
        <v>45800</v>
      </c>
      <c r="C878" s="23" t="s">
        <v>624</v>
      </c>
      <c r="D878" s="5" t="s">
        <v>625</v>
      </c>
      <c r="E878" s="9" t="s">
        <v>171</v>
      </c>
      <c r="F878" s="9" t="str">
        <f t="array" ref="F878:G878">XLOOKUP($E878,product_epicenter!$A$2:$A$101,product_epicenter!$B$2:$C$101)</f>
        <v>Mineral Water 1 litre </v>
      </c>
      <c r="G878" s="21">
        <v>20.0</v>
      </c>
      <c r="H878" s="9">
        <v>3.0</v>
      </c>
      <c r="I878" s="21">
        <f t="shared" si="2"/>
        <v>60</v>
      </c>
    </row>
    <row r="879" ht="15.75" customHeight="1">
      <c r="A879" s="18">
        <f t="shared" si="3"/>
        <v>45801</v>
      </c>
      <c r="B879" s="19">
        <f t="shared" si="1"/>
        <v>45800</v>
      </c>
      <c r="C879" s="23" t="s">
        <v>624</v>
      </c>
      <c r="D879" s="5" t="s">
        <v>625</v>
      </c>
      <c r="E879" s="9" t="s">
        <v>57</v>
      </c>
      <c r="F879" s="9" t="str">
        <f t="array" ref="F879:G879">XLOOKUP($E879,product_epicenter!$A$2:$A$101,product_epicenter!$B$2:$C$101)</f>
        <v>Chocolates 1 bar </v>
      </c>
      <c r="G879" s="21">
        <v>100.0</v>
      </c>
      <c r="H879" s="9">
        <v>1.0</v>
      </c>
      <c r="I879" s="21">
        <f t="shared" si="2"/>
        <v>100</v>
      </c>
    </row>
    <row r="880" ht="15.75" customHeight="1">
      <c r="A880" s="18">
        <f t="shared" si="3"/>
        <v>45801</v>
      </c>
      <c r="B880" s="19">
        <f t="shared" si="1"/>
        <v>45800</v>
      </c>
      <c r="C880" s="23" t="s">
        <v>624</v>
      </c>
      <c r="D880" s="5" t="s">
        <v>625</v>
      </c>
      <c r="E880" s="9" t="s">
        <v>81</v>
      </c>
      <c r="F880" s="9" t="str">
        <f t="array" ref="F880:G880">XLOOKUP($E880,product_epicenter!$A$2:$A$101,product_epicenter!$B$2:$C$101)</f>
        <v>Cooking Oil 1 litre </v>
      </c>
      <c r="G880" s="21">
        <v>120.0</v>
      </c>
      <c r="H880" s="9">
        <v>2.0</v>
      </c>
      <c r="I880" s="21">
        <f t="shared" si="2"/>
        <v>240</v>
      </c>
    </row>
    <row r="881" ht="15.75" customHeight="1">
      <c r="A881" s="18">
        <f t="shared" si="3"/>
        <v>45801</v>
      </c>
      <c r="B881" s="19">
        <f t="shared" si="1"/>
        <v>45800</v>
      </c>
      <c r="C881" s="23" t="s">
        <v>624</v>
      </c>
      <c r="D881" s="5" t="s">
        <v>625</v>
      </c>
      <c r="E881" s="9" t="s">
        <v>63</v>
      </c>
      <c r="F881" s="9" t="str">
        <f t="array" ref="F881:G881">XLOOKUP($E881,product_epicenter!$A$2:$A$101,product_epicenter!$B$2:$C$101)</f>
        <v>Shampoo 1 bottle </v>
      </c>
      <c r="G881" s="21">
        <v>200.0</v>
      </c>
      <c r="H881" s="9">
        <v>2.0</v>
      </c>
      <c r="I881" s="21">
        <f t="shared" si="2"/>
        <v>400</v>
      </c>
    </row>
    <row r="882" ht="15.75" customHeight="1">
      <c r="A882" s="18">
        <f t="shared" si="3"/>
        <v>45801</v>
      </c>
      <c r="B882" s="19">
        <f t="shared" si="1"/>
        <v>45800</v>
      </c>
      <c r="C882" s="23" t="s">
        <v>624</v>
      </c>
      <c r="D882" s="5" t="s">
        <v>625</v>
      </c>
      <c r="E882" s="9" t="s">
        <v>15</v>
      </c>
      <c r="F882" s="9" t="str">
        <f t="array" ref="F882:G882">XLOOKUP($E882,product_epicenter!$A$2:$A$101,product_epicenter!$B$2:$C$101)</f>
        <v>Tea 250g </v>
      </c>
      <c r="G882" s="21">
        <v>155.0</v>
      </c>
      <c r="H882" s="9">
        <v>6.0</v>
      </c>
      <c r="I882" s="21">
        <f t="shared" si="2"/>
        <v>930</v>
      </c>
    </row>
    <row r="883" ht="15.75" customHeight="1">
      <c r="A883" s="18">
        <f t="shared" si="3"/>
        <v>45801</v>
      </c>
      <c r="B883" s="19">
        <f t="shared" si="1"/>
        <v>45800</v>
      </c>
      <c r="C883" s="23" t="s">
        <v>626</v>
      </c>
      <c r="D883" s="5" t="s">
        <v>627</v>
      </c>
      <c r="E883" s="9" t="s">
        <v>81</v>
      </c>
      <c r="F883" s="9" t="str">
        <f t="array" ref="F883:G883">XLOOKUP($E883,product_epicenter!$A$2:$A$101,product_epicenter!$B$2:$C$101)</f>
        <v>Cooking Oil 1 litre </v>
      </c>
      <c r="G883" s="21">
        <v>120.0</v>
      </c>
      <c r="H883" s="9">
        <v>6.0</v>
      </c>
      <c r="I883" s="21">
        <f t="shared" si="2"/>
        <v>720</v>
      </c>
    </row>
    <row r="884" ht="15.75" customHeight="1">
      <c r="A884" s="18">
        <f t="shared" si="3"/>
        <v>45801</v>
      </c>
      <c r="B884" s="19">
        <f t="shared" si="1"/>
        <v>45800</v>
      </c>
      <c r="C884" s="23" t="s">
        <v>626</v>
      </c>
      <c r="D884" s="5" t="s">
        <v>627</v>
      </c>
      <c r="E884" s="9" t="s">
        <v>137</v>
      </c>
      <c r="F884" s="9" t="str">
        <f t="array" ref="F884:G884">XLOOKUP($E884,product_epicenter!$A$2:$A$101,product_epicenter!$B$2:$C$101)</f>
        <v>Peanut 1kg </v>
      </c>
      <c r="G884" s="21">
        <v>180.0</v>
      </c>
      <c r="H884" s="9">
        <v>4.0</v>
      </c>
      <c r="I884" s="21">
        <f t="shared" si="2"/>
        <v>720</v>
      </c>
    </row>
    <row r="885" ht="15.75" customHeight="1">
      <c r="A885" s="18">
        <f t="shared" si="3"/>
        <v>45801</v>
      </c>
      <c r="B885" s="19">
        <f t="shared" si="1"/>
        <v>45800</v>
      </c>
      <c r="C885" s="23" t="s">
        <v>626</v>
      </c>
      <c r="D885" s="5" t="s">
        <v>627</v>
      </c>
      <c r="E885" s="9" t="s">
        <v>83</v>
      </c>
      <c r="F885" s="9" t="str">
        <f t="array" ref="F885:G885">XLOOKUP($E885,product_epicenter!$A$2:$A$101,product_epicenter!$B$2:$C$101)</f>
        <v>Mustard Seeds 100g </v>
      </c>
      <c r="G885" s="21">
        <v>30.0</v>
      </c>
      <c r="H885" s="9">
        <v>1.0</v>
      </c>
      <c r="I885" s="21">
        <f t="shared" si="2"/>
        <v>30</v>
      </c>
    </row>
    <row r="886" ht="15.75" customHeight="1">
      <c r="A886" s="18">
        <f t="shared" si="3"/>
        <v>45801</v>
      </c>
      <c r="B886" s="19">
        <f t="shared" si="1"/>
        <v>45800</v>
      </c>
      <c r="C886" s="23" t="s">
        <v>628</v>
      </c>
      <c r="D886" s="5" t="s">
        <v>629</v>
      </c>
      <c r="E886" s="9" t="s">
        <v>125</v>
      </c>
      <c r="F886" s="9" t="str">
        <f t="array" ref="F886:G886">XLOOKUP($E886,product_epicenter!$A$2:$A$101,product_epicenter!$B$2:$C$101)</f>
        <v>Mangoes 1kg </v>
      </c>
      <c r="G886" s="21">
        <v>250.0</v>
      </c>
      <c r="H886" s="9">
        <v>3.0</v>
      </c>
      <c r="I886" s="21">
        <f t="shared" si="2"/>
        <v>750</v>
      </c>
    </row>
    <row r="887" ht="15.75" customHeight="1">
      <c r="A887" s="18">
        <f t="shared" si="3"/>
        <v>45801</v>
      </c>
      <c r="B887" s="19">
        <f t="shared" si="1"/>
        <v>45800</v>
      </c>
      <c r="C887" s="23" t="s">
        <v>628</v>
      </c>
      <c r="D887" s="5" t="s">
        <v>629</v>
      </c>
      <c r="E887" s="9" t="s">
        <v>97</v>
      </c>
      <c r="F887" s="9" t="str">
        <f t="array" ref="F887:G887">XLOOKUP($E887,product_epicenter!$A$2:$A$101,product_epicenter!$B$2:$C$101)</f>
        <v>Noodles 500g </v>
      </c>
      <c r="G887" s="21">
        <v>100.0</v>
      </c>
      <c r="H887" s="9">
        <v>6.0</v>
      </c>
      <c r="I887" s="21">
        <f t="shared" si="2"/>
        <v>600</v>
      </c>
    </row>
    <row r="888" ht="15.75" customHeight="1">
      <c r="A888" s="18">
        <f t="shared" si="3"/>
        <v>45801</v>
      </c>
      <c r="B888" s="19">
        <f t="shared" si="1"/>
        <v>45800</v>
      </c>
      <c r="C888" s="23" t="s">
        <v>628</v>
      </c>
      <c r="D888" s="5" t="s">
        <v>629</v>
      </c>
      <c r="E888" s="9" t="s">
        <v>143</v>
      </c>
      <c r="F888" s="9" t="str">
        <f t="array" ref="F888:G888">XLOOKUP($E888,product_epicenter!$A$2:$A$101,product_epicenter!$B$2:$C$101)</f>
        <v>Brown Rice 1kg </v>
      </c>
      <c r="G888" s="21">
        <v>100.0</v>
      </c>
      <c r="H888" s="9">
        <v>9.0</v>
      </c>
      <c r="I888" s="21">
        <f t="shared" si="2"/>
        <v>900</v>
      </c>
    </row>
    <row r="889" ht="15.75" customHeight="1">
      <c r="A889" s="18">
        <f t="shared" si="3"/>
        <v>45801</v>
      </c>
      <c r="B889" s="19">
        <f t="shared" si="1"/>
        <v>45800</v>
      </c>
      <c r="C889" s="23" t="s">
        <v>630</v>
      </c>
      <c r="D889" s="5" t="s">
        <v>631</v>
      </c>
      <c r="E889" s="9" t="s">
        <v>187</v>
      </c>
      <c r="F889" s="9" t="str">
        <f t="array" ref="F889:G889">XLOOKUP($E889,product_epicenter!$A$2:$A$101,product_epicenter!$B$2:$C$101)</f>
        <v>Shaving Cream 100g </v>
      </c>
      <c r="G889" s="21">
        <v>150.0</v>
      </c>
      <c r="H889" s="9">
        <v>5.0</v>
      </c>
      <c r="I889" s="21">
        <f t="shared" si="2"/>
        <v>750</v>
      </c>
    </row>
    <row r="890" ht="15.75" customHeight="1">
      <c r="A890" s="18">
        <f t="shared" si="3"/>
        <v>45801</v>
      </c>
      <c r="B890" s="19">
        <f t="shared" si="1"/>
        <v>45800</v>
      </c>
      <c r="C890" s="23" t="s">
        <v>630</v>
      </c>
      <c r="D890" s="5" t="s">
        <v>631</v>
      </c>
      <c r="E890" s="9" t="s">
        <v>27</v>
      </c>
      <c r="F890" s="9" t="str">
        <f t="array" ref="F890:G890">XLOOKUP($E890,product_epicenter!$A$2:$A$101,product_epicenter!$B$2:$C$101)</f>
        <v>Butter 500g </v>
      </c>
      <c r="G890" s="21">
        <v>250.0</v>
      </c>
      <c r="H890" s="9">
        <v>2.0</v>
      </c>
      <c r="I890" s="21">
        <f t="shared" si="2"/>
        <v>500</v>
      </c>
    </row>
    <row r="891" ht="15.75" customHeight="1">
      <c r="A891" s="18">
        <f t="shared" si="3"/>
        <v>45801</v>
      </c>
      <c r="B891" s="19">
        <f t="shared" si="1"/>
        <v>45800</v>
      </c>
      <c r="C891" s="23" t="s">
        <v>630</v>
      </c>
      <c r="D891" s="5" t="s">
        <v>631</v>
      </c>
      <c r="E891" s="9" t="s">
        <v>175</v>
      </c>
      <c r="F891" s="9" t="str">
        <f t="array" ref="F891:G891">XLOOKUP($E891,product_epicenter!$A$2:$A$101,product_epicenter!$B$2:$C$101)</f>
        <v>Ice Tea 1 litre </v>
      </c>
      <c r="G891" s="21">
        <v>120.0</v>
      </c>
      <c r="H891" s="9">
        <v>6.0</v>
      </c>
      <c r="I891" s="21">
        <f t="shared" si="2"/>
        <v>720</v>
      </c>
    </row>
    <row r="892" ht="15.75" customHeight="1">
      <c r="A892" s="18">
        <f t="shared" si="3"/>
        <v>45801</v>
      </c>
      <c r="B892" s="19">
        <f t="shared" si="1"/>
        <v>45800</v>
      </c>
      <c r="C892" s="23" t="s">
        <v>632</v>
      </c>
      <c r="D892" s="5" t="s">
        <v>633</v>
      </c>
      <c r="E892" s="9" t="s">
        <v>7</v>
      </c>
      <c r="F892" s="9" t="str">
        <f t="array" ref="F892:G892">XLOOKUP($E892,product_epicenter!$A$2:$A$101,product_epicenter!$B$2:$C$101)</f>
        <v>Sugar 1kg </v>
      </c>
      <c r="G892" s="21">
        <v>45.0</v>
      </c>
      <c r="H892" s="9">
        <v>2.0</v>
      </c>
      <c r="I892" s="21">
        <f t="shared" si="2"/>
        <v>90</v>
      </c>
    </row>
    <row r="893" ht="15.75" customHeight="1">
      <c r="A893" s="18">
        <f t="shared" si="3"/>
        <v>45801</v>
      </c>
      <c r="B893" s="19">
        <f t="shared" si="1"/>
        <v>45800</v>
      </c>
      <c r="C893" s="23" t="s">
        <v>632</v>
      </c>
      <c r="D893" s="5" t="s">
        <v>633</v>
      </c>
      <c r="E893" s="9" t="s">
        <v>193</v>
      </c>
      <c r="F893" s="9" t="str">
        <f t="array" ref="F893:G893">XLOOKUP($E893,product_epicenter!$A$2:$A$101,product_epicenter!$B$2:$C$101)</f>
        <v>Lip Balm 1 tube </v>
      </c>
      <c r="G893" s="21">
        <v>100.0</v>
      </c>
      <c r="H893" s="9">
        <v>1.0</v>
      </c>
      <c r="I893" s="21">
        <f t="shared" si="2"/>
        <v>100</v>
      </c>
    </row>
    <row r="894" ht="15.75" customHeight="1">
      <c r="A894" s="18">
        <f t="shared" si="3"/>
        <v>45801</v>
      </c>
      <c r="B894" s="19">
        <f t="shared" si="1"/>
        <v>45800</v>
      </c>
      <c r="C894" s="23" t="s">
        <v>632</v>
      </c>
      <c r="D894" s="5" t="s">
        <v>633</v>
      </c>
      <c r="E894" s="9" t="s">
        <v>125</v>
      </c>
      <c r="F894" s="9" t="str">
        <f t="array" ref="F894:G894">XLOOKUP($E894,product_epicenter!$A$2:$A$101,product_epicenter!$B$2:$C$101)</f>
        <v>Mangoes 1kg </v>
      </c>
      <c r="G894" s="21">
        <v>250.0</v>
      </c>
      <c r="H894" s="9">
        <v>9.0</v>
      </c>
      <c r="I894" s="21">
        <f t="shared" si="2"/>
        <v>2250</v>
      </c>
    </row>
    <row r="895" ht="15.75" customHeight="1">
      <c r="A895" s="18">
        <f t="shared" si="3"/>
        <v>45801</v>
      </c>
      <c r="B895" s="19">
        <f t="shared" si="1"/>
        <v>45800</v>
      </c>
      <c r="C895" s="23" t="s">
        <v>632</v>
      </c>
      <c r="D895" s="5" t="s">
        <v>633</v>
      </c>
      <c r="E895" s="9" t="s">
        <v>25</v>
      </c>
      <c r="F895" s="9" t="str">
        <f t="array" ref="F895:G895">XLOOKUP($E895,product_epicenter!$A$2:$A$101,product_epicenter!$B$2:$C$101)</f>
        <v>Bread 500g </v>
      </c>
      <c r="G895" s="21">
        <v>40.0</v>
      </c>
      <c r="H895" s="9">
        <v>5.0</v>
      </c>
      <c r="I895" s="21">
        <f t="shared" si="2"/>
        <v>200</v>
      </c>
    </row>
    <row r="896" ht="15.75" customHeight="1">
      <c r="A896" s="18">
        <f t="shared" si="3"/>
        <v>45801</v>
      </c>
      <c r="B896" s="19">
        <f t="shared" si="1"/>
        <v>45800</v>
      </c>
      <c r="C896" s="23" t="s">
        <v>632</v>
      </c>
      <c r="D896" s="5" t="s">
        <v>633</v>
      </c>
      <c r="E896" s="9" t="s">
        <v>85</v>
      </c>
      <c r="F896" s="9" t="str">
        <f t="array" ref="F896:G896">XLOOKUP($E896,product_epicenter!$A$2:$A$101,product_epicenter!$B$2:$C$101)</f>
        <v>Cumin Seeds 100g </v>
      </c>
      <c r="G896" s="21">
        <v>40.0</v>
      </c>
      <c r="H896" s="9">
        <v>8.0</v>
      </c>
      <c r="I896" s="21">
        <f t="shared" si="2"/>
        <v>320</v>
      </c>
    </row>
    <row r="897" ht="15.75" customHeight="1">
      <c r="A897" s="18">
        <f t="shared" si="3"/>
        <v>45801</v>
      </c>
      <c r="B897" s="19">
        <f t="shared" si="1"/>
        <v>45800</v>
      </c>
      <c r="C897" s="23" t="s">
        <v>634</v>
      </c>
      <c r="D897" s="5" t="s">
        <v>635</v>
      </c>
      <c r="E897" s="9" t="s">
        <v>141</v>
      </c>
      <c r="F897" s="9" t="str">
        <f t="array" ref="F897:G897">XLOOKUP($E897,product_epicenter!$A$2:$A$101,product_epicenter!$B$2:$C$101)</f>
        <v>Basmati Rice 1kg </v>
      </c>
      <c r="G897" s="21">
        <v>120.0</v>
      </c>
      <c r="H897" s="9">
        <v>9.0</v>
      </c>
      <c r="I897" s="21">
        <f t="shared" si="2"/>
        <v>1080</v>
      </c>
    </row>
    <row r="898" ht="15.75" customHeight="1">
      <c r="A898" s="18">
        <f t="shared" si="3"/>
        <v>45801</v>
      </c>
      <c r="B898" s="19">
        <f t="shared" si="1"/>
        <v>45800</v>
      </c>
      <c r="C898" s="23" t="s">
        <v>634</v>
      </c>
      <c r="D898" s="5" t="s">
        <v>635</v>
      </c>
      <c r="E898" s="9" t="s">
        <v>195</v>
      </c>
      <c r="F898" s="9" t="str">
        <f t="array" ref="F898:G898">XLOOKUP($E898,product_epicenter!$A$2:$A$101,product_epicenter!$B$2:$C$101)</f>
        <v>Face Wash 250ml </v>
      </c>
      <c r="G898" s="21">
        <v>200.0</v>
      </c>
      <c r="H898" s="9">
        <v>4.0</v>
      </c>
      <c r="I898" s="21">
        <f t="shared" si="2"/>
        <v>800</v>
      </c>
    </row>
    <row r="899" ht="15.75" customHeight="1">
      <c r="A899" s="18">
        <f t="shared" si="3"/>
        <v>45801</v>
      </c>
      <c r="B899" s="19">
        <f t="shared" si="1"/>
        <v>45800</v>
      </c>
      <c r="C899" s="23" t="s">
        <v>634</v>
      </c>
      <c r="D899" s="5" t="s">
        <v>635</v>
      </c>
      <c r="E899" s="9" t="s">
        <v>135</v>
      </c>
      <c r="F899" s="9" t="str">
        <f t="array" ref="F899:G899">XLOOKUP($E899,product_epicenter!$A$2:$A$101,product_epicenter!$B$2:$C$101)</f>
        <v>Ice Cubes 1 pack </v>
      </c>
      <c r="G899" s="21">
        <v>50.0</v>
      </c>
      <c r="H899" s="9">
        <v>9.0</v>
      </c>
      <c r="I899" s="21">
        <f t="shared" si="2"/>
        <v>450</v>
      </c>
    </row>
    <row r="900" ht="15.75" customHeight="1">
      <c r="A900" s="18">
        <f t="shared" si="3"/>
        <v>45801</v>
      </c>
      <c r="B900" s="19">
        <f t="shared" si="1"/>
        <v>45800</v>
      </c>
      <c r="C900" s="23" t="s">
        <v>634</v>
      </c>
      <c r="D900" s="5" t="s">
        <v>635</v>
      </c>
      <c r="E900" s="9" t="s">
        <v>101</v>
      </c>
      <c r="F900" s="9" t="str">
        <f t="array" ref="F900:G900">XLOOKUP($E900,product_epicenter!$A$2:$A$101,product_epicenter!$B$2:$C$101)</f>
        <v>Cornflakes 500g </v>
      </c>
      <c r="G900" s="21">
        <v>200.0</v>
      </c>
      <c r="H900" s="9">
        <v>3.0</v>
      </c>
      <c r="I900" s="21">
        <f t="shared" si="2"/>
        <v>600</v>
      </c>
    </row>
    <row r="901" ht="15.75" customHeight="1">
      <c r="A901" s="18">
        <f t="shared" si="3"/>
        <v>45801</v>
      </c>
      <c r="B901" s="19">
        <f t="shared" si="1"/>
        <v>45800</v>
      </c>
      <c r="C901" s="23" t="s">
        <v>634</v>
      </c>
      <c r="D901" s="5" t="s">
        <v>635</v>
      </c>
      <c r="E901" s="9" t="s">
        <v>121</v>
      </c>
      <c r="F901" s="9" t="str">
        <f t="array" ref="F901:G901">XLOOKUP($E901,product_epicenter!$A$2:$A$101,product_epicenter!$B$2:$C$101)</f>
        <v>Lemon 1kg </v>
      </c>
      <c r="G901" s="21">
        <v>80.0</v>
      </c>
      <c r="H901" s="9">
        <v>1.0</v>
      </c>
      <c r="I901" s="21">
        <f t="shared" si="2"/>
        <v>80</v>
      </c>
    </row>
    <row r="902" ht="15.75" customHeight="1">
      <c r="A902" s="18">
        <f t="shared" si="3"/>
        <v>45801</v>
      </c>
      <c r="B902" s="19">
        <f t="shared" si="1"/>
        <v>45801</v>
      </c>
      <c r="C902" s="23" t="s">
        <v>636</v>
      </c>
      <c r="D902" s="5" t="s">
        <v>637</v>
      </c>
      <c r="E902" s="9" t="s">
        <v>147</v>
      </c>
      <c r="F902" s="9" t="str">
        <f t="array" ref="F902:G902">XLOOKUP($E902,product_epicenter!$A$2:$A$101,product_epicenter!$B$2:$C$101)</f>
        <v>Baking Soda 500g </v>
      </c>
      <c r="G902" s="21">
        <v>50.0</v>
      </c>
      <c r="H902" s="9">
        <v>8.0</v>
      </c>
      <c r="I902" s="21">
        <f t="shared" si="2"/>
        <v>400</v>
      </c>
    </row>
    <row r="903" ht="15.75" customHeight="1">
      <c r="A903" s="18">
        <f t="shared" si="3"/>
        <v>45801</v>
      </c>
      <c r="B903" s="19">
        <f t="shared" si="1"/>
        <v>45801</v>
      </c>
      <c r="C903" s="23" t="s">
        <v>636</v>
      </c>
      <c r="D903" s="5" t="s">
        <v>637</v>
      </c>
      <c r="E903" s="9" t="s">
        <v>111</v>
      </c>
      <c r="F903" s="9" t="str">
        <f t="array" ref="F903:G903">XLOOKUP($E903,product_epicenter!$A$2:$A$101,product_epicenter!$B$2:$C$101)</f>
        <v>Almonds 500g </v>
      </c>
      <c r="G903" s="21">
        <v>500.0</v>
      </c>
      <c r="H903" s="9">
        <v>8.0</v>
      </c>
      <c r="I903" s="21">
        <f t="shared" si="2"/>
        <v>4000</v>
      </c>
    </row>
    <row r="904" ht="15.75" customHeight="1">
      <c r="A904" s="18">
        <f t="shared" si="3"/>
        <v>45801</v>
      </c>
      <c r="B904" s="19">
        <f t="shared" si="1"/>
        <v>45801</v>
      </c>
      <c r="C904" s="23" t="s">
        <v>636</v>
      </c>
      <c r="D904" s="5" t="s">
        <v>637</v>
      </c>
      <c r="E904" s="9" t="s">
        <v>191</v>
      </c>
      <c r="F904" s="9" t="str">
        <f t="array" ref="F904:G904">XLOOKUP($E904,product_epicenter!$A$2:$A$101,product_epicenter!$B$2:$C$101)</f>
        <v>Nail Polish 1 bottle </v>
      </c>
      <c r="G904" s="21">
        <v>120.0</v>
      </c>
      <c r="H904" s="9">
        <v>3.0</v>
      </c>
      <c r="I904" s="21">
        <f t="shared" si="2"/>
        <v>360</v>
      </c>
    </row>
    <row r="905" ht="15.75" customHeight="1">
      <c r="A905" s="18">
        <f t="shared" si="3"/>
        <v>45801</v>
      </c>
      <c r="B905" s="19">
        <f t="shared" si="1"/>
        <v>45801</v>
      </c>
      <c r="C905" s="23" t="s">
        <v>638</v>
      </c>
      <c r="D905" s="5" t="s">
        <v>639</v>
      </c>
      <c r="E905" s="9" t="s">
        <v>167</v>
      </c>
      <c r="F905" s="9" t="str">
        <f t="array" ref="F905:G905">XLOOKUP($E905,product_epicenter!$A$2:$A$101,product_epicenter!$B$2:$C$101)</f>
        <v>Batteries 1 pack </v>
      </c>
      <c r="G905" s="21">
        <v>250.0</v>
      </c>
      <c r="H905" s="9">
        <v>6.0</v>
      </c>
      <c r="I905" s="21">
        <f t="shared" si="2"/>
        <v>1500</v>
      </c>
    </row>
    <row r="906" ht="15.75" customHeight="1">
      <c r="A906" s="18">
        <f t="shared" si="3"/>
        <v>45801</v>
      </c>
      <c r="B906" s="19">
        <f t="shared" si="1"/>
        <v>45801</v>
      </c>
      <c r="C906" s="23" t="s">
        <v>638</v>
      </c>
      <c r="D906" s="5" t="s">
        <v>639</v>
      </c>
      <c r="E906" s="9" t="s">
        <v>143</v>
      </c>
      <c r="F906" s="9" t="str">
        <f t="array" ref="F906:G906">XLOOKUP($E906,product_epicenter!$A$2:$A$101,product_epicenter!$B$2:$C$101)</f>
        <v>Brown Rice 1kg </v>
      </c>
      <c r="G906" s="21">
        <v>100.0</v>
      </c>
      <c r="H906" s="9">
        <v>1.0</v>
      </c>
      <c r="I906" s="21">
        <f t="shared" si="2"/>
        <v>100</v>
      </c>
    </row>
    <row r="907" ht="15.75" customHeight="1">
      <c r="A907" s="18">
        <f t="shared" si="3"/>
        <v>45801</v>
      </c>
      <c r="B907" s="19">
        <f t="shared" si="1"/>
        <v>45801</v>
      </c>
      <c r="C907" s="23" t="s">
        <v>638</v>
      </c>
      <c r="D907" s="5" t="s">
        <v>639</v>
      </c>
      <c r="E907" s="9" t="s">
        <v>73</v>
      </c>
      <c r="F907" s="9" t="str">
        <f t="array" ref="F907:G907">XLOOKUP($E907,product_epicenter!$A$2:$A$101,product_epicenter!$B$2:$C$101)</f>
        <v>Floor Cleaner 1 litre </v>
      </c>
      <c r="G907" s="21">
        <v>150.0</v>
      </c>
      <c r="H907" s="9">
        <v>9.0</v>
      </c>
      <c r="I907" s="21">
        <f t="shared" si="2"/>
        <v>1350</v>
      </c>
    </row>
    <row r="908" ht="15.75" customHeight="1">
      <c r="A908" s="18">
        <f t="shared" si="3"/>
        <v>45801</v>
      </c>
      <c r="B908" s="19">
        <f t="shared" si="1"/>
        <v>45801</v>
      </c>
      <c r="C908" s="23" t="s">
        <v>638</v>
      </c>
      <c r="D908" s="5" t="s">
        <v>639</v>
      </c>
      <c r="E908" s="9" t="s">
        <v>25</v>
      </c>
      <c r="F908" s="9" t="str">
        <f t="array" ref="F908:G908">XLOOKUP($E908,product_epicenter!$A$2:$A$101,product_epicenter!$B$2:$C$101)</f>
        <v>Bread 500g </v>
      </c>
      <c r="G908" s="21">
        <v>40.0</v>
      </c>
      <c r="H908" s="9">
        <v>1.0</v>
      </c>
      <c r="I908" s="21">
        <f t="shared" si="2"/>
        <v>40</v>
      </c>
    </row>
    <row r="909" ht="15.75" customHeight="1">
      <c r="A909" s="18">
        <f t="shared" si="3"/>
        <v>45801</v>
      </c>
      <c r="B909" s="19">
        <f t="shared" si="1"/>
        <v>45801</v>
      </c>
      <c r="C909" s="23" t="s">
        <v>638</v>
      </c>
      <c r="D909" s="5" t="s">
        <v>639</v>
      </c>
      <c r="E909" s="9" t="s">
        <v>35</v>
      </c>
      <c r="F909" s="9" t="str">
        <f t="array" ref="F909:G909">XLOOKUP($E909,product_epicenter!$A$2:$A$101,product_epicenter!$B$2:$C$101)</f>
        <v>Fish 1kg </v>
      </c>
      <c r="G909" s="21">
        <v>300.0</v>
      </c>
      <c r="H909" s="9">
        <v>3.0</v>
      </c>
      <c r="I909" s="21">
        <f t="shared" si="2"/>
        <v>900</v>
      </c>
    </row>
    <row r="910" ht="15.75" customHeight="1">
      <c r="A910" s="18">
        <f t="shared" si="3"/>
        <v>45801</v>
      </c>
      <c r="B910" s="19">
        <f t="shared" si="1"/>
        <v>45801</v>
      </c>
      <c r="C910" s="23" t="s">
        <v>640</v>
      </c>
      <c r="D910" s="5" t="s">
        <v>641</v>
      </c>
      <c r="E910" s="9" t="s">
        <v>61</v>
      </c>
      <c r="F910" s="9" t="str">
        <f t="array" ref="F910:G910">XLOOKUP($E910,product_epicenter!$A$2:$A$101,product_epicenter!$B$2:$C$101)</f>
        <v>Ice Cream 1 litre </v>
      </c>
      <c r="G910" s="21">
        <v>300.0</v>
      </c>
      <c r="H910" s="9">
        <v>2.0</v>
      </c>
      <c r="I910" s="21">
        <f t="shared" si="2"/>
        <v>600</v>
      </c>
    </row>
    <row r="911" ht="15.75" customHeight="1">
      <c r="A911" s="18">
        <f t="shared" si="3"/>
        <v>45801</v>
      </c>
      <c r="B911" s="19">
        <f t="shared" si="1"/>
        <v>45801</v>
      </c>
      <c r="C911" s="23" t="s">
        <v>640</v>
      </c>
      <c r="D911" s="5" t="s">
        <v>641</v>
      </c>
      <c r="E911" s="9" t="s">
        <v>25</v>
      </c>
      <c r="F911" s="9" t="str">
        <f t="array" ref="F911:G911">XLOOKUP($E911,product_epicenter!$A$2:$A$101,product_epicenter!$B$2:$C$101)</f>
        <v>Bread 500g </v>
      </c>
      <c r="G911" s="21">
        <v>40.0</v>
      </c>
      <c r="H911" s="9">
        <v>3.0</v>
      </c>
      <c r="I911" s="21">
        <f t="shared" si="2"/>
        <v>120</v>
      </c>
    </row>
    <row r="912" ht="15.75" customHeight="1">
      <c r="A912" s="18">
        <f t="shared" si="3"/>
        <v>45801</v>
      </c>
      <c r="B912" s="19">
        <f t="shared" si="1"/>
        <v>45801</v>
      </c>
      <c r="C912" s="23" t="s">
        <v>642</v>
      </c>
      <c r="D912" s="5" t="s">
        <v>643</v>
      </c>
      <c r="E912" s="9" t="s">
        <v>61</v>
      </c>
      <c r="F912" s="9" t="str">
        <f t="array" ref="F912:G912">XLOOKUP($E912,product_epicenter!$A$2:$A$101,product_epicenter!$B$2:$C$101)</f>
        <v>Ice Cream 1 litre </v>
      </c>
      <c r="G912" s="21">
        <v>300.0</v>
      </c>
      <c r="H912" s="9">
        <v>2.0</v>
      </c>
      <c r="I912" s="21">
        <f t="shared" si="2"/>
        <v>600</v>
      </c>
    </row>
    <row r="913" ht="15.75" customHeight="1">
      <c r="A913" s="18">
        <f t="shared" si="3"/>
        <v>45801</v>
      </c>
      <c r="B913" s="19">
        <f t="shared" si="1"/>
        <v>45801</v>
      </c>
      <c r="C913" s="23" t="s">
        <v>642</v>
      </c>
      <c r="D913" s="5" t="s">
        <v>643</v>
      </c>
      <c r="E913" s="9" t="s">
        <v>87</v>
      </c>
      <c r="F913" s="9" t="str">
        <f t="array" ref="F913:G913">XLOOKUP($E913,product_epicenter!$A$2:$A$101,product_epicenter!$B$2:$C$101)</f>
        <v>Coriander Powder 100g </v>
      </c>
      <c r="G913" s="21">
        <v>50.0</v>
      </c>
      <c r="H913" s="9">
        <v>5.0</v>
      </c>
      <c r="I913" s="21">
        <f t="shared" si="2"/>
        <v>250</v>
      </c>
    </row>
    <row r="914" ht="15.75" customHeight="1">
      <c r="A914" s="18">
        <f t="shared" si="3"/>
        <v>45801</v>
      </c>
      <c r="B914" s="19">
        <f t="shared" si="1"/>
        <v>45801</v>
      </c>
      <c r="C914" s="23" t="s">
        <v>642</v>
      </c>
      <c r="D914" s="5" t="s">
        <v>643</v>
      </c>
      <c r="E914" s="9" t="s">
        <v>91</v>
      </c>
      <c r="F914" s="9" t="str">
        <f t="array" ref="F914:G914">XLOOKUP($E914,product_epicenter!$A$2:$A$101,product_epicenter!$B$2:$C$101)</f>
        <v>Vinegar 500ml </v>
      </c>
      <c r="G914" s="21">
        <v>90.0</v>
      </c>
      <c r="H914" s="9">
        <v>6.0</v>
      </c>
      <c r="I914" s="21">
        <f t="shared" si="2"/>
        <v>540</v>
      </c>
    </row>
    <row r="915" ht="15.75" customHeight="1">
      <c r="A915" s="18">
        <f t="shared" si="3"/>
        <v>45801</v>
      </c>
      <c r="B915" s="19">
        <f t="shared" si="1"/>
        <v>45801</v>
      </c>
      <c r="C915" s="23" t="s">
        <v>642</v>
      </c>
      <c r="D915" s="5" t="s">
        <v>643</v>
      </c>
      <c r="E915" s="9" t="s">
        <v>95</v>
      </c>
      <c r="F915" s="9" t="str">
        <f t="array" ref="F915:G915">XLOOKUP($E915,product_epicenter!$A$2:$A$101,product_epicenter!$B$2:$C$101)</f>
        <v>Pasta 500g </v>
      </c>
      <c r="G915" s="21">
        <v>150.0</v>
      </c>
      <c r="H915" s="9">
        <v>6.0</v>
      </c>
      <c r="I915" s="21">
        <f t="shared" si="2"/>
        <v>900</v>
      </c>
    </row>
    <row r="916" ht="15.75" customHeight="1">
      <c r="A916" s="18">
        <f t="shared" si="3"/>
        <v>45801</v>
      </c>
      <c r="B916" s="19">
        <f t="shared" si="1"/>
        <v>45801</v>
      </c>
      <c r="C916" s="23" t="s">
        <v>642</v>
      </c>
      <c r="D916" s="5" t="s">
        <v>643</v>
      </c>
      <c r="E916" s="9" t="s">
        <v>61</v>
      </c>
      <c r="F916" s="9" t="str">
        <f t="array" ref="F916:G916">XLOOKUP($E916,product_epicenter!$A$2:$A$101,product_epicenter!$B$2:$C$101)</f>
        <v>Ice Cream 1 litre </v>
      </c>
      <c r="G916" s="21">
        <v>300.0</v>
      </c>
      <c r="H916" s="9">
        <v>6.0</v>
      </c>
      <c r="I916" s="21">
        <f t="shared" si="2"/>
        <v>1800</v>
      </c>
    </row>
    <row r="917" ht="15.75" customHeight="1">
      <c r="A917" s="18">
        <f t="shared" si="3"/>
        <v>45801</v>
      </c>
      <c r="B917" s="19">
        <f t="shared" si="1"/>
        <v>45801</v>
      </c>
      <c r="C917" s="23" t="s">
        <v>644</v>
      </c>
      <c r="D917" s="5" t="s">
        <v>645</v>
      </c>
      <c r="E917" s="9" t="s">
        <v>141</v>
      </c>
      <c r="F917" s="9" t="str">
        <f t="array" ref="F917:G917">XLOOKUP($E917,product_epicenter!$A$2:$A$101,product_epicenter!$B$2:$C$101)</f>
        <v>Basmati Rice 1kg </v>
      </c>
      <c r="G917" s="21">
        <v>120.0</v>
      </c>
      <c r="H917" s="9">
        <v>6.0</v>
      </c>
      <c r="I917" s="21">
        <f t="shared" si="2"/>
        <v>720</v>
      </c>
    </row>
    <row r="918" ht="15.75" customHeight="1">
      <c r="A918" s="18">
        <f t="shared" si="3"/>
        <v>45801</v>
      </c>
      <c r="B918" s="19">
        <f t="shared" si="1"/>
        <v>45801</v>
      </c>
      <c r="C918" s="23" t="s">
        <v>644</v>
      </c>
      <c r="D918" s="5" t="s">
        <v>645</v>
      </c>
      <c r="E918" s="9" t="s">
        <v>13</v>
      </c>
      <c r="F918" s="9" t="str">
        <f t="array" ref="F918:G918">XLOOKUP($E918,product_epicenter!$A$2:$A$101,product_epicenter!$B$2:$C$101)</f>
        <v>Coffee 100g </v>
      </c>
      <c r="G918" s="21">
        <v>250.0</v>
      </c>
      <c r="H918" s="9">
        <v>4.0</v>
      </c>
      <c r="I918" s="21">
        <f t="shared" si="2"/>
        <v>1000</v>
      </c>
    </row>
    <row r="919" ht="15.75" customHeight="1">
      <c r="A919" s="18">
        <f t="shared" si="3"/>
        <v>45801</v>
      </c>
      <c r="B919" s="19">
        <f t="shared" si="1"/>
        <v>45801</v>
      </c>
      <c r="C919" s="23" t="s">
        <v>644</v>
      </c>
      <c r="D919" s="5" t="s">
        <v>645</v>
      </c>
      <c r="E919" s="9" t="s">
        <v>147</v>
      </c>
      <c r="F919" s="9" t="str">
        <f t="array" ref="F919:G919">XLOOKUP($E919,product_epicenter!$A$2:$A$101,product_epicenter!$B$2:$C$101)</f>
        <v>Baking Soda 500g </v>
      </c>
      <c r="G919" s="21">
        <v>50.0</v>
      </c>
      <c r="H919" s="9">
        <v>9.0</v>
      </c>
      <c r="I919" s="21">
        <f t="shared" si="2"/>
        <v>450</v>
      </c>
    </row>
    <row r="920" ht="15.75" customHeight="1">
      <c r="A920" s="18">
        <f t="shared" si="3"/>
        <v>45801</v>
      </c>
      <c r="B920" s="19">
        <f t="shared" si="1"/>
        <v>45801</v>
      </c>
      <c r="C920" s="23" t="s">
        <v>644</v>
      </c>
      <c r="D920" s="5" t="s">
        <v>645</v>
      </c>
      <c r="E920" s="9" t="s">
        <v>79</v>
      </c>
      <c r="F920" s="9" t="str">
        <f t="array" ref="F920:G920">XLOOKUP($E920,product_epicenter!$A$2:$A$101,product_epicenter!$B$2:$C$101)</f>
        <v>Tissue Roll 1 pack </v>
      </c>
      <c r="G920" s="21">
        <v>60.0</v>
      </c>
      <c r="H920" s="9">
        <v>7.0</v>
      </c>
      <c r="I920" s="21">
        <f t="shared" si="2"/>
        <v>420</v>
      </c>
    </row>
    <row r="921" ht="15.75" customHeight="1">
      <c r="A921" s="18">
        <f t="shared" si="3"/>
        <v>45801</v>
      </c>
      <c r="B921" s="19">
        <f t="shared" si="1"/>
        <v>45801</v>
      </c>
      <c r="C921" s="23" t="s">
        <v>644</v>
      </c>
      <c r="D921" s="5" t="s">
        <v>645</v>
      </c>
      <c r="E921" s="9" t="s">
        <v>137</v>
      </c>
      <c r="F921" s="9" t="str">
        <f t="array" ref="F921:G921">XLOOKUP($E921,product_epicenter!$A$2:$A$101,product_epicenter!$B$2:$C$101)</f>
        <v>Peanut 1kg </v>
      </c>
      <c r="G921" s="21">
        <v>180.0</v>
      </c>
      <c r="H921" s="9">
        <v>9.0</v>
      </c>
      <c r="I921" s="21">
        <f t="shared" si="2"/>
        <v>1620</v>
      </c>
    </row>
    <row r="922" ht="15.75" customHeight="1">
      <c r="A922" s="18">
        <f t="shared" si="3"/>
        <v>45801</v>
      </c>
      <c r="B922" s="19">
        <f t="shared" si="1"/>
        <v>45801</v>
      </c>
      <c r="C922" s="23" t="s">
        <v>644</v>
      </c>
      <c r="D922" s="5" t="s">
        <v>645</v>
      </c>
      <c r="E922" s="9" t="s">
        <v>43</v>
      </c>
      <c r="F922" s="9" t="str">
        <f t="array" ref="F922:G922">XLOOKUP($E922,product_epicenter!$A$2:$A$101,product_epicenter!$B$2:$C$101)</f>
        <v>Potatoes 1kg </v>
      </c>
      <c r="G922" s="21">
        <v>30.0</v>
      </c>
      <c r="H922" s="9">
        <v>6.0</v>
      </c>
      <c r="I922" s="21">
        <f t="shared" si="2"/>
        <v>180</v>
      </c>
    </row>
    <row r="923" ht="15.75" customHeight="1">
      <c r="A923" s="18">
        <f t="shared" si="3"/>
        <v>45801</v>
      </c>
      <c r="B923" s="19">
        <f t="shared" si="1"/>
        <v>45801</v>
      </c>
      <c r="C923" s="23" t="s">
        <v>646</v>
      </c>
      <c r="D923" s="5" t="s">
        <v>647</v>
      </c>
      <c r="E923" s="9" t="s">
        <v>11</v>
      </c>
      <c r="F923" s="9" t="str">
        <f t="array" ref="F923:G923">XLOOKUP($E923,product_epicenter!$A$2:$A$101,product_epicenter!$B$2:$C$101)</f>
        <v>Turmeric 100g </v>
      </c>
      <c r="G923" s="21">
        <v>200.0</v>
      </c>
      <c r="H923" s="9">
        <v>1.0</v>
      </c>
      <c r="I923" s="21">
        <f t="shared" si="2"/>
        <v>200</v>
      </c>
    </row>
    <row r="924" ht="15.75" customHeight="1">
      <c r="A924" s="18">
        <f t="shared" si="3"/>
        <v>45801</v>
      </c>
      <c r="B924" s="19">
        <f t="shared" si="1"/>
        <v>45801</v>
      </c>
      <c r="C924" s="23" t="s">
        <v>646</v>
      </c>
      <c r="D924" s="5" t="s">
        <v>647</v>
      </c>
      <c r="E924" s="9" t="s">
        <v>31</v>
      </c>
      <c r="F924" s="9" t="str">
        <f t="array" ref="F924:G924">XLOOKUP($E924,product_epicenter!$A$2:$A$101,product_epicenter!$B$2:$C$101)</f>
        <v>Eggs 12 pcs </v>
      </c>
      <c r="G924" s="21">
        <v>80.0</v>
      </c>
      <c r="H924" s="9">
        <v>3.0</v>
      </c>
      <c r="I924" s="21">
        <f t="shared" si="2"/>
        <v>240</v>
      </c>
    </row>
    <row r="925" ht="15.75" customHeight="1">
      <c r="A925" s="18">
        <f t="shared" si="3"/>
        <v>45801</v>
      </c>
      <c r="B925" s="19">
        <f t="shared" si="1"/>
        <v>45801</v>
      </c>
      <c r="C925" s="23" t="s">
        <v>646</v>
      </c>
      <c r="D925" s="5" t="s">
        <v>647</v>
      </c>
      <c r="E925" s="9" t="s">
        <v>83</v>
      </c>
      <c r="F925" s="9" t="str">
        <f t="array" ref="F925:G925">XLOOKUP($E925,product_epicenter!$A$2:$A$101,product_epicenter!$B$2:$C$101)</f>
        <v>Mustard Seeds 100g </v>
      </c>
      <c r="G925" s="21">
        <v>30.0</v>
      </c>
      <c r="H925" s="9">
        <v>9.0</v>
      </c>
      <c r="I925" s="21">
        <f t="shared" si="2"/>
        <v>270</v>
      </c>
    </row>
    <row r="926" ht="15.75" customHeight="1">
      <c r="A926" s="18">
        <f t="shared" si="3"/>
        <v>45801</v>
      </c>
      <c r="B926" s="19">
        <f t="shared" si="1"/>
        <v>45801</v>
      </c>
      <c r="C926" s="23" t="s">
        <v>646</v>
      </c>
      <c r="D926" s="5" t="s">
        <v>647</v>
      </c>
      <c r="E926" s="9" t="s">
        <v>3</v>
      </c>
      <c r="F926" s="9" t="str">
        <f t="array" ref="F926:G926">XLOOKUP($E926,product_epicenter!$A$2:$A$101,product_epicenter!$B$2:$C$101)</f>
        <v>Rice 1kg </v>
      </c>
      <c r="G926" s="21">
        <v>60.0</v>
      </c>
      <c r="H926" s="9">
        <v>3.0</v>
      </c>
      <c r="I926" s="21">
        <f t="shared" si="2"/>
        <v>180</v>
      </c>
    </row>
    <row r="927" ht="15.75" customHeight="1">
      <c r="A927" s="18">
        <f t="shared" si="3"/>
        <v>45801</v>
      </c>
      <c r="B927" s="19">
        <f t="shared" si="1"/>
        <v>45801</v>
      </c>
      <c r="C927" s="23" t="s">
        <v>648</v>
      </c>
      <c r="D927" s="5" t="s">
        <v>649</v>
      </c>
      <c r="E927" s="9" t="s">
        <v>101</v>
      </c>
      <c r="F927" s="9" t="str">
        <f t="array" ref="F927:G927">XLOOKUP($E927,product_epicenter!$A$2:$A$101,product_epicenter!$B$2:$C$101)</f>
        <v>Cornflakes 500g </v>
      </c>
      <c r="G927" s="21">
        <v>200.0</v>
      </c>
      <c r="H927" s="9">
        <v>1.0</v>
      </c>
      <c r="I927" s="21">
        <f t="shared" si="2"/>
        <v>200</v>
      </c>
    </row>
    <row r="928" ht="15.75" customHeight="1">
      <c r="A928" s="18">
        <f t="shared" si="3"/>
        <v>45801</v>
      </c>
      <c r="B928" s="19">
        <f t="shared" si="1"/>
        <v>45801</v>
      </c>
      <c r="C928" s="23" t="s">
        <v>648</v>
      </c>
      <c r="D928" s="5" t="s">
        <v>649</v>
      </c>
      <c r="E928" s="9" t="s">
        <v>7</v>
      </c>
      <c r="F928" s="9" t="str">
        <f t="array" ref="F928:G928">XLOOKUP($E928,product_epicenter!$A$2:$A$101,product_epicenter!$B$2:$C$101)</f>
        <v>Sugar 1kg </v>
      </c>
      <c r="G928" s="21">
        <v>45.0</v>
      </c>
      <c r="H928" s="9">
        <v>4.0</v>
      </c>
      <c r="I928" s="21">
        <f t="shared" si="2"/>
        <v>180</v>
      </c>
    </row>
    <row r="929" ht="15.75" customHeight="1">
      <c r="A929" s="18">
        <f t="shared" si="3"/>
        <v>45801</v>
      </c>
      <c r="B929" s="19">
        <f t="shared" si="1"/>
        <v>45801</v>
      </c>
      <c r="C929" s="23" t="s">
        <v>648</v>
      </c>
      <c r="D929" s="5" t="s">
        <v>649</v>
      </c>
      <c r="E929" s="9" t="s">
        <v>65</v>
      </c>
      <c r="F929" s="9" t="str">
        <f t="array" ref="F929:G929">XLOOKUP($E929,product_epicenter!$A$2:$A$101,product_epicenter!$B$2:$C$101)</f>
        <v>Soap 1 bar </v>
      </c>
      <c r="G929" s="21">
        <v>40.0</v>
      </c>
      <c r="H929" s="9">
        <v>4.0</v>
      </c>
      <c r="I929" s="21">
        <f t="shared" si="2"/>
        <v>160</v>
      </c>
    </row>
    <row r="930" ht="15.75" customHeight="1">
      <c r="A930" s="18">
        <f t="shared" si="3"/>
        <v>45801</v>
      </c>
      <c r="B930" s="19">
        <f t="shared" si="1"/>
        <v>45801</v>
      </c>
      <c r="C930" s="23" t="s">
        <v>650</v>
      </c>
      <c r="D930" s="5" t="s">
        <v>651</v>
      </c>
      <c r="E930" s="9" t="s">
        <v>145</v>
      </c>
      <c r="F930" s="9" t="str">
        <f t="array" ref="F930:G930">XLOOKUP($E930,product_epicenter!$A$2:$A$101,product_epicenter!$B$2:$C$101)</f>
        <v>Quinoa 500g </v>
      </c>
      <c r="G930" s="21">
        <v>350.0</v>
      </c>
      <c r="H930" s="9">
        <v>7.0</v>
      </c>
      <c r="I930" s="21">
        <f t="shared" si="2"/>
        <v>2450</v>
      </c>
    </row>
    <row r="931" ht="15.75" customHeight="1">
      <c r="A931" s="18">
        <f t="shared" si="3"/>
        <v>45801</v>
      </c>
      <c r="B931" s="19">
        <f t="shared" si="1"/>
        <v>45801</v>
      </c>
      <c r="C931" s="23" t="s">
        <v>650</v>
      </c>
      <c r="D931" s="5" t="s">
        <v>651</v>
      </c>
      <c r="E931" s="9" t="s">
        <v>83</v>
      </c>
      <c r="F931" s="9" t="str">
        <f t="array" ref="F931:G931">XLOOKUP($E931,product_epicenter!$A$2:$A$101,product_epicenter!$B$2:$C$101)</f>
        <v>Mustard Seeds 100g </v>
      </c>
      <c r="G931" s="21">
        <v>30.0</v>
      </c>
      <c r="H931" s="9">
        <v>5.0</v>
      </c>
      <c r="I931" s="21">
        <f t="shared" si="2"/>
        <v>150</v>
      </c>
    </row>
    <row r="932" ht="15.75" customHeight="1">
      <c r="A932" s="18">
        <f t="shared" si="3"/>
        <v>45801</v>
      </c>
      <c r="B932" s="19">
        <f t="shared" si="1"/>
        <v>45801</v>
      </c>
      <c r="C932" s="23" t="s">
        <v>650</v>
      </c>
      <c r="D932" s="5" t="s">
        <v>651</v>
      </c>
      <c r="E932" s="9" t="s">
        <v>125</v>
      </c>
      <c r="F932" s="9" t="str">
        <f t="array" ref="F932:G932">XLOOKUP($E932,product_epicenter!$A$2:$A$101,product_epicenter!$B$2:$C$101)</f>
        <v>Mangoes 1kg </v>
      </c>
      <c r="G932" s="21">
        <v>250.0</v>
      </c>
      <c r="H932" s="9">
        <v>5.0</v>
      </c>
      <c r="I932" s="21">
        <f t="shared" si="2"/>
        <v>1250</v>
      </c>
    </row>
    <row r="933" ht="15.75" customHeight="1">
      <c r="A933" s="18">
        <f t="shared" si="3"/>
        <v>45801</v>
      </c>
      <c r="B933" s="19">
        <f t="shared" si="1"/>
        <v>45801</v>
      </c>
      <c r="C933" s="23" t="s">
        <v>650</v>
      </c>
      <c r="D933" s="5" t="s">
        <v>651</v>
      </c>
      <c r="E933" s="9" t="s">
        <v>145</v>
      </c>
      <c r="F933" s="9" t="str">
        <f t="array" ref="F933:G933">XLOOKUP($E933,product_epicenter!$A$2:$A$101,product_epicenter!$B$2:$C$101)</f>
        <v>Quinoa 500g </v>
      </c>
      <c r="G933" s="21">
        <v>350.0</v>
      </c>
      <c r="H933" s="9">
        <v>7.0</v>
      </c>
      <c r="I933" s="21">
        <f t="shared" si="2"/>
        <v>2450</v>
      </c>
    </row>
    <row r="934" ht="15.75" customHeight="1">
      <c r="A934" s="18">
        <f t="shared" si="3"/>
        <v>45801</v>
      </c>
      <c r="B934" s="19">
        <f t="shared" si="1"/>
        <v>45801</v>
      </c>
      <c r="C934" s="23" t="s">
        <v>650</v>
      </c>
      <c r="D934" s="5" t="s">
        <v>651</v>
      </c>
      <c r="E934" s="9" t="s">
        <v>115</v>
      </c>
      <c r="F934" s="9" t="str">
        <f t="array" ref="F934:G934">XLOOKUP($E934,product_epicenter!$A$2:$A$101,product_epicenter!$B$2:$C$101)</f>
        <v>Raisins 500g </v>
      </c>
      <c r="G934" s="21">
        <v>400.0</v>
      </c>
      <c r="H934" s="9">
        <v>2.0</v>
      </c>
      <c r="I934" s="21">
        <f t="shared" si="2"/>
        <v>800</v>
      </c>
    </row>
    <row r="935" ht="15.75" customHeight="1">
      <c r="A935" s="18">
        <f t="shared" si="3"/>
        <v>45801</v>
      </c>
      <c r="B935" s="19">
        <f t="shared" si="1"/>
        <v>45801</v>
      </c>
      <c r="C935" s="23" t="s">
        <v>652</v>
      </c>
      <c r="D935" s="5" t="s">
        <v>653</v>
      </c>
      <c r="E935" s="9" t="s">
        <v>3</v>
      </c>
      <c r="F935" s="9" t="str">
        <f t="array" ref="F935:G935">XLOOKUP($E935,product_epicenter!$A$2:$A$101,product_epicenter!$B$2:$C$101)</f>
        <v>Rice 1kg </v>
      </c>
      <c r="G935" s="21">
        <v>60.0</v>
      </c>
      <c r="H935" s="9">
        <v>6.0</v>
      </c>
      <c r="I935" s="21">
        <f t="shared" si="2"/>
        <v>360</v>
      </c>
    </row>
    <row r="936" ht="15.75" customHeight="1">
      <c r="A936" s="18">
        <f t="shared" si="3"/>
        <v>45801</v>
      </c>
      <c r="B936" s="19">
        <f t="shared" si="1"/>
        <v>45801</v>
      </c>
      <c r="C936" s="23" t="s">
        <v>652</v>
      </c>
      <c r="D936" s="5" t="s">
        <v>653</v>
      </c>
      <c r="E936" s="9" t="s">
        <v>81</v>
      </c>
      <c r="F936" s="9" t="str">
        <f t="array" ref="F936:G936">XLOOKUP($E936,product_epicenter!$A$2:$A$101,product_epicenter!$B$2:$C$101)</f>
        <v>Cooking Oil 1 litre </v>
      </c>
      <c r="G936" s="21">
        <v>120.0</v>
      </c>
      <c r="H936" s="9">
        <v>1.0</v>
      </c>
      <c r="I936" s="21">
        <f t="shared" si="2"/>
        <v>120</v>
      </c>
    </row>
    <row r="937" ht="15.75" customHeight="1">
      <c r="A937" s="18">
        <f t="shared" si="3"/>
        <v>45801</v>
      </c>
      <c r="B937" s="19">
        <f t="shared" si="1"/>
        <v>45801</v>
      </c>
      <c r="C937" s="23" t="s">
        <v>652</v>
      </c>
      <c r="D937" s="5" t="s">
        <v>653</v>
      </c>
      <c r="E937" s="9" t="s">
        <v>189</v>
      </c>
      <c r="F937" s="9" t="str">
        <f t="array" ref="F937:G937">XLOOKUP($E937,product_epicenter!$A$2:$A$101,product_epicenter!$B$2:$C$101)</f>
        <v>Razor 1 pack </v>
      </c>
      <c r="G937" s="21">
        <v>200.0</v>
      </c>
      <c r="H937" s="9">
        <v>8.0</v>
      </c>
      <c r="I937" s="21">
        <f t="shared" si="2"/>
        <v>1600</v>
      </c>
    </row>
    <row r="938" ht="15.75" customHeight="1">
      <c r="A938" s="18">
        <f t="shared" si="3"/>
        <v>45801</v>
      </c>
      <c r="B938" s="19">
        <f t="shared" si="1"/>
        <v>45801</v>
      </c>
      <c r="C938" s="23" t="s">
        <v>652</v>
      </c>
      <c r="D938" s="5" t="s">
        <v>653</v>
      </c>
      <c r="E938" s="9" t="s">
        <v>149</v>
      </c>
      <c r="F938" s="9" t="str">
        <f t="array" ref="F938:G938">XLOOKUP($E938,product_epicenter!$A$2:$A$101,product_epicenter!$B$2:$C$101)</f>
        <v>Baking Powder 250g </v>
      </c>
      <c r="G938" s="21">
        <v>80.0</v>
      </c>
      <c r="H938" s="9">
        <v>9.0</v>
      </c>
      <c r="I938" s="21">
        <f t="shared" si="2"/>
        <v>720</v>
      </c>
    </row>
    <row r="939" ht="15.75" customHeight="1">
      <c r="A939" s="18">
        <f t="shared" si="3"/>
        <v>45801</v>
      </c>
      <c r="B939" s="19">
        <f t="shared" si="1"/>
        <v>45801</v>
      </c>
      <c r="C939" s="23" t="s">
        <v>652</v>
      </c>
      <c r="D939" s="5" t="s">
        <v>653</v>
      </c>
      <c r="E939" s="9" t="s">
        <v>163</v>
      </c>
      <c r="F939" s="9" t="str">
        <f t="array" ref="F939:G939">XLOOKUP($E939,product_epicenter!$A$2:$A$101,product_epicenter!$B$2:$C$101)</f>
        <v>Matchsticks 1 pack </v>
      </c>
      <c r="G939" s="21">
        <v>20.0</v>
      </c>
      <c r="H939" s="9">
        <v>4.0</v>
      </c>
      <c r="I939" s="21">
        <f t="shared" si="2"/>
        <v>80</v>
      </c>
    </row>
    <row r="940" ht="15.75" customHeight="1">
      <c r="A940" s="18">
        <f t="shared" si="3"/>
        <v>45801</v>
      </c>
      <c r="B940" s="19">
        <f t="shared" si="1"/>
        <v>45801</v>
      </c>
      <c r="C940" s="23" t="s">
        <v>654</v>
      </c>
      <c r="D940" s="5" t="s">
        <v>655</v>
      </c>
      <c r="E940" s="9" t="s">
        <v>61</v>
      </c>
      <c r="F940" s="9" t="str">
        <f t="array" ref="F940:G940">XLOOKUP($E940,product_epicenter!$A$2:$A$101,product_epicenter!$B$2:$C$101)</f>
        <v>Ice Cream 1 litre </v>
      </c>
      <c r="G940" s="21">
        <v>300.0</v>
      </c>
      <c r="H940" s="9">
        <v>1.0</v>
      </c>
      <c r="I940" s="21">
        <f t="shared" si="2"/>
        <v>300</v>
      </c>
    </row>
    <row r="941" ht="15.75" customHeight="1">
      <c r="A941" s="18">
        <f t="shared" si="3"/>
        <v>45801</v>
      </c>
      <c r="B941" s="19">
        <f t="shared" si="1"/>
        <v>45801</v>
      </c>
      <c r="C941" s="23" t="s">
        <v>654</v>
      </c>
      <c r="D941" s="5" t="s">
        <v>655</v>
      </c>
      <c r="E941" s="9" t="s">
        <v>23</v>
      </c>
      <c r="F941" s="9" t="str">
        <f t="array" ref="F941:G941">XLOOKUP($E941,product_epicenter!$A$2:$A$101,product_epicenter!$B$2:$C$101)</f>
        <v>Milk 1 litre </v>
      </c>
      <c r="G941" s="21">
        <v>60.0</v>
      </c>
      <c r="H941" s="9">
        <v>2.0</v>
      </c>
      <c r="I941" s="21">
        <f t="shared" si="2"/>
        <v>120</v>
      </c>
    </row>
    <row r="942" ht="15.75" customHeight="1">
      <c r="A942" s="18">
        <f t="shared" si="3"/>
        <v>45801</v>
      </c>
      <c r="B942" s="19">
        <f t="shared" si="1"/>
        <v>45801</v>
      </c>
      <c r="C942" s="23" t="s">
        <v>654</v>
      </c>
      <c r="D942" s="5" t="s">
        <v>655</v>
      </c>
      <c r="E942" s="9" t="s">
        <v>25</v>
      </c>
      <c r="F942" s="9" t="str">
        <f t="array" ref="F942:G942">XLOOKUP($E942,product_epicenter!$A$2:$A$101,product_epicenter!$B$2:$C$101)</f>
        <v>Bread 500g </v>
      </c>
      <c r="G942" s="21">
        <v>40.0</v>
      </c>
      <c r="H942" s="9">
        <v>9.0</v>
      </c>
      <c r="I942" s="21">
        <f t="shared" si="2"/>
        <v>360</v>
      </c>
    </row>
    <row r="943" ht="15.75" customHeight="1">
      <c r="A943" s="18">
        <f t="shared" si="3"/>
        <v>45801</v>
      </c>
      <c r="B943" s="19">
        <f t="shared" si="1"/>
        <v>45801</v>
      </c>
      <c r="C943" s="23" t="s">
        <v>656</v>
      </c>
      <c r="D943" s="5" t="s">
        <v>657</v>
      </c>
      <c r="E943" s="9" t="s">
        <v>29</v>
      </c>
      <c r="F943" s="9" t="str">
        <f t="array" ref="F943:G943">XLOOKUP($E943,product_epicenter!$A$2:$A$101,product_epicenter!$B$2:$C$101)</f>
        <v>Cheese 200g </v>
      </c>
      <c r="G943" s="21">
        <v>150.0</v>
      </c>
      <c r="H943" s="9">
        <v>5.0</v>
      </c>
      <c r="I943" s="21">
        <f t="shared" si="2"/>
        <v>750</v>
      </c>
    </row>
    <row r="944" ht="15.75" customHeight="1">
      <c r="A944" s="18">
        <f t="shared" si="3"/>
        <v>45801</v>
      </c>
      <c r="B944" s="19">
        <f t="shared" si="1"/>
        <v>45801</v>
      </c>
      <c r="C944" s="23" t="s">
        <v>656</v>
      </c>
      <c r="D944" s="5" t="s">
        <v>657</v>
      </c>
      <c r="E944" s="9" t="s">
        <v>43</v>
      </c>
      <c r="F944" s="9" t="str">
        <f t="array" ref="F944:G944">XLOOKUP($E944,product_epicenter!$A$2:$A$101,product_epicenter!$B$2:$C$101)</f>
        <v>Potatoes 1kg </v>
      </c>
      <c r="G944" s="21">
        <v>30.0</v>
      </c>
      <c r="H944" s="9">
        <v>5.0</v>
      </c>
      <c r="I944" s="21">
        <f t="shared" si="2"/>
        <v>150</v>
      </c>
    </row>
    <row r="945" ht="15.75" customHeight="1">
      <c r="A945" s="18">
        <f t="shared" si="3"/>
        <v>45801</v>
      </c>
      <c r="B945" s="19">
        <f t="shared" si="1"/>
        <v>45801</v>
      </c>
      <c r="C945" s="23" t="s">
        <v>656</v>
      </c>
      <c r="D945" s="5" t="s">
        <v>657</v>
      </c>
      <c r="E945" s="9" t="s">
        <v>89</v>
      </c>
      <c r="F945" s="9" t="str">
        <f t="array" ref="F945:G945">XLOOKUP($E945,product_epicenter!$A$2:$A$101,product_epicenter!$B$2:$C$101)</f>
        <v>Chili Powder 100g </v>
      </c>
      <c r="G945" s="21">
        <v>60.0</v>
      </c>
      <c r="H945" s="9">
        <v>3.0</v>
      </c>
      <c r="I945" s="21">
        <f t="shared" si="2"/>
        <v>180</v>
      </c>
    </row>
    <row r="946" ht="15.75" customHeight="1">
      <c r="A946" s="18">
        <f t="shared" si="3"/>
        <v>45801</v>
      </c>
      <c r="B946" s="19">
        <f t="shared" si="1"/>
        <v>45801</v>
      </c>
      <c r="C946" s="23" t="s">
        <v>658</v>
      </c>
      <c r="D946" s="5" t="s">
        <v>659</v>
      </c>
      <c r="E946" s="9" t="s">
        <v>105</v>
      </c>
      <c r="F946" s="9" t="str">
        <f t="array" ref="F946:G946">XLOOKUP($E946,product_epicenter!$A$2:$A$101,product_epicenter!$B$2:$C$101)</f>
        <v>Jam 500g </v>
      </c>
      <c r="G946" s="21">
        <v>150.0</v>
      </c>
      <c r="H946" s="9">
        <v>6.0</v>
      </c>
      <c r="I946" s="21">
        <f t="shared" si="2"/>
        <v>900</v>
      </c>
    </row>
    <row r="947" ht="15.75" customHeight="1">
      <c r="A947" s="18">
        <f t="shared" si="3"/>
        <v>45801</v>
      </c>
      <c r="B947" s="19">
        <f t="shared" si="1"/>
        <v>45801</v>
      </c>
      <c r="C947" s="23" t="s">
        <v>658</v>
      </c>
      <c r="D947" s="5" t="s">
        <v>659</v>
      </c>
      <c r="E947" s="9" t="s">
        <v>75</v>
      </c>
      <c r="F947" s="9" t="str">
        <f t="array" ref="F947:G947">XLOOKUP($E947,product_epicenter!$A$2:$A$101,product_epicenter!$B$2:$C$101)</f>
        <v>Toilet Cleaner 1 litre </v>
      </c>
      <c r="G947" s="21">
        <v>120.0</v>
      </c>
      <c r="H947" s="9">
        <v>5.0</v>
      </c>
      <c r="I947" s="21">
        <f t="shared" si="2"/>
        <v>600</v>
      </c>
    </row>
    <row r="948" ht="15.75" customHeight="1">
      <c r="A948" s="18">
        <f t="shared" si="3"/>
        <v>45801</v>
      </c>
      <c r="B948" s="19">
        <f t="shared" si="1"/>
        <v>45801</v>
      </c>
      <c r="C948" s="23" t="s">
        <v>658</v>
      </c>
      <c r="D948" s="5" t="s">
        <v>659</v>
      </c>
      <c r="E948" s="9" t="s">
        <v>69</v>
      </c>
      <c r="F948" s="9" t="str">
        <f t="array" ref="F948:G948">XLOOKUP($E948,product_epicenter!$A$2:$A$101,product_epicenter!$B$2:$C$101)</f>
        <v>Detergent Powder 1kg </v>
      </c>
      <c r="G948" s="21">
        <v>150.0</v>
      </c>
      <c r="H948" s="9">
        <v>5.0</v>
      </c>
      <c r="I948" s="21">
        <f t="shared" si="2"/>
        <v>750</v>
      </c>
    </row>
    <row r="949" ht="15.75" customHeight="1">
      <c r="A949" s="18">
        <f t="shared" si="3"/>
        <v>45801</v>
      </c>
      <c r="B949" s="19">
        <f t="shared" si="1"/>
        <v>45801</v>
      </c>
      <c r="C949" s="23" t="s">
        <v>658</v>
      </c>
      <c r="D949" s="5" t="s">
        <v>659</v>
      </c>
      <c r="E949" s="9" t="s">
        <v>41</v>
      </c>
      <c r="F949" s="9" t="str">
        <f t="array" ref="F949:G949">XLOOKUP($E949,product_epicenter!$A$2:$A$101,product_epicenter!$B$2:$C$101)</f>
        <v>Oranges 1kg </v>
      </c>
      <c r="G949" s="21">
        <v>100.0</v>
      </c>
      <c r="H949" s="9">
        <v>8.0</v>
      </c>
      <c r="I949" s="21">
        <f t="shared" si="2"/>
        <v>800</v>
      </c>
    </row>
    <row r="950" ht="15.75" customHeight="1">
      <c r="A950" s="18">
        <f t="shared" si="3"/>
        <v>45801</v>
      </c>
      <c r="B950" s="19">
        <f t="shared" si="1"/>
        <v>45801</v>
      </c>
      <c r="C950" s="23" t="s">
        <v>660</v>
      </c>
      <c r="D950" s="5" t="s">
        <v>661</v>
      </c>
      <c r="E950" s="9" t="s">
        <v>155</v>
      </c>
      <c r="F950" s="9" t="str">
        <f t="array" ref="F950:G950">XLOOKUP($E950,product_epicenter!$A$2:$A$101,product_epicenter!$B$2:$C$101)</f>
        <v>Whipped Cream 500ml </v>
      </c>
      <c r="G950" s="21">
        <v>250.0</v>
      </c>
      <c r="H950" s="9">
        <v>7.0</v>
      </c>
      <c r="I950" s="21">
        <f t="shared" si="2"/>
        <v>1750</v>
      </c>
    </row>
    <row r="951" ht="15.75" customHeight="1">
      <c r="A951" s="18">
        <f t="shared" si="3"/>
        <v>45801</v>
      </c>
      <c r="B951" s="19">
        <f t="shared" si="1"/>
        <v>45801</v>
      </c>
      <c r="C951" s="23" t="s">
        <v>660</v>
      </c>
      <c r="D951" s="5" t="s">
        <v>661</v>
      </c>
      <c r="E951" s="9" t="s">
        <v>155</v>
      </c>
      <c r="F951" s="9" t="str">
        <f t="array" ref="F951:G951">XLOOKUP($E951,product_epicenter!$A$2:$A$101,product_epicenter!$B$2:$C$101)</f>
        <v>Whipped Cream 500ml </v>
      </c>
      <c r="G951" s="21">
        <v>250.0</v>
      </c>
      <c r="H951" s="9">
        <v>7.0</v>
      </c>
      <c r="I951" s="21">
        <f t="shared" si="2"/>
        <v>1750</v>
      </c>
    </row>
    <row r="952" ht="15.75" customHeight="1">
      <c r="A952" s="18">
        <f t="shared" si="3"/>
        <v>45801</v>
      </c>
      <c r="B952" s="19">
        <f t="shared" si="1"/>
        <v>45801</v>
      </c>
      <c r="C952" s="23" t="s">
        <v>660</v>
      </c>
      <c r="D952" s="5" t="s">
        <v>661</v>
      </c>
      <c r="E952" s="9" t="s">
        <v>55</v>
      </c>
      <c r="F952" s="9" t="str">
        <f t="array" ref="F952:G952">XLOOKUP($E952,product_epicenter!$A$2:$A$101,product_epicenter!$B$2:$C$101)</f>
        <v>Biscuits 1 pack </v>
      </c>
      <c r="G952" s="21">
        <v>30.0</v>
      </c>
      <c r="H952" s="9">
        <v>7.0</v>
      </c>
      <c r="I952" s="21">
        <f t="shared" si="2"/>
        <v>210</v>
      </c>
    </row>
    <row r="953" ht="15.75" customHeight="1">
      <c r="A953" s="18">
        <f t="shared" si="3"/>
        <v>45801</v>
      </c>
      <c r="B953" s="19">
        <f t="shared" si="1"/>
        <v>45801</v>
      </c>
      <c r="C953" s="23" t="s">
        <v>660</v>
      </c>
      <c r="D953" s="5" t="s">
        <v>661</v>
      </c>
      <c r="E953" s="9" t="s">
        <v>41</v>
      </c>
      <c r="F953" s="9" t="str">
        <f t="array" ref="F953:G953">XLOOKUP($E953,product_epicenter!$A$2:$A$101,product_epicenter!$B$2:$C$101)</f>
        <v>Oranges 1kg </v>
      </c>
      <c r="G953" s="21">
        <v>100.0</v>
      </c>
      <c r="H953" s="9">
        <v>8.0</v>
      </c>
      <c r="I953" s="21">
        <f t="shared" si="2"/>
        <v>800</v>
      </c>
    </row>
    <row r="954" ht="15.75" customHeight="1">
      <c r="A954" s="18">
        <f t="shared" si="3"/>
        <v>45801</v>
      </c>
      <c r="B954" s="19">
        <f t="shared" si="1"/>
        <v>45801</v>
      </c>
      <c r="C954" s="23" t="s">
        <v>662</v>
      </c>
      <c r="D954" s="5" t="s">
        <v>663</v>
      </c>
      <c r="E954" s="9" t="s">
        <v>43</v>
      </c>
      <c r="F954" s="9" t="str">
        <f t="array" ref="F954:G954">XLOOKUP($E954,product_epicenter!$A$2:$A$101,product_epicenter!$B$2:$C$101)</f>
        <v>Potatoes 1kg </v>
      </c>
      <c r="G954" s="21">
        <v>30.0</v>
      </c>
      <c r="H954" s="9">
        <v>3.0</v>
      </c>
      <c r="I954" s="21">
        <f t="shared" si="2"/>
        <v>90</v>
      </c>
    </row>
    <row r="955" ht="15.75" customHeight="1">
      <c r="A955" s="18">
        <f t="shared" si="3"/>
        <v>45801</v>
      </c>
      <c r="B955" s="19">
        <f t="shared" si="1"/>
        <v>45801</v>
      </c>
      <c r="C955" s="23" t="s">
        <v>662</v>
      </c>
      <c r="D955" s="5" t="s">
        <v>663</v>
      </c>
      <c r="E955" s="9" t="s">
        <v>103</v>
      </c>
      <c r="F955" s="9" t="str">
        <f t="array" ref="F955:G955">XLOOKUP($E955,product_epicenter!$A$2:$A$101,product_epicenter!$B$2:$C$101)</f>
        <v>Honey 500g </v>
      </c>
      <c r="G955" s="21">
        <v>300.0</v>
      </c>
      <c r="H955" s="9">
        <v>8.0</v>
      </c>
      <c r="I955" s="21">
        <f t="shared" si="2"/>
        <v>2400</v>
      </c>
    </row>
    <row r="956" ht="15.75" customHeight="1">
      <c r="A956" s="18">
        <f t="shared" si="3"/>
        <v>45801</v>
      </c>
      <c r="B956" s="19">
        <f t="shared" si="1"/>
        <v>45801</v>
      </c>
      <c r="C956" s="23" t="s">
        <v>662</v>
      </c>
      <c r="D956" s="5" t="s">
        <v>663</v>
      </c>
      <c r="E956" s="9" t="s">
        <v>105</v>
      </c>
      <c r="F956" s="9" t="str">
        <f t="array" ref="F956:G956">XLOOKUP($E956,product_epicenter!$A$2:$A$101,product_epicenter!$B$2:$C$101)</f>
        <v>Jam 500g </v>
      </c>
      <c r="G956" s="21">
        <v>150.0</v>
      </c>
      <c r="H956" s="9">
        <v>3.0</v>
      </c>
      <c r="I956" s="21">
        <f t="shared" si="2"/>
        <v>450</v>
      </c>
    </row>
    <row r="957" ht="15.75" customHeight="1">
      <c r="A957" s="18">
        <f t="shared" si="3"/>
        <v>45801</v>
      </c>
      <c r="B957" s="19">
        <f t="shared" si="1"/>
        <v>45801</v>
      </c>
      <c r="C957" s="23" t="s">
        <v>664</v>
      </c>
      <c r="D957" s="5" t="s">
        <v>665</v>
      </c>
      <c r="E957" s="9" t="s">
        <v>117</v>
      </c>
      <c r="F957" s="9" t="str">
        <f t="array" ref="F957:G957">XLOOKUP($E957,product_epicenter!$A$2:$A$101,product_epicenter!$B$2:$C$101)</f>
        <v>Green Tea 250g </v>
      </c>
      <c r="G957" s="21">
        <v>350.0</v>
      </c>
      <c r="H957" s="9">
        <v>9.0</v>
      </c>
      <c r="I957" s="21">
        <f t="shared" si="2"/>
        <v>3150</v>
      </c>
    </row>
    <row r="958" ht="15.75" customHeight="1">
      <c r="A958" s="18">
        <f t="shared" si="3"/>
        <v>45801</v>
      </c>
      <c r="B958" s="19">
        <f t="shared" si="1"/>
        <v>45801</v>
      </c>
      <c r="C958" s="23" t="s">
        <v>664</v>
      </c>
      <c r="D958" s="5" t="s">
        <v>665</v>
      </c>
      <c r="E958" s="9" t="s">
        <v>71</v>
      </c>
      <c r="F958" s="9" t="str">
        <f t="array" ref="F958:G958">XLOOKUP($E958,product_epicenter!$A$2:$A$101,product_epicenter!$B$2:$C$101)</f>
        <v>Dishwashing Liquid 500ml </v>
      </c>
      <c r="G958" s="21">
        <v>100.0</v>
      </c>
      <c r="H958" s="9">
        <v>2.0</v>
      </c>
      <c r="I958" s="21">
        <f t="shared" si="2"/>
        <v>200</v>
      </c>
    </row>
    <row r="959" ht="15.75" customHeight="1">
      <c r="A959" s="18">
        <f t="shared" si="3"/>
        <v>45801</v>
      </c>
      <c r="B959" s="19">
        <f t="shared" si="1"/>
        <v>45801</v>
      </c>
      <c r="C959" s="23" t="s">
        <v>664</v>
      </c>
      <c r="D959" s="5" t="s">
        <v>665</v>
      </c>
      <c r="E959" s="9" t="s">
        <v>183</v>
      </c>
      <c r="F959" s="9" t="str">
        <f t="array" ref="F959:G959">XLOOKUP($E959,product_epicenter!$A$2:$A$101,product_epicenter!$B$2:$C$101)</f>
        <v>Body Lotion 500ml </v>
      </c>
      <c r="G959" s="21">
        <v>250.0</v>
      </c>
      <c r="H959" s="9">
        <v>1.0</v>
      </c>
      <c r="I959" s="21">
        <f t="shared" si="2"/>
        <v>250</v>
      </c>
    </row>
    <row r="960" ht="15.75" customHeight="1">
      <c r="A960" s="18">
        <f t="shared" si="3"/>
        <v>45801</v>
      </c>
      <c r="B960" s="19">
        <f t="shared" si="1"/>
        <v>45801</v>
      </c>
      <c r="C960" s="23" t="s">
        <v>664</v>
      </c>
      <c r="D960" s="5" t="s">
        <v>665</v>
      </c>
      <c r="E960" s="9" t="s">
        <v>155</v>
      </c>
      <c r="F960" s="9" t="str">
        <f t="array" ref="F960:G960">XLOOKUP($E960,product_epicenter!$A$2:$A$101,product_epicenter!$B$2:$C$101)</f>
        <v>Whipped Cream 500ml </v>
      </c>
      <c r="G960" s="21">
        <v>250.0</v>
      </c>
      <c r="H960" s="9">
        <v>4.0</v>
      </c>
      <c r="I960" s="21">
        <f t="shared" si="2"/>
        <v>1000</v>
      </c>
    </row>
    <row r="961" ht="15.75" customHeight="1">
      <c r="A961" s="18">
        <f t="shared" si="3"/>
        <v>45801</v>
      </c>
      <c r="B961" s="19">
        <f t="shared" si="1"/>
        <v>45801</v>
      </c>
      <c r="C961" s="23" t="s">
        <v>664</v>
      </c>
      <c r="D961" s="5" t="s">
        <v>665</v>
      </c>
      <c r="E961" s="9" t="s">
        <v>15</v>
      </c>
      <c r="F961" s="9" t="str">
        <f t="array" ref="F961:G961">XLOOKUP($E961,product_epicenter!$A$2:$A$101,product_epicenter!$B$2:$C$101)</f>
        <v>Tea 250g </v>
      </c>
      <c r="G961" s="21">
        <v>155.0</v>
      </c>
      <c r="H961" s="9">
        <v>3.0</v>
      </c>
      <c r="I961" s="21">
        <f t="shared" si="2"/>
        <v>465</v>
      </c>
    </row>
    <row r="962" ht="15.75" customHeight="1">
      <c r="A962" s="18">
        <f t="shared" si="3"/>
        <v>45801</v>
      </c>
      <c r="B962" s="19">
        <f t="shared" si="1"/>
        <v>45801</v>
      </c>
      <c r="C962" s="23" t="s">
        <v>666</v>
      </c>
      <c r="D962" s="5" t="s">
        <v>667</v>
      </c>
      <c r="E962" s="9" t="s">
        <v>115</v>
      </c>
      <c r="F962" s="9" t="str">
        <f t="array" ref="F962:G962">XLOOKUP($E962,product_epicenter!$A$2:$A$101,product_epicenter!$B$2:$C$101)</f>
        <v>Raisins 500g </v>
      </c>
      <c r="G962" s="21">
        <v>400.0</v>
      </c>
      <c r="H962" s="9">
        <v>2.0</v>
      </c>
      <c r="I962" s="21">
        <f t="shared" si="2"/>
        <v>800</v>
      </c>
    </row>
    <row r="963" ht="15.75" customHeight="1">
      <c r="A963" s="18">
        <f t="shared" si="3"/>
        <v>45801</v>
      </c>
      <c r="B963" s="19">
        <f t="shared" si="1"/>
        <v>45801</v>
      </c>
      <c r="C963" s="23" t="s">
        <v>666</v>
      </c>
      <c r="D963" s="5" t="s">
        <v>667</v>
      </c>
      <c r="E963" s="9" t="s">
        <v>153</v>
      </c>
      <c r="F963" s="9" t="str">
        <f t="array" ref="F963:G963">XLOOKUP($E963,product_epicenter!$A$2:$A$101,product_epicenter!$B$2:$C$101)</f>
        <v>Bread Crumbs 500g </v>
      </c>
      <c r="G963" s="21">
        <v>90.0</v>
      </c>
      <c r="H963" s="9">
        <v>5.0</v>
      </c>
      <c r="I963" s="21">
        <f t="shared" si="2"/>
        <v>450</v>
      </c>
    </row>
    <row r="964" ht="15.75" customHeight="1">
      <c r="A964" s="18">
        <f t="shared" si="3"/>
        <v>45801</v>
      </c>
      <c r="B964" s="19">
        <f t="shared" si="1"/>
        <v>45801</v>
      </c>
      <c r="C964" s="23" t="s">
        <v>666</v>
      </c>
      <c r="D964" s="5" t="s">
        <v>667</v>
      </c>
      <c r="E964" s="9" t="s">
        <v>33</v>
      </c>
      <c r="F964" s="9" t="str">
        <f t="array" ref="F964:G964">XLOOKUP($E964,product_epicenter!$A$2:$A$101,product_epicenter!$B$2:$C$101)</f>
        <v>Chicken 1kg </v>
      </c>
      <c r="G964" s="21">
        <v>250.0</v>
      </c>
      <c r="H964" s="9">
        <v>1.0</v>
      </c>
      <c r="I964" s="21">
        <f t="shared" si="2"/>
        <v>250</v>
      </c>
    </row>
    <row r="965" ht="15.75" customHeight="1">
      <c r="A965" s="18">
        <f t="shared" si="3"/>
        <v>45801</v>
      </c>
      <c r="B965" s="19">
        <f t="shared" si="1"/>
        <v>45801</v>
      </c>
      <c r="C965" s="23" t="s">
        <v>666</v>
      </c>
      <c r="D965" s="5" t="s">
        <v>667</v>
      </c>
      <c r="E965" s="9" t="s">
        <v>15</v>
      </c>
      <c r="F965" s="9" t="str">
        <f t="array" ref="F965:G965">XLOOKUP($E965,product_epicenter!$A$2:$A$101,product_epicenter!$B$2:$C$101)</f>
        <v>Tea 250g </v>
      </c>
      <c r="G965" s="21">
        <v>155.0</v>
      </c>
      <c r="H965" s="9">
        <v>1.0</v>
      </c>
      <c r="I965" s="21">
        <f t="shared" si="2"/>
        <v>155</v>
      </c>
    </row>
    <row r="966" ht="15.75" customHeight="1">
      <c r="A966" s="18">
        <f t="shared" si="3"/>
        <v>45801</v>
      </c>
      <c r="B966" s="19">
        <f t="shared" si="1"/>
        <v>45801</v>
      </c>
      <c r="C966" s="23" t="s">
        <v>668</v>
      </c>
      <c r="D966" s="5" t="s">
        <v>669</v>
      </c>
      <c r="E966" s="9" t="s">
        <v>201</v>
      </c>
      <c r="F966" s="9" t="str">
        <f t="array" ref="F966:G966">XLOOKUP($E966,product_epicenter!$A$2:$A$101,product_epicenter!$B$2:$C$101)</f>
        <v>Cooking Vinegar 500ml </v>
      </c>
      <c r="G966" s="21">
        <v>90.0</v>
      </c>
      <c r="H966" s="9">
        <v>3.0</v>
      </c>
      <c r="I966" s="21">
        <f t="shared" si="2"/>
        <v>270</v>
      </c>
    </row>
    <row r="967" ht="15.75" customHeight="1">
      <c r="A967" s="18">
        <f t="shared" si="3"/>
        <v>45801</v>
      </c>
      <c r="B967" s="19">
        <f t="shared" si="1"/>
        <v>45801</v>
      </c>
      <c r="C967" s="23" t="s">
        <v>668</v>
      </c>
      <c r="D967" s="5" t="s">
        <v>669</v>
      </c>
      <c r="E967" s="9" t="s">
        <v>3</v>
      </c>
      <c r="F967" s="9" t="str">
        <f t="array" ref="F967:G967">XLOOKUP($E967,product_epicenter!$A$2:$A$101,product_epicenter!$B$2:$C$101)</f>
        <v>Rice 1kg </v>
      </c>
      <c r="G967" s="21">
        <v>60.0</v>
      </c>
      <c r="H967" s="9">
        <v>2.0</v>
      </c>
      <c r="I967" s="21">
        <f t="shared" si="2"/>
        <v>120</v>
      </c>
    </row>
    <row r="968" ht="15.75" customHeight="1">
      <c r="A968" s="18">
        <f t="shared" si="3"/>
        <v>45801</v>
      </c>
      <c r="B968" s="19">
        <f t="shared" si="1"/>
        <v>45801</v>
      </c>
      <c r="C968" s="23" t="s">
        <v>668</v>
      </c>
      <c r="D968" s="5" t="s">
        <v>669</v>
      </c>
      <c r="E968" s="9" t="s">
        <v>169</v>
      </c>
      <c r="F968" s="9" t="str">
        <f t="array" ref="F968:G968">XLOOKUP($E968,product_epicenter!$A$2:$A$101,product_epicenter!$B$2:$C$101)</f>
        <v>Energy Drink 1 can </v>
      </c>
      <c r="G968" s="21">
        <v>100.0</v>
      </c>
      <c r="H968" s="9">
        <v>3.0</v>
      </c>
      <c r="I968" s="21">
        <f t="shared" si="2"/>
        <v>300</v>
      </c>
    </row>
    <row r="969" ht="15.75" customHeight="1">
      <c r="A969" s="18">
        <f t="shared" si="3"/>
        <v>45801</v>
      </c>
      <c r="B969" s="19">
        <f t="shared" si="1"/>
        <v>45801</v>
      </c>
      <c r="C969" s="23" t="s">
        <v>668</v>
      </c>
      <c r="D969" s="5" t="s">
        <v>669</v>
      </c>
      <c r="E969" s="9" t="s">
        <v>69</v>
      </c>
      <c r="F969" s="9" t="str">
        <f t="array" ref="F969:G969">XLOOKUP($E969,product_epicenter!$A$2:$A$101,product_epicenter!$B$2:$C$101)</f>
        <v>Detergent Powder 1kg </v>
      </c>
      <c r="G969" s="21">
        <v>150.0</v>
      </c>
      <c r="H969" s="9">
        <v>2.0</v>
      </c>
      <c r="I969" s="21">
        <f t="shared" si="2"/>
        <v>300</v>
      </c>
    </row>
    <row r="970" ht="15.75" customHeight="1">
      <c r="A970" s="18">
        <f t="shared" si="3"/>
        <v>45801</v>
      </c>
      <c r="B970" s="19">
        <f t="shared" si="1"/>
        <v>45801</v>
      </c>
      <c r="C970" s="23" t="s">
        <v>670</v>
      </c>
      <c r="D970" s="5" t="s">
        <v>671</v>
      </c>
      <c r="E970" s="9" t="s">
        <v>95</v>
      </c>
      <c r="F970" s="9" t="str">
        <f t="array" ref="F970:G970">XLOOKUP($E970,product_epicenter!$A$2:$A$101,product_epicenter!$B$2:$C$101)</f>
        <v>Pasta 500g </v>
      </c>
      <c r="G970" s="21">
        <v>150.0</v>
      </c>
      <c r="H970" s="9">
        <v>4.0</v>
      </c>
      <c r="I970" s="21">
        <f t="shared" si="2"/>
        <v>600</v>
      </c>
    </row>
    <row r="971" ht="15.75" customHeight="1">
      <c r="A971" s="18">
        <f t="shared" si="3"/>
        <v>45801</v>
      </c>
      <c r="B971" s="19">
        <f t="shared" si="1"/>
        <v>45801</v>
      </c>
      <c r="C971" s="23" t="s">
        <v>670</v>
      </c>
      <c r="D971" s="5" t="s">
        <v>671</v>
      </c>
      <c r="E971" s="9" t="s">
        <v>81</v>
      </c>
      <c r="F971" s="9" t="str">
        <f t="array" ref="F971:G971">XLOOKUP($E971,product_epicenter!$A$2:$A$101,product_epicenter!$B$2:$C$101)</f>
        <v>Cooking Oil 1 litre </v>
      </c>
      <c r="G971" s="21">
        <v>120.0</v>
      </c>
      <c r="H971" s="9">
        <v>5.0</v>
      </c>
      <c r="I971" s="21">
        <f t="shared" si="2"/>
        <v>600</v>
      </c>
    </row>
    <row r="972" ht="15.75" customHeight="1">
      <c r="A972" s="18">
        <f t="shared" si="3"/>
        <v>45801</v>
      </c>
      <c r="B972" s="19">
        <f t="shared" si="1"/>
        <v>45801</v>
      </c>
      <c r="C972" s="23" t="s">
        <v>670</v>
      </c>
      <c r="D972" s="5" t="s">
        <v>671</v>
      </c>
      <c r="E972" s="9" t="s">
        <v>87</v>
      </c>
      <c r="F972" s="9" t="str">
        <f t="array" ref="F972:G972">XLOOKUP($E972,product_epicenter!$A$2:$A$101,product_epicenter!$B$2:$C$101)</f>
        <v>Coriander Powder 100g </v>
      </c>
      <c r="G972" s="21">
        <v>50.0</v>
      </c>
      <c r="H972" s="9">
        <v>1.0</v>
      </c>
      <c r="I972" s="21">
        <f t="shared" si="2"/>
        <v>50</v>
      </c>
    </row>
    <row r="973" ht="15.75" customHeight="1">
      <c r="A973" s="18">
        <f t="shared" si="3"/>
        <v>45801</v>
      </c>
      <c r="B973" s="19">
        <f t="shared" si="1"/>
        <v>45801</v>
      </c>
      <c r="C973" s="23" t="s">
        <v>670</v>
      </c>
      <c r="D973" s="5" t="s">
        <v>671</v>
      </c>
      <c r="E973" s="9" t="s">
        <v>21</v>
      </c>
      <c r="F973" s="9" t="str">
        <f t="array" ref="F973:G973">XLOOKUP($E973,product_epicenter!$A$2:$A$101,product_epicenter!$B$2:$C$101)</f>
        <v>Salt 1kg </v>
      </c>
      <c r="G973" s="21">
        <v>20.0</v>
      </c>
      <c r="H973" s="9">
        <v>7.0</v>
      </c>
      <c r="I973" s="21">
        <f t="shared" si="2"/>
        <v>140</v>
      </c>
    </row>
    <row r="974" ht="15.75" customHeight="1">
      <c r="A974" s="18">
        <f t="shared" si="3"/>
        <v>45801</v>
      </c>
      <c r="B974" s="19">
        <f t="shared" si="1"/>
        <v>45801</v>
      </c>
      <c r="C974" s="23" t="s">
        <v>672</v>
      </c>
      <c r="D974" s="5" t="s">
        <v>673</v>
      </c>
      <c r="E974" s="9" t="s">
        <v>179</v>
      </c>
      <c r="F974" s="9" t="str">
        <f t="array" ref="F974:G974">XLOOKUP($E974,product_epicenter!$A$2:$A$101,product_epicenter!$B$2:$C$101)</f>
        <v>Sports Drink 1 litre </v>
      </c>
      <c r="G974" s="21">
        <v>200.0</v>
      </c>
      <c r="H974" s="9">
        <v>3.0</v>
      </c>
      <c r="I974" s="21">
        <f t="shared" si="2"/>
        <v>600</v>
      </c>
    </row>
    <row r="975" ht="15.75" customHeight="1">
      <c r="A975" s="18">
        <f t="shared" si="3"/>
        <v>45801</v>
      </c>
      <c r="B975" s="19">
        <f t="shared" si="1"/>
        <v>45801</v>
      </c>
      <c r="C975" s="23" t="s">
        <v>672</v>
      </c>
      <c r="D975" s="5" t="s">
        <v>673</v>
      </c>
      <c r="E975" s="9" t="s">
        <v>75</v>
      </c>
      <c r="F975" s="9" t="str">
        <f t="array" ref="F975:G975">XLOOKUP($E975,product_epicenter!$A$2:$A$101,product_epicenter!$B$2:$C$101)</f>
        <v>Toilet Cleaner 1 litre </v>
      </c>
      <c r="G975" s="21">
        <v>120.0</v>
      </c>
      <c r="H975" s="9">
        <v>6.0</v>
      </c>
      <c r="I975" s="21">
        <f t="shared" si="2"/>
        <v>720</v>
      </c>
    </row>
    <row r="976" ht="15.75" customHeight="1">
      <c r="A976" s="18">
        <f t="shared" si="3"/>
        <v>45801</v>
      </c>
      <c r="B976" s="19">
        <f t="shared" si="1"/>
        <v>45801</v>
      </c>
      <c r="C976" s="23" t="s">
        <v>672</v>
      </c>
      <c r="D976" s="5" t="s">
        <v>673</v>
      </c>
      <c r="E976" s="9" t="s">
        <v>113</v>
      </c>
      <c r="F976" s="9" t="str">
        <f t="array" ref="F976:G976">XLOOKUP($E976,product_epicenter!$A$2:$A$101,product_epicenter!$B$2:$C$101)</f>
        <v>Walnuts 500g </v>
      </c>
      <c r="G976" s="21">
        <v>700.0</v>
      </c>
      <c r="H976" s="9">
        <v>9.0</v>
      </c>
      <c r="I976" s="21">
        <f t="shared" si="2"/>
        <v>6300</v>
      </c>
    </row>
    <row r="977" ht="15.75" customHeight="1">
      <c r="A977" s="18">
        <f t="shared" si="3"/>
        <v>45801</v>
      </c>
      <c r="B977" s="19">
        <f t="shared" si="1"/>
        <v>45801</v>
      </c>
      <c r="C977" s="23" t="s">
        <v>672</v>
      </c>
      <c r="D977" s="5" t="s">
        <v>673</v>
      </c>
      <c r="E977" s="9" t="s">
        <v>193</v>
      </c>
      <c r="F977" s="9" t="str">
        <f t="array" ref="F977:G977">XLOOKUP($E977,product_epicenter!$A$2:$A$101,product_epicenter!$B$2:$C$101)</f>
        <v>Lip Balm 1 tube </v>
      </c>
      <c r="G977" s="21">
        <v>100.0</v>
      </c>
      <c r="H977" s="9">
        <v>5.0</v>
      </c>
      <c r="I977" s="21">
        <f t="shared" si="2"/>
        <v>500</v>
      </c>
    </row>
    <row r="978" ht="15.75" customHeight="1">
      <c r="A978" s="18">
        <f t="shared" si="3"/>
        <v>45801</v>
      </c>
      <c r="B978" s="19">
        <f t="shared" si="1"/>
        <v>45801</v>
      </c>
      <c r="C978" s="23" t="s">
        <v>674</v>
      </c>
      <c r="D978" s="5" t="s">
        <v>675</v>
      </c>
      <c r="E978" s="9" t="s">
        <v>85</v>
      </c>
      <c r="F978" s="9" t="str">
        <f t="array" ref="F978:G978">XLOOKUP($E978,product_epicenter!$A$2:$A$101,product_epicenter!$B$2:$C$101)</f>
        <v>Cumin Seeds 100g </v>
      </c>
      <c r="G978" s="21">
        <v>40.0</v>
      </c>
      <c r="H978" s="9">
        <v>8.0</v>
      </c>
      <c r="I978" s="21">
        <f t="shared" si="2"/>
        <v>320</v>
      </c>
    </row>
    <row r="979" ht="15.75" customHeight="1">
      <c r="A979" s="18">
        <f t="shared" si="3"/>
        <v>45801</v>
      </c>
      <c r="B979" s="19">
        <f t="shared" si="1"/>
        <v>45801</v>
      </c>
      <c r="C979" s="23" t="s">
        <v>674</v>
      </c>
      <c r="D979" s="5" t="s">
        <v>675</v>
      </c>
      <c r="E979" s="9" t="s">
        <v>165</v>
      </c>
      <c r="F979" s="9" t="str">
        <f t="array" ref="F979:G979">XLOOKUP($E979,product_epicenter!$A$2:$A$101,product_epicenter!$B$2:$C$101)</f>
        <v>Candles 1 pack </v>
      </c>
      <c r="G979" s="21">
        <v>80.0</v>
      </c>
      <c r="H979" s="9">
        <v>6.0</v>
      </c>
      <c r="I979" s="21">
        <f t="shared" si="2"/>
        <v>480</v>
      </c>
    </row>
    <row r="980" ht="15.75" customHeight="1">
      <c r="A980" s="18">
        <f t="shared" si="3"/>
        <v>45801</v>
      </c>
      <c r="B980" s="19">
        <f t="shared" si="1"/>
        <v>45801</v>
      </c>
      <c r="C980" s="23" t="s">
        <v>674</v>
      </c>
      <c r="D980" s="5" t="s">
        <v>675</v>
      </c>
      <c r="E980" s="9" t="s">
        <v>161</v>
      </c>
      <c r="F980" s="9" t="str">
        <f t="array" ref="F980:G980">XLOOKUP($E980,product_epicenter!$A$2:$A$101,product_epicenter!$B$2:$C$101)</f>
        <v>Aluminium Foil 1 roll </v>
      </c>
      <c r="G980" s="21">
        <v>120.0</v>
      </c>
      <c r="H980" s="9">
        <v>9.0</v>
      </c>
      <c r="I980" s="21">
        <f t="shared" si="2"/>
        <v>1080</v>
      </c>
    </row>
    <row r="981" ht="15.75" customHeight="1">
      <c r="A981" s="18">
        <f t="shared" si="3"/>
        <v>45801</v>
      </c>
      <c r="B981" s="19">
        <f t="shared" si="1"/>
        <v>45801</v>
      </c>
      <c r="C981" s="23" t="s">
        <v>674</v>
      </c>
      <c r="D981" s="5" t="s">
        <v>675</v>
      </c>
      <c r="E981" s="9" t="s">
        <v>199</v>
      </c>
      <c r="F981" s="9" t="str">
        <f t="array" ref="F981:G981">XLOOKUP($E981,product_epicenter!$A$2:$A$101,product_epicenter!$B$2:$C$101)</f>
        <v>Face Mask 1 pack </v>
      </c>
      <c r="G981" s="21">
        <v>150.0</v>
      </c>
      <c r="H981" s="9">
        <v>1.0</v>
      </c>
      <c r="I981" s="21">
        <f t="shared" si="2"/>
        <v>150</v>
      </c>
    </row>
    <row r="982" ht="15.75" customHeight="1">
      <c r="A982" s="18">
        <f t="shared" si="3"/>
        <v>45801</v>
      </c>
      <c r="B982" s="19">
        <f t="shared" si="1"/>
        <v>45801</v>
      </c>
      <c r="C982" s="23" t="s">
        <v>674</v>
      </c>
      <c r="D982" s="5" t="s">
        <v>675</v>
      </c>
      <c r="E982" s="9" t="s">
        <v>29</v>
      </c>
      <c r="F982" s="9" t="str">
        <f t="array" ref="F982:G982">XLOOKUP($E982,product_epicenter!$A$2:$A$101,product_epicenter!$B$2:$C$101)</f>
        <v>Cheese 200g </v>
      </c>
      <c r="G982" s="21">
        <v>150.0</v>
      </c>
      <c r="H982" s="9">
        <v>1.0</v>
      </c>
      <c r="I982" s="21">
        <f t="shared" si="2"/>
        <v>150</v>
      </c>
    </row>
    <row r="983" ht="15.75" customHeight="1">
      <c r="A983" s="18">
        <f t="shared" si="3"/>
        <v>45801</v>
      </c>
      <c r="B983" s="19">
        <f t="shared" si="1"/>
        <v>45801</v>
      </c>
      <c r="C983" s="23" t="s">
        <v>676</v>
      </c>
      <c r="D983" s="5" t="s">
        <v>677</v>
      </c>
      <c r="E983" s="9" t="s">
        <v>167</v>
      </c>
      <c r="F983" s="9" t="str">
        <f t="array" ref="F983:G983">XLOOKUP($E983,product_epicenter!$A$2:$A$101,product_epicenter!$B$2:$C$101)</f>
        <v>Batteries 1 pack </v>
      </c>
      <c r="G983" s="21">
        <v>250.0</v>
      </c>
      <c r="H983" s="9">
        <v>2.0</v>
      </c>
      <c r="I983" s="21">
        <f t="shared" si="2"/>
        <v>500</v>
      </c>
    </row>
    <row r="984" ht="15.75" customHeight="1">
      <c r="A984" s="18">
        <f t="shared" si="3"/>
        <v>45801</v>
      </c>
      <c r="B984" s="19">
        <f t="shared" si="1"/>
        <v>45801</v>
      </c>
      <c r="C984" s="23" t="s">
        <v>676</v>
      </c>
      <c r="D984" s="5" t="s">
        <v>677</v>
      </c>
      <c r="E984" s="9" t="s">
        <v>41</v>
      </c>
      <c r="F984" s="9" t="str">
        <f t="array" ref="F984:G984">XLOOKUP($E984,product_epicenter!$A$2:$A$101,product_epicenter!$B$2:$C$101)</f>
        <v>Oranges 1kg </v>
      </c>
      <c r="G984" s="21">
        <v>100.0</v>
      </c>
      <c r="H984" s="9">
        <v>8.0</v>
      </c>
      <c r="I984" s="21">
        <f t="shared" si="2"/>
        <v>800</v>
      </c>
    </row>
    <row r="985" ht="15.75" customHeight="1">
      <c r="A985" s="18">
        <f t="shared" si="3"/>
        <v>45801</v>
      </c>
      <c r="B985" s="19">
        <f t="shared" si="1"/>
        <v>45801</v>
      </c>
      <c r="C985" s="23" t="s">
        <v>676</v>
      </c>
      <c r="D985" s="5" t="s">
        <v>677</v>
      </c>
      <c r="E985" s="9" t="s">
        <v>47</v>
      </c>
      <c r="F985" s="9" t="str">
        <f t="array" ref="F985:G985">XLOOKUP($E985,product_epicenter!$A$2:$A$101,product_epicenter!$B$2:$C$101)</f>
        <v>Tomatoes 1kg </v>
      </c>
      <c r="G985" s="21">
        <v>50.0</v>
      </c>
      <c r="H985" s="9">
        <v>8.0</v>
      </c>
      <c r="I985" s="21">
        <f t="shared" si="2"/>
        <v>400</v>
      </c>
    </row>
    <row r="986" ht="15.75" customHeight="1">
      <c r="A986" s="18">
        <f t="shared" si="3"/>
        <v>45801</v>
      </c>
      <c r="B986" s="19">
        <f t="shared" si="1"/>
        <v>45801</v>
      </c>
      <c r="C986" s="23" t="s">
        <v>678</v>
      </c>
      <c r="D986" s="5" t="s">
        <v>679</v>
      </c>
      <c r="E986" s="9" t="s">
        <v>179</v>
      </c>
      <c r="F986" s="9" t="str">
        <f t="array" ref="F986:G986">XLOOKUP($E986,product_epicenter!$A$2:$A$101,product_epicenter!$B$2:$C$101)</f>
        <v>Sports Drink 1 litre </v>
      </c>
      <c r="G986" s="21">
        <v>200.0</v>
      </c>
      <c r="H986" s="9">
        <v>6.0</v>
      </c>
      <c r="I986" s="21">
        <f t="shared" si="2"/>
        <v>1200</v>
      </c>
    </row>
    <row r="987" ht="15.75" customHeight="1">
      <c r="A987" s="18">
        <f t="shared" si="3"/>
        <v>45801</v>
      </c>
      <c r="B987" s="19">
        <f t="shared" si="1"/>
        <v>45801</v>
      </c>
      <c r="C987" s="23" t="s">
        <v>678</v>
      </c>
      <c r="D987" s="5" t="s">
        <v>679</v>
      </c>
      <c r="E987" s="9" t="s">
        <v>183</v>
      </c>
      <c r="F987" s="9" t="str">
        <f t="array" ref="F987:G987">XLOOKUP($E987,product_epicenter!$A$2:$A$101,product_epicenter!$B$2:$C$101)</f>
        <v>Body Lotion 500ml </v>
      </c>
      <c r="G987" s="21">
        <v>250.0</v>
      </c>
      <c r="H987" s="9">
        <v>3.0</v>
      </c>
      <c r="I987" s="21">
        <f t="shared" si="2"/>
        <v>750</v>
      </c>
    </row>
    <row r="988" ht="15.75" customHeight="1">
      <c r="A988" s="18">
        <f t="shared" si="3"/>
        <v>45801</v>
      </c>
      <c r="B988" s="19">
        <f t="shared" si="1"/>
        <v>45801</v>
      </c>
      <c r="C988" s="23" t="s">
        <v>678</v>
      </c>
      <c r="D988" s="5" t="s">
        <v>679</v>
      </c>
      <c r="E988" s="9" t="s">
        <v>191</v>
      </c>
      <c r="F988" s="9" t="str">
        <f t="array" ref="F988:G988">XLOOKUP($E988,product_epicenter!$A$2:$A$101,product_epicenter!$B$2:$C$101)</f>
        <v>Nail Polish 1 bottle </v>
      </c>
      <c r="G988" s="21">
        <v>120.0</v>
      </c>
      <c r="H988" s="9">
        <v>5.0</v>
      </c>
      <c r="I988" s="21">
        <f t="shared" si="2"/>
        <v>600</v>
      </c>
    </row>
    <row r="989" ht="15.75" customHeight="1">
      <c r="A989" s="18">
        <f t="shared" si="3"/>
        <v>45801</v>
      </c>
      <c r="B989" s="19">
        <f t="shared" si="1"/>
        <v>45801</v>
      </c>
      <c r="C989" s="23" t="s">
        <v>678</v>
      </c>
      <c r="D989" s="5" t="s">
        <v>679</v>
      </c>
      <c r="E989" s="9" t="s">
        <v>119</v>
      </c>
      <c r="F989" s="9" t="str">
        <f t="array" ref="F989:G989">XLOOKUP($E989,product_epicenter!$A$2:$A$101,product_epicenter!$B$2:$C$101)</f>
        <v>Black Tea 250g </v>
      </c>
      <c r="G989" s="21">
        <v>300.0</v>
      </c>
      <c r="H989" s="9">
        <v>3.0</v>
      </c>
      <c r="I989" s="21">
        <f t="shared" si="2"/>
        <v>900</v>
      </c>
    </row>
    <row r="990" ht="15.75" customHeight="1">
      <c r="A990" s="18">
        <f t="shared" si="3"/>
        <v>45801</v>
      </c>
      <c r="B990" s="19">
        <f t="shared" si="1"/>
        <v>45801</v>
      </c>
      <c r="C990" s="23" t="s">
        <v>678</v>
      </c>
      <c r="D990" s="5" t="s">
        <v>679</v>
      </c>
      <c r="E990" s="9" t="s">
        <v>143</v>
      </c>
      <c r="F990" s="9" t="str">
        <f t="array" ref="F990:G990">XLOOKUP($E990,product_epicenter!$A$2:$A$101,product_epicenter!$B$2:$C$101)</f>
        <v>Brown Rice 1kg </v>
      </c>
      <c r="G990" s="21">
        <v>100.0</v>
      </c>
      <c r="H990" s="9">
        <v>3.0</v>
      </c>
      <c r="I990" s="21">
        <f t="shared" si="2"/>
        <v>300</v>
      </c>
    </row>
    <row r="991" ht="15.75" customHeight="1">
      <c r="A991" s="18">
        <f t="shared" si="3"/>
        <v>45801</v>
      </c>
      <c r="B991" s="19">
        <f t="shared" si="1"/>
        <v>45801</v>
      </c>
      <c r="C991" s="23" t="s">
        <v>680</v>
      </c>
      <c r="D991" s="5" t="s">
        <v>681</v>
      </c>
      <c r="E991" s="9" t="s">
        <v>135</v>
      </c>
      <c r="F991" s="9" t="str">
        <f t="array" ref="F991:G991">XLOOKUP($E991,product_epicenter!$A$2:$A$101,product_epicenter!$B$2:$C$101)</f>
        <v>Ice Cubes 1 pack </v>
      </c>
      <c r="G991" s="21">
        <v>50.0</v>
      </c>
      <c r="H991" s="9">
        <v>7.0</v>
      </c>
      <c r="I991" s="21">
        <f t="shared" si="2"/>
        <v>350</v>
      </c>
    </row>
    <row r="992" ht="15.75" customHeight="1">
      <c r="A992" s="18">
        <f t="shared" si="3"/>
        <v>45801</v>
      </c>
      <c r="B992" s="19">
        <f t="shared" si="1"/>
        <v>45801</v>
      </c>
      <c r="C992" s="23" t="s">
        <v>680</v>
      </c>
      <c r="D992" s="5" t="s">
        <v>681</v>
      </c>
      <c r="E992" s="9" t="s">
        <v>189</v>
      </c>
      <c r="F992" s="9" t="str">
        <f t="array" ref="F992:G992">XLOOKUP($E992,product_epicenter!$A$2:$A$101,product_epicenter!$B$2:$C$101)</f>
        <v>Razor 1 pack </v>
      </c>
      <c r="G992" s="21">
        <v>200.0</v>
      </c>
      <c r="H992" s="9">
        <v>4.0</v>
      </c>
      <c r="I992" s="21">
        <f t="shared" si="2"/>
        <v>800</v>
      </c>
    </row>
    <row r="993" ht="15.75" customHeight="1">
      <c r="A993" s="18">
        <f t="shared" si="3"/>
        <v>45801</v>
      </c>
      <c r="B993" s="19">
        <f t="shared" si="1"/>
        <v>45801</v>
      </c>
      <c r="C993" s="23" t="s">
        <v>680</v>
      </c>
      <c r="D993" s="5" t="s">
        <v>681</v>
      </c>
      <c r="E993" s="9" t="s">
        <v>77</v>
      </c>
      <c r="F993" s="9" t="str">
        <f t="array" ref="F993:G993">XLOOKUP($E993,product_epicenter!$A$2:$A$101,product_epicenter!$B$2:$C$101)</f>
        <v>Mosquito Repellent 1 pack </v>
      </c>
      <c r="G993" s="21">
        <v>90.0</v>
      </c>
      <c r="H993" s="9">
        <v>7.0</v>
      </c>
      <c r="I993" s="21">
        <f t="shared" si="2"/>
        <v>630</v>
      </c>
    </row>
    <row r="994" ht="15.75" customHeight="1">
      <c r="A994" s="18">
        <f t="shared" si="3"/>
        <v>45801</v>
      </c>
      <c r="B994" s="19">
        <f t="shared" si="1"/>
        <v>45801</v>
      </c>
      <c r="C994" s="23" t="s">
        <v>680</v>
      </c>
      <c r="D994" s="5" t="s">
        <v>681</v>
      </c>
      <c r="E994" s="9" t="s">
        <v>5</v>
      </c>
      <c r="F994" s="9" t="str">
        <f t="array" ref="F994:G994">XLOOKUP($E994,product_epicenter!$A$2:$A$101,product_epicenter!$B$2:$C$101)</f>
        <v>Dal (Lentils) 1kg </v>
      </c>
      <c r="G994" s="21">
        <v>100.0</v>
      </c>
      <c r="H994" s="9">
        <v>4.0</v>
      </c>
      <c r="I994" s="21">
        <f t="shared" si="2"/>
        <v>400</v>
      </c>
    </row>
    <row r="995" ht="15.75" customHeight="1">
      <c r="A995" s="18">
        <f t="shared" si="3"/>
        <v>45801</v>
      </c>
      <c r="B995" s="19">
        <f t="shared" si="1"/>
        <v>45801</v>
      </c>
      <c r="C995" s="23" t="s">
        <v>680</v>
      </c>
      <c r="D995" s="5" t="s">
        <v>681</v>
      </c>
      <c r="E995" s="9" t="s">
        <v>139</v>
      </c>
      <c r="F995" s="9" t="str">
        <f t="array" ref="F995:G995">XLOOKUP($E995,product_epicenter!$A$2:$A$101,product_epicenter!$B$2:$C$101)</f>
        <v>Pickles 500g </v>
      </c>
      <c r="G995" s="21">
        <v>150.0</v>
      </c>
      <c r="H995" s="9">
        <v>5.0</v>
      </c>
      <c r="I995" s="21">
        <f t="shared" si="2"/>
        <v>750</v>
      </c>
    </row>
    <row r="996" ht="15.75" customHeight="1">
      <c r="A996" s="18">
        <f t="shared" si="3"/>
        <v>45801</v>
      </c>
      <c r="B996" s="19">
        <f t="shared" si="1"/>
        <v>45801</v>
      </c>
      <c r="C996" s="23" t="s">
        <v>682</v>
      </c>
      <c r="D996" s="5" t="s">
        <v>683</v>
      </c>
      <c r="E996" s="9" t="s">
        <v>171</v>
      </c>
      <c r="F996" s="9" t="str">
        <f t="array" ref="F996:G996">XLOOKUP($E996,product_epicenter!$A$2:$A$101,product_epicenter!$B$2:$C$101)</f>
        <v>Mineral Water 1 litre </v>
      </c>
      <c r="G996" s="21">
        <v>20.0</v>
      </c>
      <c r="H996" s="9">
        <v>9.0</v>
      </c>
      <c r="I996" s="21">
        <f t="shared" si="2"/>
        <v>180</v>
      </c>
    </row>
    <row r="997" ht="15.75" customHeight="1">
      <c r="A997" s="18">
        <f t="shared" si="3"/>
        <v>45801</v>
      </c>
      <c r="B997" s="19">
        <f t="shared" si="1"/>
        <v>45801</v>
      </c>
      <c r="C997" s="23" t="s">
        <v>682</v>
      </c>
      <c r="D997" s="5" t="s">
        <v>683</v>
      </c>
      <c r="E997" s="9" t="s">
        <v>51</v>
      </c>
      <c r="F997" s="9" t="str">
        <f t="array" ref="F997:G997">XLOOKUP($E997,product_epicenter!$A$2:$A$101,product_epicenter!$B$2:$C$101)</f>
        <v>Garlic 250g </v>
      </c>
      <c r="G997" s="21">
        <v>50.0</v>
      </c>
      <c r="H997" s="9">
        <v>9.0</v>
      </c>
      <c r="I997" s="21">
        <f t="shared" si="2"/>
        <v>450</v>
      </c>
    </row>
    <row r="998" ht="15.75" customHeight="1">
      <c r="A998" s="18">
        <f t="shared" si="3"/>
        <v>45801</v>
      </c>
      <c r="B998" s="19">
        <f t="shared" si="1"/>
        <v>45801</v>
      </c>
      <c r="C998" s="23" t="s">
        <v>682</v>
      </c>
      <c r="D998" s="5" t="s">
        <v>683</v>
      </c>
      <c r="E998" s="9" t="s">
        <v>163</v>
      </c>
      <c r="F998" s="9" t="str">
        <f t="array" ref="F998:G998">XLOOKUP($E998,product_epicenter!$A$2:$A$101,product_epicenter!$B$2:$C$101)</f>
        <v>Matchsticks 1 pack </v>
      </c>
      <c r="G998" s="21">
        <v>20.0</v>
      </c>
      <c r="H998" s="9">
        <v>6.0</v>
      </c>
      <c r="I998" s="21">
        <f t="shared" si="2"/>
        <v>120</v>
      </c>
    </row>
    <row r="999" ht="15.75" customHeight="1">
      <c r="A999" s="18">
        <f t="shared" si="3"/>
        <v>45801</v>
      </c>
      <c r="B999" s="19">
        <f t="shared" si="1"/>
        <v>45801</v>
      </c>
      <c r="C999" s="23" t="s">
        <v>684</v>
      </c>
      <c r="D999" s="5" t="s">
        <v>685</v>
      </c>
      <c r="E999" s="9" t="s">
        <v>3</v>
      </c>
      <c r="F999" s="9" t="str">
        <f t="array" ref="F999:G999">XLOOKUP($E999,product_epicenter!$A$2:$A$101,product_epicenter!$B$2:$C$101)</f>
        <v>Rice 1kg </v>
      </c>
      <c r="G999" s="21">
        <v>60.0</v>
      </c>
      <c r="H999" s="9">
        <v>2.0</v>
      </c>
      <c r="I999" s="21">
        <f t="shared" si="2"/>
        <v>120</v>
      </c>
    </row>
    <row r="1000" ht="15.75" customHeight="1">
      <c r="A1000" s="18">
        <f t="shared" si="3"/>
        <v>45801</v>
      </c>
      <c r="B1000" s="19">
        <f t="shared" si="1"/>
        <v>45801</v>
      </c>
      <c r="C1000" s="23" t="s">
        <v>684</v>
      </c>
      <c r="D1000" s="5" t="s">
        <v>685</v>
      </c>
      <c r="E1000" s="9" t="s">
        <v>49</v>
      </c>
      <c r="F1000" s="9" t="str">
        <f t="array" ref="F1000:G1000">XLOOKUP($E1000,product_epicenter!$A$2:$A$101,product_epicenter!$B$2:$C$101)</f>
        <v>Green Chillies 250g </v>
      </c>
      <c r="G1000" s="21">
        <v>20.0</v>
      </c>
      <c r="H1000" s="9">
        <v>3.0</v>
      </c>
      <c r="I1000" s="21">
        <f t="shared" si="2"/>
        <v>60</v>
      </c>
    </row>
    <row r="1001" ht="15.75" customHeight="1">
      <c r="A1001" s="18">
        <f t="shared" si="3"/>
        <v>45801</v>
      </c>
      <c r="B1001" s="19">
        <f t="shared" si="1"/>
        <v>45801</v>
      </c>
      <c r="C1001" s="23" t="s">
        <v>684</v>
      </c>
      <c r="D1001" s="5" t="s">
        <v>685</v>
      </c>
      <c r="E1001" s="9" t="s">
        <v>21</v>
      </c>
      <c r="F1001" s="9" t="str">
        <f t="array" ref="F1001:G1001">XLOOKUP($E1001,product_epicenter!$A$2:$A$101,product_epicenter!$B$2:$C$101)</f>
        <v>Salt 1kg </v>
      </c>
      <c r="G1001" s="21">
        <v>20.0</v>
      </c>
      <c r="H1001" s="9">
        <v>5.0</v>
      </c>
      <c r="I1001" s="21">
        <f t="shared" si="2"/>
        <v>100</v>
      </c>
    </row>
    <row r="1002" ht="15.75" customHeight="1">
      <c r="A1002" s="18">
        <f t="shared" si="3"/>
        <v>45801</v>
      </c>
      <c r="B1002" s="19">
        <f t="shared" si="1"/>
        <v>45801</v>
      </c>
      <c r="C1002" s="23" t="s">
        <v>684</v>
      </c>
      <c r="D1002" s="5" t="s">
        <v>685</v>
      </c>
      <c r="E1002" s="9" t="s">
        <v>83</v>
      </c>
      <c r="F1002" s="9" t="str">
        <f t="array" ref="F1002:G1002">XLOOKUP($E1002,product_epicenter!$A$2:$A$101,product_epicenter!$B$2:$C$101)</f>
        <v>Mustard Seeds 100g </v>
      </c>
      <c r="G1002" s="21">
        <v>30.0</v>
      </c>
      <c r="H1002" s="9">
        <v>3.0</v>
      </c>
      <c r="I1002" s="21">
        <f t="shared" si="2"/>
        <v>90</v>
      </c>
    </row>
    <row r="1003" ht="15.75" customHeight="1">
      <c r="A1003" s="18">
        <f t="shared" si="3"/>
        <v>45801</v>
      </c>
      <c r="B1003" s="19">
        <f t="shared" si="1"/>
        <v>45801</v>
      </c>
      <c r="C1003" s="23" t="s">
        <v>686</v>
      </c>
      <c r="D1003" s="5" t="s">
        <v>687</v>
      </c>
      <c r="E1003" s="9" t="s">
        <v>9</v>
      </c>
      <c r="F1003" s="9" t="str">
        <f t="array" ref="F1003:G1003">XLOOKUP($E1003,product_epicenter!$A$2:$A$101,product_epicenter!$B$2:$C$101)</f>
        <v>Aata (Wheat Flour) 1kg </v>
      </c>
      <c r="G1003" s="21">
        <v>40.0</v>
      </c>
      <c r="H1003" s="9">
        <v>3.0</v>
      </c>
      <c r="I1003" s="21">
        <f t="shared" si="2"/>
        <v>120</v>
      </c>
    </row>
    <row r="1004" ht="15.75" customHeight="1">
      <c r="A1004" s="18">
        <f t="shared" si="3"/>
        <v>45801</v>
      </c>
      <c r="B1004" s="19">
        <f t="shared" si="1"/>
        <v>45801</v>
      </c>
      <c r="C1004" s="23" t="s">
        <v>686</v>
      </c>
      <c r="D1004" s="5" t="s">
        <v>687</v>
      </c>
      <c r="E1004" s="9" t="s">
        <v>95</v>
      </c>
      <c r="F1004" s="9" t="str">
        <f t="array" ref="F1004:G1004">XLOOKUP($E1004,product_epicenter!$A$2:$A$101,product_epicenter!$B$2:$C$101)</f>
        <v>Pasta 500g </v>
      </c>
      <c r="G1004" s="21">
        <v>150.0</v>
      </c>
      <c r="H1004" s="9">
        <v>3.0</v>
      </c>
      <c r="I1004" s="21">
        <f t="shared" si="2"/>
        <v>450</v>
      </c>
    </row>
    <row r="1005" ht="15.75" customHeight="1">
      <c r="A1005" s="18">
        <f t="shared" si="3"/>
        <v>45801</v>
      </c>
      <c r="B1005" s="19">
        <f t="shared" si="1"/>
        <v>45801</v>
      </c>
      <c r="C1005" s="23" t="s">
        <v>686</v>
      </c>
      <c r="D1005" s="5" t="s">
        <v>687</v>
      </c>
      <c r="E1005" s="9" t="s">
        <v>55</v>
      </c>
      <c r="F1005" s="9" t="str">
        <f t="array" ref="F1005:G1005">XLOOKUP($E1005,product_epicenter!$A$2:$A$101,product_epicenter!$B$2:$C$101)</f>
        <v>Biscuits 1 pack </v>
      </c>
      <c r="G1005" s="21">
        <v>30.0</v>
      </c>
      <c r="H1005" s="9">
        <v>5.0</v>
      </c>
      <c r="I1005" s="21">
        <f t="shared" si="2"/>
        <v>150</v>
      </c>
    </row>
    <row r="1006" ht="15.75" customHeight="1">
      <c r="A1006" s="18">
        <f t="shared" si="3"/>
        <v>45801</v>
      </c>
      <c r="B1006" s="19">
        <f t="shared" si="1"/>
        <v>45801</v>
      </c>
      <c r="C1006" s="23" t="s">
        <v>688</v>
      </c>
      <c r="D1006" s="5" t="s">
        <v>689</v>
      </c>
      <c r="E1006" s="9" t="s">
        <v>53</v>
      </c>
      <c r="F1006" s="9" t="str">
        <f t="array" ref="F1006:G1006">XLOOKUP($E1006,product_epicenter!$A$2:$A$101,product_epicenter!$B$2:$C$101)</f>
        <v>Ginger 250g </v>
      </c>
      <c r="G1006" s="21">
        <v>40.0</v>
      </c>
      <c r="H1006" s="9">
        <v>8.0</v>
      </c>
      <c r="I1006" s="21">
        <f t="shared" si="2"/>
        <v>320</v>
      </c>
    </row>
    <row r="1007" ht="15.75" customHeight="1">
      <c r="A1007" s="18">
        <f t="shared" si="3"/>
        <v>45801</v>
      </c>
      <c r="B1007" s="19">
        <f t="shared" si="1"/>
        <v>45801</v>
      </c>
      <c r="C1007" s="23" t="s">
        <v>688</v>
      </c>
      <c r="D1007" s="5" t="s">
        <v>689</v>
      </c>
      <c r="E1007" s="9" t="s">
        <v>193</v>
      </c>
      <c r="F1007" s="9" t="str">
        <f t="array" ref="F1007:G1007">XLOOKUP($E1007,product_epicenter!$A$2:$A$101,product_epicenter!$B$2:$C$101)</f>
        <v>Lip Balm 1 tube </v>
      </c>
      <c r="G1007" s="21">
        <v>100.0</v>
      </c>
      <c r="H1007" s="9">
        <v>7.0</v>
      </c>
      <c r="I1007" s="21">
        <f t="shared" si="2"/>
        <v>700</v>
      </c>
    </row>
    <row r="1008" ht="15.75" customHeight="1">
      <c r="A1008" s="18">
        <f t="shared" si="3"/>
        <v>45801</v>
      </c>
      <c r="B1008" s="19">
        <f t="shared" si="1"/>
        <v>45801</v>
      </c>
      <c r="C1008" s="23" t="s">
        <v>688</v>
      </c>
      <c r="D1008" s="5" t="s">
        <v>689</v>
      </c>
      <c r="E1008" s="9" t="s">
        <v>69</v>
      </c>
      <c r="F1008" s="9" t="str">
        <f t="array" ref="F1008:G1008">XLOOKUP($E1008,product_epicenter!$A$2:$A$101,product_epicenter!$B$2:$C$101)</f>
        <v>Detergent Powder 1kg </v>
      </c>
      <c r="G1008" s="21">
        <v>150.0</v>
      </c>
      <c r="H1008" s="9">
        <v>6.0</v>
      </c>
      <c r="I1008" s="21">
        <f t="shared" si="2"/>
        <v>900</v>
      </c>
    </row>
    <row r="1009" ht="15.75" customHeight="1">
      <c r="A1009" s="18">
        <f t="shared" si="3"/>
        <v>45801</v>
      </c>
      <c r="B1009" s="19">
        <f t="shared" si="1"/>
        <v>45801</v>
      </c>
      <c r="C1009" s="23" t="s">
        <v>688</v>
      </c>
      <c r="D1009" s="5" t="s">
        <v>689</v>
      </c>
      <c r="E1009" s="9" t="s">
        <v>165</v>
      </c>
      <c r="F1009" s="9" t="str">
        <f t="array" ref="F1009:G1009">XLOOKUP($E1009,product_epicenter!$A$2:$A$101,product_epicenter!$B$2:$C$101)</f>
        <v>Candles 1 pack </v>
      </c>
      <c r="G1009" s="21">
        <v>80.0</v>
      </c>
      <c r="H1009" s="9">
        <v>5.0</v>
      </c>
      <c r="I1009" s="21">
        <f t="shared" si="2"/>
        <v>400</v>
      </c>
    </row>
    <row r="1010" ht="15.75" customHeight="1">
      <c r="A1010" s="18">
        <f t="shared" si="3"/>
        <v>45801</v>
      </c>
      <c r="B1010" s="19">
        <f t="shared" si="1"/>
        <v>45801</v>
      </c>
      <c r="C1010" s="23" t="s">
        <v>690</v>
      </c>
      <c r="D1010" s="5" t="s">
        <v>691</v>
      </c>
      <c r="E1010" s="9" t="s">
        <v>163</v>
      </c>
      <c r="F1010" s="9" t="str">
        <f t="array" ref="F1010:G1010">XLOOKUP($E1010,product_epicenter!$A$2:$A$101,product_epicenter!$B$2:$C$101)</f>
        <v>Matchsticks 1 pack </v>
      </c>
      <c r="G1010" s="21">
        <v>20.0</v>
      </c>
      <c r="H1010" s="9">
        <v>1.0</v>
      </c>
      <c r="I1010" s="21">
        <f t="shared" si="2"/>
        <v>20</v>
      </c>
    </row>
    <row r="1011" ht="15.75" customHeight="1">
      <c r="A1011" s="18">
        <f t="shared" si="3"/>
        <v>45801</v>
      </c>
      <c r="B1011" s="19">
        <f t="shared" si="1"/>
        <v>45801</v>
      </c>
      <c r="C1011" s="23" t="s">
        <v>690</v>
      </c>
      <c r="D1011" s="5" t="s">
        <v>691</v>
      </c>
      <c r="E1011" s="9" t="s">
        <v>151</v>
      </c>
      <c r="F1011" s="9" t="str">
        <f t="array" ref="F1011:G1011">XLOOKUP($E1011,product_epicenter!$A$2:$A$101,product_epicenter!$B$2:$C$101)</f>
        <v>Cake Mix 1 box </v>
      </c>
      <c r="G1011" s="21">
        <v>200.0</v>
      </c>
      <c r="H1011" s="9">
        <v>6.0</v>
      </c>
      <c r="I1011" s="21">
        <f t="shared" si="2"/>
        <v>1200</v>
      </c>
    </row>
    <row r="1012" ht="15.75" customHeight="1">
      <c r="A1012" s="18">
        <f t="shared" si="3"/>
        <v>45801</v>
      </c>
      <c r="B1012" s="19">
        <f t="shared" si="1"/>
        <v>45801</v>
      </c>
      <c r="C1012" s="23" t="s">
        <v>690</v>
      </c>
      <c r="D1012" s="5" t="s">
        <v>691</v>
      </c>
      <c r="E1012" s="9" t="s">
        <v>49</v>
      </c>
      <c r="F1012" s="9" t="str">
        <f t="array" ref="F1012:G1012">XLOOKUP($E1012,product_epicenter!$A$2:$A$101,product_epicenter!$B$2:$C$101)</f>
        <v>Green Chillies 250g </v>
      </c>
      <c r="G1012" s="21">
        <v>20.0</v>
      </c>
      <c r="H1012" s="9">
        <v>9.0</v>
      </c>
      <c r="I1012" s="21">
        <f t="shared" si="2"/>
        <v>180</v>
      </c>
    </row>
    <row r="1013" ht="15.75" customHeight="1">
      <c r="A1013" s="18">
        <f t="shared" si="3"/>
        <v>45801</v>
      </c>
      <c r="B1013" s="19">
        <f t="shared" si="1"/>
        <v>45801</v>
      </c>
      <c r="C1013" s="23" t="s">
        <v>692</v>
      </c>
      <c r="D1013" s="5" t="s">
        <v>693</v>
      </c>
      <c r="E1013" s="9" t="s">
        <v>117</v>
      </c>
      <c r="F1013" s="9" t="str">
        <f t="array" ref="F1013:G1013">XLOOKUP($E1013,product_epicenter!$A$2:$A$101,product_epicenter!$B$2:$C$101)</f>
        <v>Green Tea 250g </v>
      </c>
      <c r="G1013" s="21">
        <v>350.0</v>
      </c>
      <c r="H1013" s="9">
        <v>1.0</v>
      </c>
      <c r="I1013" s="21">
        <f t="shared" si="2"/>
        <v>350</v>
      </c>
    </row>
    <row r="1014" ht="15.75" customHeight="1">
      <c r="A1014" s="18">
        <f t="shared" si="3"/>
        <v>45801</v>
      </c>
      <c r="B1014" s="19">
        <f t="shared" si="1"/>
        <v>45801</v>
      </c>
      <c r="C1014" s="23" t="s">
        <v>692</v>
      </c>
      <c r="D1014" s="5" t="s">
        <v>693</v>
      </c>
      <c r="E1014" s="9" t="s">
        <v>187</v>
      </c>
      <c r="F1014" s="9" t="str">
        <f t="array" ref="F1014:G1014">XLOOKUP($E1014,product_epicenter!$A$2:$A$101,product_epicenter!$B$2:$C$101)</f>
        <v>Shaving Cream 100g </v>
      </c>
      <c r="G1014" s="21">
        <v>150.0</v>
      </c>
      <c r="H1014" s="9">
        <v>8.0</v>
      </c>
      <c r="I1014" s="21">
        <f t="shared" si="2"/>
        <v>1200</v>
      </c>
    </row>
    <row r="1015" ht="15.75" customHeight="1">
      <c r="A1015" s="18">
        <f t="shared" si="3"/>
        <v>45801</v>
      </c>
      <c r="B1015" s="19">
        <f t="shared" si="1"/>
        <v>45801</v>
      </c>
      <c r="C1015" s="23" t="s">
        <v>692</v>
      </c>
      <c r="D1015" s="5" t="s">
        <v>693</v>
      </c>
      <c r="E1015" s="9" t="s">
        <v>35</v>
      </c>
      <c r="F1015" s="9" t="str">
        <f t="array" ref="F1015:G1015">XLOOKUP($E1015,product_epicenter!$A$2:$A$101,product_epicenter!$B$2:$C$101)</f>
        <v>Fish 1kg </v>
      </c>
      <c r="G1015" s="21">
        <v>300.0</v>
      </c>
      <c r="H1015" s="9">
        <v>2.0</v>
      </c>
      <c r="I1015" s="21">
        <f t="shared" si="2"/>
        <v>600</v>
      </c>
    </row>
    <row r="1016" ht="15.75" customHeight="1">
      <c r="A1016" s="18">
        <f t="shared" si="3"/>
        <v>45801</v>
      </c>
      <c r="B1016" s="19">
        <f t="shared" si="1"/>
        <v>45801</v>
      </c>
      <c r="C1016" s="23" t="s">
        <v>694</v>
      </c>
      <c r="D1016" s="5" t="s">
        <v>695</v>
      </c>
      <c r="E1016" s="9" t="s">
        <v>179</v>
      </c>
      <c r="F1016" s="9" t="str">
        <f t="array" ref="F1016:G1016">XLOOKUP($E1016,product_epicenter!$A$2:$A$101,product_epicenter!$B$2:$C$101)</f>
        <v>Sports Drink 1 litre </v>
      </c>
      <c r="G1016" s="21">
        <v>200.0</v>
      </c>
      <c r="H1016" s="9">
        <v>1.0</v>
      </c>
      <c r="I1016" s="21">
        <f t="shared" si="2"/>
        <v>200</v>
      </c>
    </row>
    <row r="1017" ht="15.75" customHeight="1">
      <c r="A1017" s="18">
        <f t="shared" si="3"/>
        <v>45801</v>
      </c>
      <c r="B1017" s="19">
        <f t="shared" si="1"/>
        <v>45801</v>
      </c>
      <c r="C1017" s="23" t="s">
        <v>694</v>
      </c>
      <c r="D1017" s="5" t="s">
        <v>695</v>
      </c>
      <c r="E1017" s="9" t="s">
        <v>77</v>
      </c>
      <c r="F1017" s="9" t="str">
        <f t="array" ref="F1017:G1017">XLOOKUP($E1017,product_epicenter!$A$2:$A$101,product_epicenter!$B$2:$C$101)</f>
        <v>Mosquito Repellent 1 pack </v>
      </c>
      <c r="G1017" s="21">
        <v>90.0</v>
      </c>
      <c r="H1017" s="9">
        <v>4.0</v>
      </c>
      <c r="I1017" s="21">
        <f t="shared" si="2"/>
        <v>360</v>
      </c>
    </row>
    <row r="1018" ht="15.75" customHeight="1">
      <c r="A1018" s="18">
        <f t="shared" si="3"/>
        <v>45801</v>
      </c>
      <c r="B1018" s="19">
        <f t="shared" si="1"/>
        <v>45801</v>
      </c>
      <c r="C1018" s="23" t="s">
        <v>694</v>
      </c>
      <c r="D1018" s="5" t="s">
        <v>695</v>
      </c>
      <c r="E1018" s="9" t="s">
        <v>69</v>
      </c>
      <c r="F1018" s="9" t="str">
        <f t="array" ref="F1018:G1018">XLOOKUP($E1018,product_epicenter!$A$2:$A$101,product_epicenter!$B$2:$C$101)</f>
        <v>Detergent Powder 1kg </v>
      </c>
      <c r="G1018" s="21">
        <v>150.0</v>
      </c>
      <c r="H1018" s="9">
        <v>3.0</v>
      </c>
      <c r="I1018" s="21">
        <f t="shared" si="2"/>
        <v>450</v>
      </c>
    </row>
    <row r="1019" ht="15.75" customHeight="1">
      <c r="A1019" s="18">
        <f t="shared" si="3"/>
        <v>45801</v>
      </c>
      <c r="B1019" s="19">
        <f t="shared" si="1"/>
        <v>45801</v>
      </c>
      <c r="C1019" s="23" t="s">
        <v>694</v>
      </c>
      <c r="D1019" s="5" t="s">
        <v>695</v>
      </c>
      <c r="E1019" s="9" t="s">
        <v>61</v>
      </c>
      <c r="F1019" s="9" t="str">
        <f t="array" ref="F1019:G1019">XLOOKUP($E1019,product_epicenter!$A$2:$A$101,product_epicenter!$B$2:$C$101)</f>
        <v>Ice Cream 1 litre </v>
      </c>
      <c r="G1019" s="21">
        <v>300.0</v>
      </c>
      <c r="H1019" s="9">
        <v>2.0</v>
      </c>
      <c r="I1019" s="21">
        <f t="shared" si="2"/>
        <v>600</v>
      </c>
    </row>
    <row r="1020" ht="15.75" customHeight="1">
      <c r="A1020" s="18">
        <f t="shared" si="3"/>
        <v>45801</v>
      </c>
      <c r="B1020" s="19">
        <f t="shared" si="1"/>
        <v>45801</v>
      </c>
      <c r="C1020" s="23" t="s">
        <v>696</v>
      </c>
      <c r="D1020" s="5" t="s">
        <v>697</v>
      </c>
      <c r="E1020" s="9" t="s">
        <v>103</v>
      </c>
      <c r="F1020" s="9" t="str">
        <f t="array" ref="F1020:G1020">XLOOKUP($E1020,product_epicenter!$A$2:$A$101,product_epicenter!$B$2:$C$101)</f>
        <v>Honey 500g </v>
      </c>
      <c r="G1020" s="21">
        <v>300.0</v>
      </c>
      <c r="H1020" s="9">
        <v>5.0</v>
      </c>
      <c r="I1020" s="21">
        <f t="shared" si="2"/>
        <v>1500</v>
      </c>
    </row>
    <row r="1021" ht="15.75" customHeight="1">
      <c r="A1021" s="18">
        <f t="shared" si="3"/>
        <v>45801</v>
      </c>
      <c r="B1021" s="19">
        <f t="shared" si="1"/>
        <v>45801</v>
      </c>
      <c r="C1021" s="23" t="s">
        <v>696</v>
      </c>
      <c r="D1021" s="5" t="s">
        <v>697</v>
      </c>
      <c r="E1021" s="9" t="s">
        <v>75</v>
      </c>
      <c r="F1021" s="9" t="str">
        <f t="array" ref="F1021:G1021">XLOOKUP($E1021,product_epicenter!$A$2:$A$101,product_epicenter!$B$2:$C$101)</f>
        <v>Toilet Cleaner 1 litre </v>
      </c>
      <c r="G1021" s="21">
        <v>120.0</v>
      </c>
      <c r="H1021" s="9">
        <v>4.0</v>
      </c>
      <c r="I1021" s="21">
        <f t="shared" si="2"/>
        <v>480</v>
      </c>
    </row>
    <row r="1022" ht="15.75" customHeight="1">
      <c r="A1022" s="18">
        <f t="shared" si="3"/>
        <v>45801</v>
      </c>
      <c r="B1022" s="19">
        <f t="shared" si="1"/>
        <v>45801</v>
      </c>
      <c r="C1022" s="23" t="s">
        <v>696</v>
      </c>
      <c r="D1022" s="5" t="s">
        <v>697</v>
      </c>
      <c r="E1022" s="9" t="s">
        <v>187</v>
      </c>
      <c r="F1022" s="9" t="str">
        <f t="array" ref="F1022:G1022">XLOOKUP($E1022,product_epicenter!$A$2:$A$101,product_epicenter!$B$2:$C$101)</f>
        <v>Shaving Cream 100g </v>
      </c>
      <c r="G1022" s="21">
        <v>150.0</v>
      </c>
      <c r="H1022" s="9">
        <v>3.0</v>
      </c>
      <c r="I1022" s="21">
        <f t="shared" si="2"/>
        <v>450</v>
      </c>
    </row>
    <row r="1023" ht="15.75" customHeight="1">
      <c r="A1023" s="18">
        <f t="shared" si="3"/>
        <v>45801</v>
      </c>
      <c r="B1023" s="19">
        <f t="shared" si="1"/>
        <v>45801</v>
      </c>
      <c r="C1023" s="23" t="s">
        <v>698</v>
      </c>
      <c r="D1023" s="5" t="s">
        <v>699</v>
      </c>
      <c r="E1023" s="9" t="s">
        <v>73</v>
      </c>
      <c r="F1023" s="9" t="str">
        <f t="array" ref="F1023:G1023">XLOOKUP($E1023,product_epicenter!$A$2:$A$101,product_epicenter!$B$2:$C$101)</f>
        <v>Floor Cleaner 1 litre </v>
      </c>
      <c r="G1023" s="21">
        <v>150.0</v>
      </c>
      <c r="H1023" s="9">
        <v>8.0</v>
      </c>
      <c r="I1023" s="21">
        <f t="shared" si="2"/>
        <v>1200</v>
      </c>
    </row>
    <row r="1024" ht="15.75" customHeight="1">
      <c r="A1024" s="18">
        <f t="shared" si="3"/>
        <v>45801</v>
      </c>
      <c r="B1024" s="19">
        <f t="shared" si="1"/>
        <v>45801</v>
      </c>
      <c r="C1024" s="23" t="s">
        <v>698</v>
      </c>
      <c r="D1024" s="5" t="s">
        <v>699</v>
      </c>
      <c r="E1024" s="9" t="s">
        <v>161</v>
      </c>
      <c r="F1024" s="9" t="str">
        <f t="array" ref="F1024:G1024">XLOOKUP($E1024,product_epicenter!$A$2:$A$101,product_epicenter!$B$2:$C$101)</f>
        <v>Aluminium Foil 1 roll </v>
      </c>
      <c r="G1024" s="21">
        <v>120.0</v>
      </c>
      <c r="H1024" s="9">
        <v>1.0</v>
      </c>
      <c r="I1024" s="21">
        <f t="shared" si="2"/>
        <v>120</v>
      </c>
    </row>
    <row r="1025" ht="15.75" customHeight="1">
      <c r="A1025" s="18">
        <f t="shared" si="3"/>
        <v>45801</v>
      </c>
      <c r="B1025" s="19">
        <f t="shared" si="1"/>
        <v>45801</v>
      </c>
      <c r="C1025" s="23" t="s">
        <v>698</v>
      </c>
      <c r="D1025" s="5" t="s">
        <v>699</v>
      </c>
      <c r="E1025" s="9" t="s">
        <v>161</v>
      </c>
      <c r="F1025" s="9" t="str">
        <f t="array" ref="F1025:G1025">XLOOKUP($E1025,product_epicenter!$A$2:$A$101,product_epicenter!$B$2:$C$101)</f>
        <v>Aluminium Foil 1 roll </v>
      </c>
      <c r="G1025" s="21">
        <v>120.0</v>
      </c>
      <c r="H1025" s="9">
        <v>7.0</v>
      </c>
      <c r="I1025" s="21">
        <f t="shared" si="2"/>
        <v>840</v>
      </c>
    </row>
    <row r="1026" ht="15.75" customHeight="1">
      <c r="A1026" s="18">
        <f t="shared" si="3"/>
        <v>45801</v>
      </c>
      <c r="B1026" s="19">
        <f t="shared" si="1"/>
        <v>45801</v>
      </c>
      <c r="C1026" s="23" t="s">
        <v>698</v>
      </c>
      <c r="D1026" s="5" t="s">
        <v>699</v>
      </c>
      <c r="E1026" s="9" t="s">
        <v>139</v>
      </c>
      <c r="F1026" s="9" t="str">
        <f t="array" ref="F1026:G1026">XLOOKUP($E1026,product_epicenter!$A$2:$A$101,product_epicenter!$B$2:$C$101)</f>
        <v>Pickles 500g </v>
      </c>
      <c r="G1026" s="21">
        <v>150.0</v>
      </c>
      <c r="H1026" s="9">
        <v>6.0</v>
      </c>
      <c r="I1026" s="21">
        <f t="shared" si="2"/>
        <v>900</v>
      </c>
    </row>
    <row r="1027" ht="15.75" customHeight="1">
      <c r="A1027" s="18">
        <f t="shared" si="3"/>
        <v>45801</v>
      </c>
      <c r="B1027" s="19">
        <f t="shared" si="1"/>
        <v>45801</v>
      </c>
      <c r="C1027" s="23" t="s">
        <v>698</v>
      </c>
      <c r="D1027" s="5" t="s">
        <v>699</v>
      </c>
      <c r="E1027" s="9" t="s">
        <v>193</v>
      </c>
      <c r="F1027" s="9" t="str">
        <f t="array" ref="F1027:G1027">XLOOKUP($E1027,product_epicenter!$A$2:$A$101,product_epicenter!$B$2:$C$101)</f>
        <v>Lip Balm 1 tube </v>
      </c>
      <c r="G1027" s="21">
        <v>100.0</v>
      </c>
      <c r="H1027" s="9">
        <v>8.0</v>
      </c>
      <c r="I1027" s="21">
        <f t="shared" si="2"/>
        <v>800</v>
      </c>
    </row>
    <row r="1028" ht="15.75" customHeight="1">
      <c r="A1028" s="18">
        <f t="shared" si="3"/>
        <v>45801</v>
      </c>
      <c r="B1028" s="19">
        <f t="shared" si="1"/>
        <v>45801</v>
      </c>
      <c r="C1028" s="23" t="s">
        <v>700</v>
      </c>
      <c r="D1028" s="5" t="s">
        <v>701</v>
      </c>
      <c r="E1028" s="9" t="s">
        <v>183</v>
      </c>
      <c r="F1028" s="9" t="str">
        <f t="array" ref="F1028:G1028">XLOOKUP($E1028,product_epicenter!$A$2:$A$101,product_epicenter!$B$2:$C$101)</f>
        <v>Body Lotion 500ml </v>
      </c>
      <c r="G1028" s="21">
        <v>250.0</v>
      </c>
      <c r="H1028" s="9">
        <v>9.0</v>
      </c>
      <c r="I1028" s="21">
        <f t="shared" si="2"/>
        <v>2250</v>
      </c>
    </row>
    <row r="1029" ht="15.75" customHeight="1">
      <c r="A1029" s="18">
        <f t="shared" si="3"/>
        <v>45801</v>
      </c>
      <c r="B1029" s="19">
        <f t="shared" si="1"/>
        <v>45801</v>
      </c>
      <c r="C1029" s="23" t="s">
        <v>700</v>
      </c>
      <c r="D1029" s="5" t="s">
        <v>701</v>
      </c>
      <c r="E1029" s="9" t="s">
        <v>189</v>
      </c>
      <c r="F1029" s="9" t="str">
        <f t="array" ref="F1029:G1029">XLOOKUP($E1029,product_epicenter!$A$2:$A$101,product_epicenter!$B$2:$C$101)</f>
        <v>Razor 1 pack </v>
      </c>
      <c r="G1029" s="21">
        <v>200.0</v>
      </c>
      <c r="H1029" s="9">
        <v>4.0</v>
      </c>
      <c r="I1029" s="21">
        <f t="shared" si="2"/>
        <v>800</v>
      </c>
    </row>
    <row r="1030" ht="15.75" customHeight="1">
      <c r="A1030" s="18">
        <f t="shared" si="3"/>
        <v>45801</v>
      </c>
      <c r="B1030" s="19">
        <f t="shared" si="1"/>
        <v>45801</v>
      </c>
      <c r="C1030" s="23" t="s">
        <v>700</v>
      </c>
      <c r="D1030" s="5" t="s">
        <v>701</v>
      </c>
      <c r="E1030" s="9" t="s">
        <v>189</v>
      </c>
      <c r="F1030" s="9" t="str">
        <f t="array" ref="F1030:G1030">XLOOKUP($E1030,product_epicenter!$A$2:$A$101,product_epicenter!$B$2:$C$101)</f>
        <v>Razor 1 pack </v>
      </c>
      <c r="G1030" s="21">
        <v>200.0</v>
      </c>
      <c r="H1030" s="9">
        <v>2.0</v>
      </c>
      <c r="I1030" s="21">
        <f t="shared" si="2"/>
        <v>400</v>
      </c>
    </row>
    <row r="1031" ht="15.75" customHeight="1">
      <c r="A1031" s="18">
        <f t="shared" si="3"/>
        <v>45801</v>
      </c>
      <c r="B1031" s="19">
        <f t="shared" si="1"/>
        <v>45801</v>
      </c>
      <c r="C1031" s="23" t="s">
        <v>700</v>
      </c>
      <c r="D1031" s="5" t="s">
        <v>701</v>
      </c>
      <c r="E1031" s="9" t="s">
        <v>29</v>
      </c>
      <c r="F1031" s="9" t="str">
        <f t="array" ref="F1031:G1031">XLOOKUP($E1031,product_epicenter!$A$2:$A$101,product_epicenter!$B$2:$C$101)</f>
        <v>Cheese 200g </v>
      </c>
      <c r="G1031" s="21">
        <v>150.0</v>
      </c>
      <c r="H1031" s="9">
        <v>6.0</v>
      </c>
      <c r="I1031" s="21">
        <f t="shared" si="2"/>
        <v>900</v>
      </c>
    </row>
    <row r="1032" ht="15.75" customHeight="1">
      <c r="A1032" s="18">
        <f t="shared" si="3"/>
        <v>45801</v>
      </c>
      <c r="B1032" s="19">
        <f t="shared" si="1"/>
        <v>45801</v>
      </c>
      <c r="C1032" s="23" t="s">
        <v>700</v>
      </c>
      <c r="D1032" s="5" t="s">
        <v>701</v>
      </c>
      <c r="E1032" s="9" t="s">
        <v>73</v>
      </c>
      <c r="F1032" s="9" t="str">
        <f t="array" ref="F1032:G1032">XLOOKUP($E1032,product_epicenter!$A$2:$A$101,product_epicenter!$B$2:$C$101)</f>
        <v>Floor Cleaner 1 litre </v>
      </c>
      <c r="G1032" s="21">
        <v>150.0</v>
      </c>
      <c r="H1032" s="9">
        <v>1.0</v>
      </c>
      <c r="I1032" s="21">
        <f t="shared" si="2"/>
        <v>150</v>
      </c>
    </row>
    <row r="1033" ht="15.75" customHeight="1">
      <c r="A1033" s="18">
        <f t="shared" si="3"/>
        <v>45801</v>
      </c>
      <c r="B1033" s="19">
        <f t="shared" si="1"/>
        <v>45801</v>
      </c>
      <c r="C1033" s="23" t="s">
        <v>702</v>
      </c>
      <c r="D1033" s="5" t="s">
        <v>703</v>
      </c>
      <c r="E1033" s="9" t="s">
        <v>67</v>
      </c>
      <c r="F1033" s="9" t="str">
        <f t="array" ref="F1033:G1033">XLOOKUP($E1033,product_epicenter!$A$2:$A$101,product_epicenter!$B$2:$C$101)</f>
        <v>Toothpaste 1 tube </v>
      </c>
      <c r="G1033" s="21">
        <v>80.0</v>
      </c>
      <c r="H1033" s="9">
        <v>4.0</v>
      </c>
      <c r="I1033" s="21">
        <f t="shared" si="2"/>
        <v>320</v>
      </c>
    </row>
    <row r="1034" ht="15.75" customHeight="1">
      <c r="A1034" s="18">
        <f t="shared" si="3"/>
        <v>45801</v>
      </c>
      <c r="B1034" s="19">
        <f t="shared" si="1"/>
        <v>45801</v>
      </c>
      <c r="C1034" s="23" t="s">
        <v>702</v>
      </c>
      <c r="D1034" s="5" t="s">
        <v>703</v>
      </c>
      <c r="E1034" s="9" t="s">
        <v>39</v>
      </c>
      <c r="F1034" s="9" t="str">
        <f t="array" ref="F1034:G1034">XLOOKUP($E1034,product_epicenter!$A$2:$A$101,product_epicenter!$B$2:$C$101)</f>
        <v>Bananas 1 dozen </v>
      </c>
      <c r="G1034" s="21">
        <v>60.0</v>
      </c>
      <c r="H1034" s="9">
        <v>5.0</v>
      </c>
      <c r="I1034" s="21">
        <f t="shared" si="2"/>
        <v>300</v>
      </c>
    </row>
    <row r="1035" ht="15.75" customHeight="1">
      <c r="A1035" s="18">
        <f t="shared" si="3"/>
        <v>45801</v>
      </c>
      <c r="B1035" s="19">
        <f t="shared" si="1"/>
        <v>45801</v>
      </c>
      <c r="C1035" s="23" t="s">
        <v>702</v>
      </c>
      <c r="D1035" s="5" t="s">
        <v>703</v>
      </c>
      <c r="E1035" s="9" t="s">
        <v>71</v>
      </c>
      <c r="F1035" s="9" t="str">
        <f t="array" ref="F1035:G1035">XLOOKUP($E1035,product_epicenter!$A$2:$A$101,product_epicenter!$B$2:$C$101)</f>
        <v>Dishwashing Liquid 500ml </v>
      </c>
      <c r="G1035" s="21">
        <v>100.0</v>
      </c>
      <c r="H1035" s="9">
        <v>9.0</v>
      </c>
      <c r="I1035" s="21">
        <f t="shared" si="2"/>
        <v>900</v>
      </c>
    </row>
    <row r="1036" ht="15.75" customHeight="1">
      <c r="A1036" s="18">
        <f t="shared" si="3"/>
        <v>45801</v>
      </c>
      <c r="B1036" s="19">
        <f t="shared" si="1"/>
        <v>45801</v>
      </c>
      <c r="C1036" s="23" t="s">
        <v>704</v>
      </c>
      <c r="D1036" s="5" t="s">
        <v>705</v>
      </c>
      <c r="E1036" s="9" t="s">
        <v>33</v>
      </c>
      <c r="F1036" s="9" t="str">
        <f t="array" ref="F1036:G1036">XLOOKUP($E1036,product_epicenter!$A$2:$A$101,product_epicenter!$B$2:$C$101)</f>
        <v>Chicken 1kg </v>
      </c>
      <c r="G1036" s="21">
        <v>250.0</v>
      </c>
      <c r="H1036" s="9">
        <v>9.0</v>
      </c>
      <c r="I1036" s="21">
        <f t="shared" si="2"/>
        <v>2250</v>
      </c>
    </row>
    <row r="1037" ht="15.75" customHeight="1">
      <c r="A1037" s="18">
        <f t="shared" si="3"/>
        <v>45801</v>
      </c>
      <c r="B1037" s="19">
        <f t="shared" si="1"/>
        <v>45801</v>
      </c>
      <c r="C1037" s="23" t="s">
        <v>704</v>
      </c>
      <c r="D1037" s="5" t="s">
        <v>705</v>
      </c>
      <c r="E1037" s="9" t="s">
        <v>139</v>
      </c>
      <c r="F1037" s="9" t="str">
        <f t="array" ref="F1037:G1037">XLOOKUP($E1037,product_epicenter!$A$2:$A$101,product_epicenter!$B$2:$C$101)</f>
        <v>Pickles 500g </v>
      </c>
      <c r="G1037" s="21">
        <v>150.0</v>
      </c>
      <c r="H1037" s="9">
        <v>9.0</v>
      </c>
      <c r="I1037" s="21">
        <f t="shared" si="2"/>
        <v>1350</v>
      </c>
    </row>
    <row r="1038" ht="15.75" customHeight="1">
      <c r="A1038" s="18">
        <f t="shared" si="3"/>
        <v>45801</v>
      </c>
      <c r="B1038" s="19">
        <f t="shared" si="1"/>
        <v>45801</v>
      </c>
      <c r="C1038" s="23" t="s">
        <v>704</v>
      </c>
      <c r="D1038" s="5" t="s">
        <v>705</v>
      </c>
      <c r="E1038" s="9" t="s">
        <v>125</v>
      </c>
      <c r="F1038" s="9" t="str">
        <f t="array" ref="F1038:G1038">XLOOKUP($E1038,product_epicenter!$A$2:$A$101,product_epicenter!$B$2:$C$101)</f>
        <v>Mangoes 1kg </v>
      </c>
      <c r="G1038" s="21">
        <v>250.0</v>
      </c>
      <c r="H1038" s="9">
        <v>4.0</v>
      </c>
      <c r="I1038" s="21">
        <f t="shared" si="2"/>
        <v>1000</v>
      </c>
    </row>
    <row r="1039" ht="15.75" customHeight="1">
      <c r="A1039" s="18">
        <f t="shared" si="3"/>
        <v>45801</v>
      </c>
      <c r="B1039" s="19">
        <f t="shared" si="1"/>
        <v>45801</v>
      </c>
      <c r="C1039" s="23" t="s">
        <v>706</v>
      </c>
      <c r="D1039" s="5" t="s">
        <v>707</v>
      </c>
      <c r="E1039" s="9" t="s">
        <v>99</v>
      </c>
      <c r="F1039" s="9" t="str">
        <f t="array" ref="F1039:G1039">XLOOKUP($E1039,product_epicenter!$A$2:$A$101,product_epicenter!$B$2:$C$101)</f>
        <v>Oats 1kg </v>
      </c>
      <c r="G1039" s="21">
        <v>250.0</v>
      </c>
      <c r="H1039" s="9">
        <v>7.0</v>
      </c>
      <c r="I1039" s="21">
        <f t="shared" si="2"/>
        <v>1750</v>
      </c>
    </row>
    <row r="1040" ht="15.75" customHeight="1">
      <c r="A1040" s="18">
        <f t="shared" si="3"/>
        <v>45801</v>
      </c>
      <c r="B1040" s="19">
        <f t="shared" si="1"/>
        <v>45801</v>
      </c>
      <c r="C1040" s="23" t="s">
        <v>706</v>
      </c>
      <c r="D1040" s="5" t="s">
        <v>707</v>
      </c>
      <c r="E1040" s="9" t="s">
        <v>59</v>
      </c>
      <c r="F1040" s="9" t="str">
        <f t="array" ref="F1040:G1040">XLOOKUP($E1040,product_epicenter!$A$2:$A$101,product_epicenter!$B$2:$C$101)</f>
        <v>Cold Drink 1 litre </v>
      </c>
      <c r="G1040" s="21">
        <v>100.0</v>
      </c>
      <c r="H1040" s="9">
        <v>4.0</v>
      </c>
      <c r="I1040" s="21">
        <f t="shared" si="2"/>
        <v>400</v>
      </c>
    </row>
    <row r="1041" ht="15.75" customHeight="1">
      <c r="A1041" s="18">
        <f t="shared" si="3"/>
        <v>45801</v>
      </c>
      <c r="B1041" s="19">
        <f t="shared" si="1"/>
        <v>45801</v>
      </c>
      <c r="C1041" s="23" t="s">
        <v>706</v>
      </c>
      <c r="D1041" s="5" t="s">
        <v>707</v>
      </c>
      <c r="E1041" s="9" t="s">
        <v>143</v>
      </c>
      <c r="F1041" s="9" t="str">
        <f t="array" ref="F1041:G1041">XLOOKUP($E1041,product_epicenter!$A$2:$A$101,product_epicenter!$B$2:$C$101)</f>
        <v>Brown Rice 1kg </v>
      </c>
      <c r="G1041" s="21">
        <v>100.0</v>
      </c>
      <c r="H1041" s="9">
        <v>2.0</v>
      </c>
      <c r="I1041" s="21">
        <f t="shared" si="2"/>
        <v>200</v>
      </c>
    </row>
    <row r="1042" ht="15.75" customHeight="1">
      <c r="A1042" s="18">
        <f t="shared" si="3"/>
        <v>45801</v>
      </c>
      <c r="B1042" s="19">
        <f t="shared" si="1"/>
        <v>45801</v>
      </c>
      <c r="C1042" s="23" t="s">
        <v>708</v>
      </c>
      <c r="D1042" s="5" t="s">
        <v>709</v>
      </c>
      <c r="E1042" s="9" t="s">
        <v>199</v>
      </c>
      <c r="F1042" s="9" t="str">
        <f t="array" ref="F1042:G1042">XLOOKUP($E1042,product_epicenter!$A$2:$A$101,product_epicenter!$B$2:$C$101)</f>
        <v>Face Mask 1 pack </v>
      </c>
      <c r="G1042" s="21">
        <v>150.0</v>
      </c>
      <c r="H1042" s="9">
        <v>1.0</v>
      </c>
      <c r="I1042" s="21">
        <f t="shared" si="2"/>
        <v>150</v>
      </c>
    </row>
    <row r="1043" ht="15.75" customHeight="1">
      <c r="A1043" s="18">
        <f t="shared" si="3"/>
        <v>45801</v>
      </c>
      <c r="B1043" s="19">
        <f t="shared" si="1"/>
        <v>45801</v>
      </c>
      <c r="C1043" s="23" t="s">
        <v>708</v>
      </c>
      <c r="D1043" s="5" t="s">
        <v>709</v>
      </c>
      <c r="E1043" s="9" t="s">
        <v>153</v>
      </c>
      <c r="F1043" s="9" t="str">
        <f t="array" ref="F1043:G1043">XLOOKUP($E1043,product_epicenter!$A$2:$A$101,product_epicenter!$B$2:$C$101)</f>
        <v>Bread Crumbs 500g </v>
      </c>
      <c r="G1043" s="21">
        <v>90.0</v>
      </c>
      <c r="H1043" s="9">
        <v>8.0</v>
      </c>
      <c r="I1043" s="21">
        <f t="shared" si="2"/>
        <v>720</v>
      </c>
    </row>
    <row r="1044" ht="15.75" customHeight="1">
      <c r="A1044" s="18">
        <f t="shared" si="3"/>
        <v>45801</v>
      </c>
      <c r="B1044" s="19">
        <f t="shared" si="1"/>
        <v>45801</v>
      </c>
      <c r="C1044" s="23" t="s">
        <v>708</v>
      </c>
      <c r="D1044" s="5" t="s">
        <v>709</v>
      </c>
      <c r="E1044" s="9" t="s">
        <v>7</v>
      </c>
      <c r="F1044" s="9" t="str">
        <f t="array" ref="F1044:G1044">XLOOKUP($E1044,product_epicenter!$A$2:$A$101,product_epicenter!$B$2:$C$101)</f>
        <v>Sugar 1kg </v>
      </c>
      <c r="G1044" s="21">
        <v>45.0</v>
      </c>
      <c r="H1044" s="9">
        <v>9.0</v>
      </c>
      <c r="I1044" s="21">
        <f t="shared" si="2"/>
        <v>405</v>
      </c>
    </row>
    <row r="1045" ht="15.75" customHeight="1">
      <c r="A1045" s="18">
        <f t="shared" si="3"/>
        <v>45801</v>
      </c>
      <c r="B1045" s="19">
        <f t="shared" si="1"/>
        <v>45801</v>
      </c>
      <c r="C1045" s="23" t="s">
        <v>708</v>
      </c>
      <c r="D1045" s="5" t="s">
        <v>709</v>
      </c>
      <c r="E1045" s="9" t="s">
        <v>139</v>
      </c>
      <c r="F1045" s="9" t="str">
        <f t="array" ref="F1045:G1045">XLOOKUP($E1045,product_epicenter!$A$2:$A$101,product_epicenter!$B$2:$C$101)</f>
        <v>Pickles 500g </v>
      </c>
      <c r="G1045" s="21">
        <v>150.0</v>
      </c>
      <c r="H1045" s="9">
        <v>6.0</v>
      </c>
      <c r="I1045" s="21">
        <f t="shared" si="2"/>
        <v>900</v>
      </c>
    </row>
    <row r="1046" ht="15.75" customHeight="1">
      <c r="A1046" s="18">
        <f t="shared" si="3"/>
        <v>45801</v>
      </c>
      <c r="B1046" s="19">
        <f t="shared" si="1"/>
        <v>45801</v>
      </c>
      <c r="C1046" s="23" t="s">
        <v>708</v>
      </c>
      <c r="D1046" s="5" t="s">
        <v>709</v>
      </c>
      <c r="E1046" s="9" t="s">
        <v>171</v>
      </c>
      <c r="F1046" s="9" t="str">
        <f t="array" ref="F1046:G1046">XLOOKUP($E1046,product_epicenter!$A$2:$A$101,product_epicenter!$B$2:$C$101)</f>
        <v>Mineral Water 1 litre </v>
      </c>
      <c r="G1046" s="21">
        <v>20.0</v>
      </c>
      <c r="H1046" s="9">
        <v>5.0</v>
      </c>
      <c r="I1046" s="21">
        <f t="shared" si="2"/>
        <v>100</v>
      </c>
    </row>
    <row r="1047" ht="15.75" customHeight="1">
      <c r="A1047" s="18">
        <f t="shared" si="3"/>
        <v>45801</v>
      </c>
      <c r="B1047" s="19">
        <f t="shared" si="1"/>
        <v>45801</v>
      </c>
      <c r="C1047" s="23" t="s">
        <v>710</v>
      </c>
      <c r="D1047" s="5" t="s">
        <v>711</v>
      </c>
      <c r="E1047" s="9" t="s">
        <v>199</v>
      </c>
      <c r="F1047" s="9" t="str">
        <f t="array" ref="F1047:G1047">XLOOKUP($E1047,product_epicenter!$A$2:$A$101,product_epicenter!$B$2:$C$101)</f>
        <v>Face Mask 1 pack </v>
      </c>
      <c r="G1047" s="21">
        <v>150.0</v>
      </c>
      <c r="H1047" s="9">
        <v>5.0</v>
      </c>
      <c r="I1047" s="21">
        <f t="shared" si="2"/>
        <v>750</v>
      </c>
    </row>
    <row r="1048" ht="15.75" customHeight="1">
      <c r="A1048" s="18">
        <f t="shared" si="3"/>
        <v>45801</v>
      </c>
      <c r="B1048" s="19">
        <f t="shared" si="1"/>
        <v>45801</v>
      </c>
      <c r="C1048" s="23" t="s">
        <v>710</v>
      </c>
      <c r="D1048" s="5" t="s">
        <v>711</v>
      </c>
      <c r="E1048" s="9" t="s">
        <v>35</v>
      </c>
      <c r="F1048" s="9" t="str">
        <f t="array" ref="F1048:G1048">XLOOKUP($E1048,product_epicenter!$A$2:$A$101,product_epicenter!$B$2:$C$101)</f>
        <v>Fish 1kg </v>
      </c>
      <c r="G1048" s="21">
        <v>300.0</v>
      </c>
      <c r="H1048" s="9">
        <v>7.0</v>
      </c>
      <c r="I1048" s="21">
        <f t="shared" si="2"/>
        <v>2100</v>
      </c>
    </row>
    <row r="1049" ht="15.75" customHeight="1">
      <c r="A1049" s="18">
        <f t="shared" si="3"/>
        <v>45801</v>
      </c>
      <c r="B1049" s="19">
        <f t="shared" si="1"/>
        <v>45801</v>
      </c>
      <c r="C1049" s="23" t="s">
        <v>710</v>
      </c>
      <c r="D1049" s="5" t="s">
        <v>711</v>
      </c>
      <c r="E1049" s="9" t="s">
        <v>193</v>
      </c>
      <c r="F1049" s="9" t="str">
        <f t="array" ref="F1049:G1049">XLOOKUP($E1049,product_epicenter!$A$2:$A$101,product_epicenter!$B$2:$C$101)</f>
        <v>Lip Balm 1 tube </v>
      </c>
      <c r="G1049" s="21">
        <v>100.0</v>
      </c>
      <c r="H1049" s="9">
        <v>7.0</v>
      </c>
      <c r="I1049" s="21">
        <f t="shared" si="2"/>
        <v>700</v>
      </c>
    </row>
    <row r="1050" ht="15.75" customHeight="1">
      <c r="A1050" s="18">
        <f t="shared" si="3"/>
        <v>45801</v>
      </c>
      <c r="B1050" s="19">
        <f t="shared" si="1"/>
        <v>45801</v>
      </c>
      <c r="C1050" s="23" t="s">
        <v>710</v>
      </c>
      <c r="D1050" s="5" t="s">
        <v>711</v>
      </c>
      <c r="E1050" s="9" t="s">
        <v>5</v>
      </c>
      <c r="F1050" s="9" t="str">
        <f t="array" ref="F1050:G1050">XLOOKUP($E1050,product_epicenter!$A$2:$A$101,product_epicenter!$B$2:$C$101)</f>
        <v>Dal (Lentils) 1kg </v>
      </c>
      <c r="G1050" s="21">
        <v>100.0</v>
      </c>
      <c r="H1050" s="9">
        <v>7.0</v>
      </c>
      <c r="I1050" s="21">
        <f t="shared" si="2"/>
        <v>700</v>
      </c>
    </row>
    <row r="1051" ht="15.75" customHeight="1">
      <c r="A1051" s="18">
        <f t="shared" si="3"/>
        <v>45801</v>
      </c>
      <c r="B1051" s="19">
        <f t="shared" si="1"/>
        <v>45801</v>
      </c>
      <c r="C1051" s="23" t="s">
        <v>710</v>
      </c>
      <c r="D1051" s="5" t="s">
        <v>711</v>
      </c>
      <c r="E1051" s="9" t="s">
        <v>85</v>
      </c>
      <c r="F1051" s="9" t="str">
        <f t="array" ref="F1051:G1051">XLOOKUP($E1051,product_epicenter!$A$2:$A$101,product_epicenter!$B$2:$C$101)</f>
        <v>Cumin Seeds 100g </v>
      </c>
      <c r="G1051" s="21">
        <v>40.0</v>
      </c>
      <c r="H1051" s="9">
        <v>7.0</v>
      </c>
      <c r="I1051" s="21">
        <f t="shared" si="2"/>
        <v>280</v>
      </c>
    </row>
    <row r="1052" ht="15.75" customHeight="1">
      <c r="A1052" s="24"/>
      <c r="B1052" s="25"/>
      <c r="C1052" s="26"/>
      <c r="D1052" s="5"/>
      <c r="E1052" s="9"/>
      <c r="G1052" s="27"/>
      <c r="H1052" s="9">
        <f>RANDBETWEEN(1,9)</f>
        <v>4</v>
      </c>
      <c r="I1052" s="28"/>
    </row>
    <row r="1053" ht="15.75" customHeight="1">
      <c r="A1053" s="24"/>
      <c r="B1053" s="25"/>
      <c r="C1053" s="26"/>
      <c r="E1053" s="9"/>
      <c r="G1053" s="27"/>
      <c r="I1053" s="28"/>
    </row>
    <row r="1054" ht="15.75" customHeight="1">
      <c r="A1054" s="24"/>
      <c r="B1054" s="25"/>
      <c r="C1054" s="26"/>
      <c r="E1054" s="9"/>
      <c r="G1054" s="27"/>
      <c r="I1054" s="28"/>
    </row>
    <row r="1055" ht="15.75" customHeight="1">
      <c r="A1055" s="24"/>
      <c r="B1055" s="25"/>
      <c r="C1055" s="26"/>
      <c r="E1055" s="9"/>
      <c r="G1055" s="27"/>
      <c r="I1055" s="28"/>
    </row>
    <row r="1056" ht="15.75" customHeight="1">
      <c r="A1056" s="24"/>
      <c r="B1056" s="25"/>
      <c r="C1056" s="26"/>
      <c r="E1056" s="9"/>
      <c r="G1056" s="27"/>
      <c r="I1056" s="28"/>
    </row>
    <row r="1057" ht="15.75" customHeight="1">
      <c r="A1057" s="24"/>
      <c r="B1057" s="25"/>
      <c r="C1057" s="26"/>
      <c r="E1057" s="9"/>
      <c r="G1057" s="27"/>
      <c r="I1057" s="28"/>
    </row>
    <row r="1058" ht="15.75" customHeight="1">
      <c r="A1058" s="24"/>
      <c r="B1058" s="25"/>
      <c r="C1058" s="26"/>
      <c r="E1058" s="9"/>
      <c r="G1058" s="27"/>
      <c r="I1058" s="28"/>
    </row>
    <row r="1059" ht="15.75" customHeight="1">
      <c r="A1059" s="24"/>
      <c r="B1059" s="25"/>
      <c r="C1059" s="26"/>
      <c r="E1059" s="9"/>
      <c r="G1059" s="27"/>
      <c r="I1059" s="28"/>
    </row>
    <row r="1060" ht="15.75" customHeight="1">
      <c r="A1060" s="24"/>
      <c r="B1060" s="25"/>
      <c r="C1060" s="26"/>
      <c r="E1060" s="9"/>
      <c r="G1060" s="27"/>
      <c r="I1060" s="28"/>
    </row>
    <row r="1061" ht="15.75" customHeight="1">
      <c r="A1061" s="24"/>
      <c r="B1061" s="25"/>
      <c r="C1061" s="26"/>
      <c r="E1061" s="9"/>
      <c r="G1061" s="27"/>
      <c r="I1061" s="28"/>
    </row>
    <row r="1062" ht="15.75" customHeight="1">
      <c r="A1062" s="24"/>
      <c r="B1062" s="25"/>
      <c r="C1062" s="26"/>
      <c r="E1062" s="9"/>
      <c r="G1062" s="27"/>
      <c r="I1062" s="28"/>
    </row>
    <row r="1063" ht="15.75" customHeight="1">
      <c r="A1063" s="24"/>
      <c r="B1063" s="25"/>
      <c r="C1063" s="26"/>
      <c r="E1063" s="9"/>
      <c r="G1063" s="27"/>
      <c r="I1063" s="28"/>
    </row>
    <row r="1064" ht="15.75" customHeight="1">
      <c r="A1064" s="24"/>
      <c r="B1064" s="25"/>
      <c r="C1064" s="26"/>
      <c r="E1064" s="9"/>
      <c r="G1064" s="27"/>
      <c r="I1064" s="28"/>
    </row>
    <row r="1065" ht="15.75" customHeight="1">
      <c r="A1065" s="24"/>
      <c r="B1065" s="25"/>
      <c r="C1065" s="26"/>
      <c r="E1065" s="9"/>
      <c r="G1065" s="27"/>
      <c r="I1065" s="28"/>
    </row>
    <row r="1066" ht="15.75" customHeight="1">
      <c r="A1066" s="24"/>
      <c r="B1066" s="25"/>
      <c r="C1066" s="26"/>
      <c r="E1066" s="9"/>
      <c r="G1066" s="27"/>
      <c r="I1066" s="28"/>
    </row>
    <row r="1067" ht="15.75" customHeight="1">
      <c r="A1067" s="24"/>
      <c r="B1067" s="25"/>
      <c r="C1067" s="26"/>
      <c r="E1067" s="9"/>
      <c r="G1067" s="27"/>
      <c r="I1067" s="28"/>
    </row>
    <row r="1068" ht="15.75" customHeight="1">
      <c r="A1068" s="24"/>
      <c r="B1068" s="25"/>
      <c r="C1068" s="26"/>
      <c r="E1068" s="9"/>
      <c r="G1068" s="27"/>
      <c r="I1068" s="28"/>
    </row>
    <row r="1069" ht="15.75" customHeight="1">
      <c r="A1069" s="24"/>
      <c r="B1069" s="25"/>
      <c r="C1069" s="26"/>
      <c r="E1069" s="9"/>
      <c r="G1069" s="27"/>
      <c r="I1069" s="28"/>
    </row>
    <row r="1070" ht="15.75" customHeight="1">
      <c r="A1070" s="24"/>
      <c r="B1070" s="25"/>
      <c r="C1070" s="26"/>
      <c r="E1070" s="9"/>
      <c r="G1070" s="27"/>
      <c r="I1070" s="28"/>
    </row>
    <row r="1071" ht="15.75" customHeight="1">
      <c r="A1071" s="24"/>
      <c r="B1071" s="25"/>
      <c r="C1071" s="26"/>
      <c r="E1071" s="9"/>
      <c r="G1071" s="27"/>
      <c r="I1071" s="28"/>
    </row>
    <row r="1072" ht="15.75" customHeight="1">
      <c r="A1072" s="24"/>
      <c r="B1072" s="25"/>
      <c r="C1072" s="26"/>
      <c r="E1072" s="9"/>
      <c r="G1072" s="27"/>
      <c r="I1072" s="28"/>
    </row>
    <row r="1073" ht="15.75" customHeight="1">
      <c r="A1073" s="24"/>
      <c r="B1073" s="25"/>
      <c r="C1073" s="26"/>
      <c r="E1073" s="9"/>
      <c r="G1073" s="27"/>
      <c r="I1073" s="28"/>
    </row>
    <row r="1074" ht="15.75" customHeight="1">
      <c r="A1074" s="24"/>
      <c r="B1074" s="25"/>
      <c r="C1074" s="26"/>
      <c r="E1074" s="9"/>
      <c r="G1074" s="27"/>
      <c r="I1074" s="28"/>
    </row>
    <row r="1075" ht="15.75" customHeight="1">
      <c r="A1075" s="24"/>
      <c r="B1075" s="25"/>
      <c r="C1075" s="26"/>
      <c r="E1075" s="9"/>
      <c r="G1075" s="27"/>
      <c r="I1075" s="28"/>
    </row>
    <row r="1076" ht="15.75" customHeight="1">
      <c r="A1076" s="24"/>
      <c r="B1076" s="25"/>
      <c r="C1076" s="26"/>
      <c r="E1076" s="9"/>
      <c r="G1076" s="27"/>
      <c r="I1076" s="28"/>
    </row>
    <row r="1077" ht="15.75" customHeight="1">
      <c r="A1077" s="24"/>
      <c r="B1077" s="25"/>
      <c r="C1077" s="26"/>
      <c r="E1077" s="9"/>
      <c r="G1077" s="27"/>
      <c r="I1077" s="28"/>
    </row>
    <row r="1078" ht="15.75" customHeight="1">
      <c r="A1078" s="24"/>
      <c r="B1078" s="25"/>
      <c r="C1078" s="26"/>
      <c r="E1078" s="9"/>
      <c r="G1078" s="27"/>
      <c r="I1078" s="28"/>
    </row>
    <row r="1079" ht="15.75" customHeight="1">
      <c r="A1079" s="24"/>
      <c r="B1079" s="25"/>
      <c r="C1079" s="26"/>
      <c r="E1079" s="9"/>
      <c r="G1079" s="27"/>
      <c r="I1079" s="28"/>
    </row>
    <row r="1080" ht="15.75" customHeight="1">
      <c r="A1080" s="24"/>
      <c r="B1080" s="25"/>
      <c r="C1080" s="26"/>
      <c r="E1080" s="9"/>
      <c r="G1080" s="27"/>
      <c r="I1080" s="28"/>
    </row>
    <row r="1081" ht="15.75" customHeight="1">
      <c r="A1081" s="24"/>
      <c r="B1081" s="25"/>
      <c r="C1081" s="26"/>
      <c r="E1081" s="9"/>
      <c r="G1081" s="27"/>
      <c r="I1081" s="28"/>
    </row>
    <row r="1082" ht="15.75" customHeight="1">
      <c r="A1082" s="24"/>
      <c r="B1082" s="25"/>
      <c r="C1082" s="26"/>
      <c r="E1082" s="9"/>
      <c r="G1082" s="27"/>
      <c r="I1082" s="28"/>
    </row>
    <row r="1083" ht="15.75" customHeight="1">
      <c r="A1083" s="24"/>
      <c r="B1083" s="25"/>
      <c r="C1083" s="26"/>
      <c r="E1083" s="9"/>
      <c r="G1083" s="27"/>
      <c r="I1083" s="28"/>
    </row>
    <row r="1084" ht="15.75" customHeight="1">
      <c r="A1084" s="24"/>
      <c r="B1084" s="25"/>
      <c r="C1084" s="26"/>
      <c r="E1084" s="9"/>
      <c r="G1084" s="27"/>
      <c r="I1084" s="28"/>
    </row>
    <row r="1085" ht="15.75" customHeight="1">
      <c r="A1085" s="24"/>
      <c r="B1085" s="25"/>
      <c r="C1085" s="26"/>
      <c r="E1085" s="9"/>
      <c r="G1085" s="27"/>
      <c r="I1085" s="28"/>
    </row>
    <row r="1086" ht="15.75" customHeight="1">
      <c r="A1086" s="24"/>
      <c r="B1086" s="25"/>
      <c r="C1086" s="26"/>
      <c r="E1086" s="9"/>
      <c r="G1086" s="27"/>
      <c r="I1086" s="28"/>
    </row>
    <row r="1087" ht="15.75" customHeight="1">
      <c r="A1087" s="24"/>
      <c r="B1087" s="25"/>
      <c r="C1087" s="26"/>
      <c r="E1087" s="9"/>
      <c r="G1087" s="27"/>
      <c r="I1087" s="28"/>
    </row>
    <row r="1088" ht="15.75" customHeight="1">
      <c r="A1088" s="24"/>
      <c r="B1088" s="25"/>
      <c r="C1088" s="26"/>
      <c r="E1088" s="9"/>
      <c r="G1088" s="27"/>
      <c r="I1088" s="28"/>
    </row>
    <row r="1089" ht="15.75" customHeight="1">
      <c r="A1089" s="24"/>
      <c r="B1089" s="25"/>
      <c r="C1089" s="26"/>
      <c r="E1089" s="9"/>
      <c r="G1089" s="27"/>
      <c r="I1089" s="28"/>
    </row>
    <row r="1090" ht="15.75" customHeight="1">
      <c r="A1090" s="24"/>
      <c r="B1090" s="25"/>
      <c r="C1090" s="26"/>
      <c r="E1090" s="9"/>
      <c r="G1090" s="27"/>
      <c r="I1090" s="28"/>
    </row>
    <row r="1091" ht="15.75" customHeight="1">
      <c r="A1091" s="24"/>
      <c r="B1091" s="25"/>
      <c r="C1091" s="26"/>
      <c r="E1091" s="9"/>
      <c r="G1091" s="27"/>
      <c r="I1091" s="28"/>
    </row>
    <row r="1092" ht="15.75" customHeight="1">
      <c r="A1092" s="24"/>
      <c r="B1092" s="25"/>
      <c r="C1092" s="26"/>
      <c r="E1092" s="9"/>
      <c r="G1092" s="27"/>
      <c r="I1092" s="28"/>
    </row>
    <row r="1093" ht="15.75" customHeight="1">
      <c r="A1093" s="24"/>
      <c r="B1093" s="25"/>
      <c r="C1093" s="26"/>
      <c r="E1093" s="9"/>
      <c r="G1093" s="27"/>
      <c r="I1093" s="28"/>
    </row>
    <row r="1094" ht="15.75" customHeight="1">
      <c r="A1094" s="24"/>
      <c r="B1094" s="25"/>
      <c r="C1094" s="26"/>
      <c r="E1094" s="9"/>
      <c r="G1094" s="27"/>
      <c r="I1094" s="28"/>
    </row>
    <row r="1095" ht="15.75" customHeight="1">
      <c r="A1095" s="24"/>
      <c r="B1095" s="25"/>
      <c r="C1095" s="26"/>
      <c r="E1095" s="9"/>
      <c r="G1095" s="27"/>
      <c r="I1095" s="28"/>
    </row>
    <row r="1096" ht="15.75" customHeight="1">
      <c r="A1096" s="24"/>
      <c r="B1096" s="25"/>
      <c r="C1096" s="26"/>
      <c r="E1096" s="9"/>
      <c r="G1096" s="27"/>
      <c r="I1096" s="28"/>
    </row>
    <row r="1097" ht="15.75" customHeight="1">
      <c r="A1097" s="24"/>
      <c r="B1097" s="25"/>
      <c r="C1097" s="26"/>
      <c r="E1097" s="9"/>
      <c r="G1097" s="27"/>
      <c r="I1097" s="28"/>
    </row>
    <row r="1098" ht="15.75" customHeight="1">
      <c r="A1098" s="24"/>
      <c r="B1098" s="25"/>
      <c r="C1098" s="26"/>
      <c r="E1098" s="9"/>
      <c r="G1098" s="27"/>
      <c r="I1098" s="28"/>
    </row>
    <row r="1099" ht="15.75" customHeight="1">
      <c r="A1099" s="24"/>
      <c r="B1099" s="25"/>
      <c r="C1099" s="26"/>
      <c r="E1099" s="9"/>
      <c r="G1099" s="27"/>
      <c r="I1099" s="28"/>
    </row>
    <row r="1100" ht="15.75" customHeight="1">
      <c r="A1100" s="24"/>
      <c r="B1100" s="25"/>
      <c r="C1100" s="26"/>
      <c r="E1100" s="9"/>
      <c r="G1100" s="27"/>
      <c r="I1100" s="28"/>
    </row>
    <row r="1101" ht="15.75" customHeight="1">
      <c r="A1101" s="24"/>
      <c r="B1101" s="25"/>
      <c r="C1101" s="26"/>
      <c r="E1101" s="9"/>
      <c r="G1101" s="27"/>
      <c r="I1101" s="28"/>
    </row>
    <row r="1102" ht="15.75" customHeight="1">
      <c r="A1102" s="24"/>
      <c r="B1102" s="25"/>
      <c r="C1102" s="26"/>
      <c r="E1102" s="9"/>
      <c r="G1102" s="27"/>
      <c r="I1102" s="28"/>
    </row>
    <row r="1103" ht="15.75" customHeight="1">
      <c r="A1103" s="24"/>
      <c r="B1103" s="25"/>
      <c r="C1103" s="26"/>
      <c r="E1103" s="9"/>
      <c r="G1103" s="27"/>
      <c r="I1103" s="28"/>
    </row>
    <row r="1104" ht="15.75" customHeight="1">
      <c r="A1104" s="24"/>
      <c r="B1104" s="25"/>
      <c r="C1104" s="26"/>
      <c r="E1104" s="9"/>
      <c r="G1104" s="27"/>
      <c r="I1104" s="28"/>
    </row>
    <row r="1105" ht="15.75" customHeight="1">
      <c r="A1105" s="24"/>
      <c r="B1105" s="25"/>
      <c r="C1105" s="26"/>
      <c r="E1105" s="9"/>
      <c r="G1105" s="27"/>
      <c r="I1105" s="28"/>
    </row>
  </sheetData>
  <autoFilter ref="$A$1:$Z$1105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24.29"/>
    <col customWidth="1" min="5" max="5" width="26.29"/>
    <col customWidth="1" min="6" max="6" width="29.86"/>
  </cols>
  <sheetData>
    <row r="1">
      <c r="A1" s="1" t="s">
        <v>205</v>
      </c>
      <c r="B1" s="1" t="s">
        <v>0</v>
      </c>
      <c r="C1" s="1" t="s">
        <v>1</v>
      </c>
      <c r="D1" s="1" t="s">
        <v>203</v>
      </c>
      <c r="E1" s="1" t="s">
        <v>712</v>
      </c>
      <c r="F1" s="17" t="s">
        <v>713</v>
      </c>
    </row>
    <row r="2">
      <c r="A2" s="19">
        <v>45801.0</v>
      </c>
      <c r="B2" s="4" t="s">
        <v>3</v>
      </c>
      <c r="C2" s="5" t="s">
        <v>4</v>
      </c>
      <c r="D2" s="9">
        <v>100.0</v>
      </c>
      <c r="E2" s="9">
        <f>$D2-IF(SUMIFS(bill_counter!H:H,bill_counter!E:E,$B2,bill_counter!A:A,$A2)&gt;$D2,$D2,SUMIFS(bill_counter!H:H,bill_counter!E:E,$B2,bill_counter!A:A,$A2))</f>
        <v>13</v>
      </c>
      <c r="F2" s="9" t="str">
        <f t="shared" ref="F2:F101" si="1">IF(AND($E2&lt;=75%*$D2,$E2&gt;=50%*$D2),"Yes, within 20 Days",IF(AND($E2&lt;50%*$D2,$E2&gt;=25%*D2),"Yes, within 10 days",IF(AND($E2&lt;25%*$D2,$E2&gt;=10%*$D2),"Yes, within 5 days",IF(AND($E2&lt;10%*$D2,$E2&gt;0%*$D2),"Refill Immediately",IF($E2=0%*$D2,"Out Of Stock","Sufficient")))))</f>
        <v>Yes, within 5 days</v>
      </c>
    </row>
    <row r="3">
      <c r="A3" s="19">
        <v>45801.0</v>
      </c>
      <c r="B3" s="4" t="s">
        <v>5</v>
      </c>
      <c r="C3" s="5" t="s">
        <v>6</v>
      </c>
      <c r="D3" s="9">
        <v>100.0</v>
      </c>
      <c r="E3" s="9">
        <f>$D3-IF(SUMIFS(bill_counter!H:H,bill_counter!E:E,$B3,bill_counter!A:A,$A3)&gt;$D3,$D3,SUMIFS(bill_counter!H:H,bill_counter!E:E,$B3,bill_counter!A:A,$A3))</f>
        <v>43</v>
      </c>
      <c r="F3" s="9" t="str">
        <f t="shared" si="1"/>
        <v>Yes, within 10 days</v>
      </c>
    </row>
    <row r="4">
      <c r="A4" s="19">
        <v>45801.0</v>
      </c>
      <c r="B4" s="4" t="s">
        <v>7</v>
      </c>
      <c r="C4" s="5" t="s">
        <v>8</v>
      </c>
      <c r="D4" s="9">
        <v>70.0</v>
      </c>
      <c r="E4" s="9">
        <f>$D4-IF(SUMIFS(bill_counter!H:H,bill_counter!E:E,$B4,bill_counter!A:A,$A4)&gt;$D4,$D4,SUMIFS(bill_counter!H:H,bill_counter!E:E,$B4,bill_counter!A:A,$A4))</f>
        <v>27</v>
      </c>
      <c r="F4" s="9" t="str">
        <f t="shared" si="1"/>
        <v>Yes, within 10 days</v>
      </c>
    </row>
    <row r="5">
      <c r="A5" s="19">
        <v>45801.0</v>
      </c>
      <c r="B5" s="4" t="s">
        <v>9</v>
      </c>
      <c r="C5" s="5" t="s">
        <v>10</v>
      </c>
      <c r="D5" s="9">
        <v>70.0</v>
      </c>
      <c r="E5" s="9">
        <f>$D5-IF(SUMIFS(bill_counter!H:H,bill_counter!E:E,$B5,bill_counter!A:A,$A5)&gt;$D5,$D5,SUMIFS(bill_counter!H:H,bill_counter!E:E,$B5,bill_counter!A:A,$A5))</f>
        <v>36</v>
      </c>
      <c r="F5" s="9" t="str">
        <f t="shared" si="1"/>
        <v>Yes, within 20 Days</v>
      </c>
    </row>
    <row r="6">
      <c r="A6" s="19">
        <v>45801.0</v>
      </c>
      <c r="B6" s="4" t="s">
        <v>11</v>
      </c>
      <c r="C6" s="5" t="s">
        <v>12</v>
      </c>
      <c r="D6" s="9">
        <v>70.0</v>
      </c>
      <c r="E6" s="9">
        <f>$D6-IF(SUMIFS(bill_counter!H:H,bill_counter!E:E,$B6,bill_counter!A:A,$A6)&gt;$D6,$D6,SUMIFS(bill_counter!H:H,bill_counter!E:E,$B6,bill_counter!A:A,$A6))</f>
        <v>21</v>
      </c>
      <c r="F6" s="9" t="str">
        <f t="shared" si="1"/>
        <v>Yes, within 10 days</v>
      </c>
    </row>
    <row r="7">
      <c r="A7" s="19">
        <v>45801.0</v>
      </c>
      <c r="B7" s="4" t="s">
        <v>13</v>
      </c>
      <c r="C7" s="5" t="s">
        <v>14</v>
      </c>
      <c r="D7" s="9">
        <v>70.0</v>
      </c>
      <c r="E7" s="9">
        <f>$D7-IF(SUMIFS(bill_counter!H:H,bill_counter!E:E,$B7,bill_counter!A:A,$A7)&gt;$D7,$D7,SUMIFS(bill_counter!H:H,bill_counter!E:E,$B7,bill_counter!A:A,$A7))</f>
        <v>38</v>
      </c>
      <c r="F7" s="9" t="str">
        <f t="shared" si="1"/>
        <v>Yes, within 20 Days</v>
      </c>
    </row>
    <row r="8">
      <c r="A8" s="19">
        <v>45801.0</v>
      </c>
      <c r="B8" s="4" t="s">
        <v>15</v>
      </c>
      <c r="C8" s="5" t="s">
        <v>16</v>
      </c>
      <c r="D8" s="9">
        <v>70.0</v>
      </c>
      <c r="E8" s="9">
        <f>$D8-IF(SUMIFS(bill_counter!H:H,bill_counter!E:E,$B8,bill_counter!A:A,$A8)&gt;$D8,$D8,SUMIFS(bill_counter!H:H,bill_counter!E:E,$B8,bill_counter!A:A,$A8))</f>
        <v>0</v>
      </c>
      <c r="F8" s="9" t="str">
        <f t="shared" si="1"/>
        <v>Out Of Stock</v>
      </c>
    </row>
    <row r="9">
      <c r="A9" s="19">
        <v>45801.0</v>
      </c>
      <c r="B9" s="4" t="s">
        <v>17</v>
      </c>
      <c r="C9" s="5" t="s">
        <v>18</v>
      </c>
      <c r="D9" s="9">
        <v>50.0</v>
      </c>
      <c r="E9" s="9">
        <f>$D9-IF(SUMIFS(bill_counter!H:H,bill_counter!E:E,$B9,bill_counter!A:A,$A9)&gt;$D9,$D9,SUMIFS(bill_counter!H:H,bill_counter!E:E,$B9,bill_counter!A:A,$A9))</f>
        <v>9</v>
      </c>
      <c r="F9" s="9" t="str">
        <f t="shared" si="1"/>
        <v>Yes, within 5 days</v>
      </c>
    </row>
    <row r="10">
      <c r="A10" s="19">
        <v>45801.0</v>
      </c>
      <c r="B10" s="4" t="s">
        <v>19</v>
      </c>
      <c r="C10" s="5" t="s">
        <v>20</v>
      </c>
      <c r="D10" s="9">
        <v>50.0</v>
      </c>
      <c r="E10" s="9">
        <f>$D10-IF(SUMIFS(bill_counter!H:H,bill_counter!E:E,$B10,bill_counter!A:A,$A10)&gt;$D10,$D10,SUMIFS(bill_counter!H:H,bill_counter!E:E,$B10,bill_counter!A:A,$A10))</f>
        <v>24</v>
      </c>
      <c r="F10" s="9" t="str">
        <f t="shared" si="1"/>
        <v>Yes, within 10 days</v>
      </c>
    </row>
    <row r="11">
      <c r="A11" s="19">
        <v>45801.0</v>
      </c>
      <c r="B11" s="4" t="s">
        <v>21</v>
      </c>
      <c r="C11" s="5" t="s">
        <v>22</v>
      </c>
      <c r="D11" s="9">
        <v>100.0</v>
      </c>
      <c r="E11" s="9">
        <f>$D11-IF(SUMIFS(bill_counter!H:H,bill_counter!E:E,$B11,bill_counter!A:A,$A11)&gt;$D11,$D11,SUMIFS(bill_counter!H:H,bill_counter!E:E,$B11,bill_counter!A:A,$A11))</f>
        <v>45</v>
      </c>
      <c r="F11" s="9" t="str">
        <f t="shared" si="1"/>
        <v>Yes, within 10 days</v>
      </c>
    </row>
    <row r="12">
      <c r="A12" s="19">
        <v>45801.0</v>
      </c>
      <c r="B12" s="4" t="s">
        <v>23</v>
      </c>
      <c r="C12" s="5" t="s">
        <v>24</v>
      </c>
      <c r="D12" s="9">
        <v>50.0</v>
      </c>
      <c r="E12" s="9">
        <f>$D12-IF(SUMIFS(bill_counter!H:H,bill_counter!E:E,$B12,bill_counter!A:A,$A12)&gt;$D12,$D12,SUMIFS(bill_counter!H:H,bill_counter!E:E,$B12,bill_counter!A:A,$A12))</f>
        <v>38</v>
      </c>
      <c r="F12" s="9" t="str">
        <f t="shared" si="1"/>
        <v>Sufficient</v>
      </c>
    </row>
    <row r="13">
      <c r="A13" s="19">
        <v>45801.0</v>
      </c>
      <c r="B13" s="4" t="s">
        <v>25</v>
      </c>
      <c r="C13" s="5" t="s">
        <v>26</v>
      </c>
      <c r="D13" s="9">
        <v>50.0</v>
      </c>
      <c r="E13" s="9">
        <f>$D13-IF(SUMIFS(bill_counter!H:H,bill_counter!E:E,$B13,bill_counter!A:A,$A13)&gt;$D13,$D13,SUMIFS(bill_counter!H:H,bill_counter!E:E,$B13,bill_counter!A:A,$A13))</f>
        <v>0</v>
      </c>
      <c r="F13" s="9" t="str">
        <f t="shared" si="1"/>
        <v>Out Of Stock</v>
      </c>
    </row>
    <row r="14">
      <c r="A14" s="19">
        <v>45801.0</v>
      </c>
      <c r="B14" s="4" t="s">
        <v>27</v>
      </c>
      <c r="C14" s="5" t="s">
        <v>28</v>
      </c>
      <c r="D14" s="9">
        <v>70.0</v>
      </c>
      <c r="E14" s="9">
        <f>$D14-IF(SUMIFS(bill_counter!H:H,bill_counter!E:E,$B14,bill_counter!A:A,$A14)&gt;$D14,$D14,SUMIFS(bill_counter!H:H,bill_counter!E:E,$B14,bill_counter!A:A,$A14))</f>
        <v>0</v>
      </c>
      <c r="F14" s="9" t="str">
        <f t="shared" si="1"/>
        <v>Out Of Stock</v>
      </c>
    </row>
    <row r="15">
      <c r="A15" s="19">
        <v>45801.0</v>
      </c>
      <c r="B15" s="4" t="s">
        <v>29</v>
      </c>
      <c r="C15" s="5" t="s">
        <v>30</v>
      </c>
      <c r="D15" s="9">
        <v>50.0</v>
      </c>
      <c r="E15" s="9">
        <f>$D15-IF(SUMIFS(bill_counter!H:H,bill_counter!E:E,$B15,bill_counter!A:A,$A15)&gt;$D15,$D15,SUMIFS(bill_counter!H:H,bill_counter!E:E,$B15,bill_counter!A:A,$A15))</f>
        <v>1</v>
      </c>
      <c r="F15" s="9" t="str">
        <f t="shared" si="1"/>
        <v>Refill Immediately</v>
      </c>
    </row>
    <row r="16">
      <c r="A16" s="19">
        <v>45801.0</v>
      </c>
      <c r="B16" s="4" t="s">
        <v>31</v>
      </c>
      <c r="C16" s="5" t="s">
        <v>32</v>
      </c>
      <c r="D16" s="9">
        <v>100.0</v>
      </c>
      <c r="E16" s="9">
        <f>$D16-IF(SUMIFS(bill_counter!H:H,bill_counter!E:E,$B16,bill_counter!A:A,$A16)&gt;$D16,$D16,SUMIFS(bill_counter!H:H,bill_counter!E:E,$B16,bill_counter!A:A,$A16))</f>
        <v>28</v>
      </c>
      <c r="F16" s="9" t="str">
        <f t="shared" si="1"/>
        <v>Yes, within 10 days</v>
      </c>
    </row>
    <row r="17">
      <c r="A17" s="19">
        <v>45801.0</v>
      </c>
      <c r="B17" s="4" t="s">
        <v>33</v>
      </c>
      <c r="C17" s="5" t="s">
        <v>34</v>
      </c>
      <c r="D17" s="9">
        <v>70.0</v>
      </c>
      <c r="E17" s="9">
        <f>$D17-IF(SUMIFS(bill_counter!H:H,bill_counter!E:E,$B17,bill_counter!A:A,$A17)&gt;$D17,$D17,SUMIFS(bill_counter!H:H,bill_counter!E:E,$B17,bill_counter!A:A,$A17))</f>
        <v>6</v>
      </c>
      <c r="F17" s="9" t="str">
        <f t="shared" si="1"/>
        <v>Refill Immediately</v>
      </c>
    </row>
    <row r="18">
      <c r="A18" s="19">
        <v>45801.0</v>
      </c>
      <c r="B18" s="4" t="s">
        <v>35</v>
      </c>
      <c r="C18" s="5" t="s">
        <v>36</v>
      </c>
      <c r="D18" s="9">
        <v>50.0</v>
      </c>
      <c r="E18" s="9">
        <f>$D18-IF(SUMIFS(bill_counter!H:H,bill_counter!E:E,$B18,bill_counter!A:A,$A18)&gt;$D18,$D18,SUMIFS(bill_counter!H:H,bill_counter!E:E,$B18,bill_counter!A:A,$A18))</f>
        <v>0</v>
      </c>
      <c r="F18" s="9" t="str">
        <f t="shared" si="1"/>
        <v>Out Of Stock</v>
      </c>
    </row>
    <row r="19">
      <c r="A19" s="19">
        <v>45801.0</v>
      </c>
      <c r="B19" s="4" t="s">
        <v>37</v>
      </c>
      <c r="C19" s="5" t="s">
        <v>38</v>
      </c>
      <c r="D19" s="9">
        <v>70.0</v>
      </c>
      <c r="E19" s="9">
        <f>$D19-IF(SUMIFS(bill_counter!H:H,bill_counter!E:E,$B19,bill_counter!A:A,$A19)&gt;$D19,$D19,SUMIFS(bill_counter!H:H,bill_counter!E:E,$B19,bill_counter!A:A,$A19))</f>
        <v>20</v>
      </c>
      <c r="F19" s="9" t="str">
        <f t="shared" si="1"/>
        <v>Yes, within 10 days</v>
      </c>
    </row>
    <row r="20">
      <c r="A20" s="19">
        <v>45801.0</v>
      </c>
      <c r="B20" s="4" t="s">
        <v>39</v>
      </c>
      <c r="C20" s="5" t="s">
        <v>40</v>
      </c>
      <c r="D20" s="9">
        <v>50.0</v>
      </c>
      <c r="E20" s="9">
        <f>$D20-IF(SUMIFS(bill_counter!H:H,bill_counter!E:E,$B20,bill_counter!A:A,$A20)&gt;$D20,$D20,SUMIFS(bill_counter!H:H,bill_counter!E:E,$B20,bill_counter!A:A,$A20))</f>
        <v>23</v>
      </c>
      <c r="F20" s="9" t="str">
        <f t="shared" si="1"/>
        <v>Yes, within 10 days</v>
      </c>
    </row>
    <row r="21">
      <c r="A21" s="19">
        <v>45801.0</v>
      </c>
      <c r="B21" s="4" t="s">
        <v>41</v>
      </c>
      <c r="C21" s="5" t="s">
        <v>42</v>
      </c>
      <c r="D21" s="9">
        <v>70.0</v>
      </c>
      <c r="E21" s="9">
        <f>$D21-IF(SUMIFS(bill_counter!H:H,bill_counter!E:E,$B21,bill_counter!A:A,$A21)&gt;$D21,$D21,SUMIFS(bill_counter!H:H,bill_counter!E:E,$B21,bill_counter!A:A,$A21))</f>
        <v>0</v>
      </c>
      <c r="F21" s="9" t="str">
        <f t="shared" si="1"/>
        <v>Out Of Stock</v>
      </c>
    </row>
    <row r="22">
      <c r="A22" s="19">
        <v>45801.0</v>
      </c>
      <c r="B22" s="4" t="s">
        <v>43</v>
      </c>
      <c r="C22" s="5" t="s">
        <v>44</v>
      </c>
      <c r="D22" s="9">
        <v>50.0</v>
      </c>
      <c r="E22" s="9">
        <f>$D22-IF(SUMIFS(bill_counter!H:H,bill_counter!E:E,$B22,bill_counter!A:A,$A22)&gt;$D22,$D22,SUMIFS(bill_counter!H:H,bill_counter!E:E,$B22,bill_counter!A:A,$A22))</f>
        <v>0</v>
      </c>
      <c r="F22" s="9" t="str">
        <f t="shared" si="1"/>
        <v>Out Of Stock</v>
      </c>
    </row>
    <row r="23">
      <c r="A23" s="19">
        <v>45801.0</v>
      </c>
      <c r="B23" s="4" t="s">
        <v>45</v>
      </c>
      <c r="C23" s="5" t="s">
        <v>46</v>
      </c>
      <c r="D23" s="9">
        <v>50.0</v>
      </c>
      <c r="E23" s="9">
        <f>$D23-IF(SUMIFS(bill_counter!H:H,bill_counter!E:E,$B23,bill_counter!A:A,$A23)&gt;$D23,$D23,SUMIFS(bill_counter!H:H,bill_counter!E:E,$B23,bill_counter!A:A,$A23))</f>
        <v>0</v>
      </c>
      <c r="F23" s="9" t="str">
        <f t="shared" si="1"/>
        <v>Out Of Stock</v>
      </c>
    </row>
    <row r="24">
      <c r="A24" s="19">
        <v>45801.0</v>
      </c>
      <c r="B24" s="4" t="s">
        <v>47</v>
      </c>
      <c r="C24" s="5" t="s">
        <v>48</v>
      </c>
      <c r="D24" s="9">
        <v>50.0</v>
      </c>
      <c r="E24" s="9">
        <f>$D24-IF(SUMIFS(bill_counter!H:H,bill_counter!E:E,$B24,bill_counter!A:A,$A24)&gt;$D24,$D24,SUMIFS(bill_counter!H:H,bill_counter!E:E,$B24,bill_counter!A:A,$A24))</f>
        <v>12</v>
      </c>
      <c r="F24" s="9" t="str">
        <f t="shared" si="1"/>
        <v>Yes, within 5 days</v>
      </c>
    </row>
    <row r="25">
      <c r="A25" s="19">
        <v>45801.0</v>
      </c>
      <c r="B25" s="4" t="s">
        <v>49</v>
      </c>
      <c r="C25" s="5" t="s">
        <v>50</v>
      </c>
      <c r="D25" s="9">
        <v>50.0</v>
      </c>
      <c r="E25" s="9">
        <f>$D25-IF(SUMIFS(bill_counter!H:H,bill_counter!E:E,$B25,bill_counter!A:A,$A25)&gt;$D25,$D25,SUMIFS(bill_counter!H:H,bill_counter!E:E,$B25,bill_counter!A:A,$A25))</f>
        <v>1</v>
      </c>
      <c r="F25" s="9" t="str">
        <f t="shared" si="1"/>
        <v>Refill Immediately</v>
      </c>
    </row>
    <row r="26">
      <c r="A26" s="19">
        <v>45801.0</v>
      </c>
      <c r="B26" s="4" t="s">
        <v>51</v>
      </c>
      <c r="C26" s="5" t="s">
        <v>52</v>
      </c>
      <c r="D26" s="9">
        <v>50.0</v>
      </c>
      <c r="E26" s="9">
        <f>$D26-IF(SUMIFS(bill_counter!H:H,bill_counter!E:E,$B26,bill_counter!A:A,$A26)&gt;$D26,$D26,SUMIFS(bill_counter!H:H,bill_counter!E:E,$B26,bill_counter!A:A,$A26))</f>
        <v>0</v>
      </c>
      <c r="F26" s="9" t="str">
        <f t="shared" si="1"/>
        <v>Out Of Stock</v>
      </c>
    </row>
    <row r="27">
      <c r="A27" s="19">
        <v>45801.0</v>
      </c>
      <c r="B27" s="4" t="s">
        <v>53</v>
      </c>
      <c r="C27" s="5" t="s">
        <v>54</v>
      </c>
      <c r="D27" s="9">
        <v>50.0</v>
      </c>
      <c r="E27" s="9">
        <f>$D27-IF(SUMIFS(bill_counter!H:H,bill_counter!E:E,$B27,bill_counter!A:A,$A27)&gt;$D27,$D27,SUMIFS(bill_counter!H:H,bill_counter!E:E,$B27,bill_counter!A:A,$A27))</f>
        <v>20</v>
      </c>
      <c r="F27" s="9" t="str">
        <f t="shared" si="1"/>
        <v>Yes, within 10 days</v>
      </c>
    </row>
    <row r="28">
      <c r="A28" s="19">
        <v>45801.0</v>
      </c>
      <c r="B28" s="4" t="s">
        <v>55</v>
      </c>
      <c r="C28" s="5" t="s">
        <v>56</v>
      </c>
      <c r="D28" s="9">
        <v>100.0</v>
      </c>
      <c r="E28" s="9">
        <f>$D28-IF(SUMIFS(bill_counter!H:H,bill_counter!E:E,$B28,bill_counter!A:A,$A28)&gt;$D28,$D28,SUMIFS(bill_counter!H:H,bill_counter!E:E,$B28,bill_counter!A:A,$A28))</f>
        <v>77</v>
      </c>
      <c r="F28" s="9" t="str">
        <f t="shared" si="1"/>
        <v>Sufficient</v>
      </c>
    </row>
    <row r="29">
      <c r="A29" s="19">
        <v>45801.0</v>
      </c>
      <c r="B29" s="4" t="s">
        <v>57</v>
      </c>
      <c r="C29" s="5" t="s">
        <v>58</v>
      </c>
      <c r="D29" s="9">
        <v>100.0</v>
      </c>
      <c r="E29" s="9">
        <f>$D29-IF(SUMIFS(bill_counter!H:H,bill_counter!E:E,$B29,bill_counter!A:A,$A29)&gt;$D29,$D29,SUMIFS(bill_counter!H:H,bill_counter!E:E,$B29,bill_counter!A:A,$A29))</f>
        <v>68</v>
      </c>
      <c r="F29" s="9" t="str">
        <f t="shared" si="1"/>
        <v>Yes, within 20 Days</v>
      </c>
    </row>
    <row r="30">
      <c r="A30" s="19">
        <v>45801.0</v>
      </c>
      <c r="B30" s="4" t="s">
        <v>59</v>
      </c>
      <c r="C30" s="5" t="s">
        <v>60</v>
      </c>
      <c r="D30" s="9">
        <v>100.0</v>
      </c>
      <c r="E30" s="9">
        <f>$D30-IF(SUMIFS(bill_counter!H:H,bill_counter!E:E,$B30,bill_counter!A:A,$A30)&gt;$D30,$D30,SUMIFS(bill_counter!H:H,bill_counter!E:E,$B30,bill_counter!A:A,$A30))</f>
        <v>67</v>
      </c>
      <c r="F30" s="9" t="str">
        <f t="shared" si="1"/>
        <v>Yes, within 20 Days</v>
      </c>
    </row>
    <row r="31">
      <c r="A31" s="19">
        <v>45801.0</v>
      </c>
      <c r="B31" s="4" t="s">
        <v>61</v>
      </c>
      <c r="C31" s="5" t="s">
        <v>62</v>
      </c>
      <c r="D31" s="9">
        <v>50.0</v>
      </c>
      <c r="E31" s="9">
        <f>$D31-IF(SUMIFS(bill_counter!H:H,bill_counter!E:E,$B31,bill_counter!A:A,$A31)&gt;$D31,$D31,SUMIFS(bill_counter!H:H,bill_counter!E:E,$B31,bill_counter!A:A,$A31))</f>
        <v>0</v>
      </c>
      <c r="F31" s="9" t="str">
        <f t="shared" si="1"/>
        <v>Out Of Stock</v>
      </c>
    </row>
    <row r="32">
      <c r="A32" s="19">
        <v>45801.0</v>
      </c>
      <c r="B32" s="4" t="s">
        <v>63</v>
      </c>
      <c r="C32" s="5" t="s">
        <v>64</v>
      </c>
      <c r="D32" s="9">
        <v>70.0</v>
      </c>
      <c r="E32" s="9">
        <f>$D32-IF(SUMIFS(bill_counter!H:H,bill_counter!E:E,$B32,bill_counter!A:A,$A32)&gt;$D32,$D32,SUMIFS(bill_counter!H:H,bill_counter!E:E,$B32,bill_counter!A:A,$A32))</f>
        <v>15</v>
      </c>
      <c r="F32" s="9" t="str">
        <f t="shared" si="1"/>
        <v>Yes, within 5 days</v>
      </c>
    </row>
    <row r="33">
      <c r="A33" s="19">
        <v>45801.0</v>
      </c>
      <c r="B33" s="4" t="s">
        <v>65</v>
      </c>
      <c r="C33" s="5" t="s">
        <v>66</v>
      </c>
      <c r="D33" s="9">
        <v>100.0</v>
      </c>
      <c r="E33" s="9">
        <f>$D33-IF(SUMIFS(bill_counter!H:H,bill_counter!E:E,$B33,bill_counter!A:A,$A33)&gt;$D33,$D33,SUMIFS(bill_counter!H:H,bill_counter!E:E,$B33,bill_counter!A:A,$A33))</f>
        <v>53</v>
      </c>
      <c r="F33" s="9" t="str">
        <f t="shared" si="1"/>
        <v>Yes, within 20 Days</v>
      </c>
    </row>
    <row r="34">
      <c r="A34" s="19">
        <v>45801.0</v>
      </c>
      <c r="B34" s="4" t="s">
        <v>67</v>
      </c>
      <c r="C34" s="5" t="s">
        <v>68</v>
      </c>
      <c r="D34" s="9">
        <v>100.0</v>
      </c>
      <c r="E34" s="9">
        <f>$D34-IF(SUMIFS(bill_counter!H:H,bill_counter!E:E,$B34,bill_counter!A:A,$A34)&gt;$D34,$D34,SUMIFS(bill_counter!H:H,bill_counter!E:E,$B34,bill_counter!A:A,$A34))</f>
        <v>36</v>
      </c>
      <c r="F34" s="9" t="str">
        <f t="shared" si="1"/>
        <v>Yes, within 10 days</v>
      </c>
    </row>
    <row r="35">
      <c r="A35" s="19">
        <v>45801.0</v>
      </c>
      <c r="B35" s="4" t="s">
        <v>69</v>
      </c>
      <c r="C35" s="5" t="s">
        <v>70</v>
      </c>
      <c r="D35" s="9">
        <v>100.0</v>
      </c>
      <c r="E35" s="9">
        <f>$D35-IF(SUMIFS(bill_counter!H:H,bill_counter!E:E,$B35,bill_counter!A:A,$A35)&gt;$D35,$D35,SUMIFS(bill_counter!H:H,bill_counter!E:E,$B35,bill_counter!A:A,$A35))</f>
        <v>35</v>
      </c>
      <c r="F35" s="9" t="str">
        <f t="shared" si="1"/>
        <v>Yes, within 10 days</v>
      </c>
    </row>
    <row r="36">
      <c r="A36" s="19">
        <v>45801.0</v>
      </c>
      <c r="B36" s="4" t="s">
        <v>71</v>
      </c>
      <c r="C36" s="5" t="s">
        <v>72</v>
      </c>
      <c r="D36" s="9">
        <v>100.0</v>
      </c>
      <c r="E36" s="9">
        <f>$D36-IF(SUMIFS(bill_counter!H:H,bill_counter!E:E,$B36,bill_counter!A:A,$A36)&gt;$D36,$D36,SUMIFS(bill_counter!H:H,bill_counter!E:E,$B36,bill_counter!A:A,$A36))</f>
        <v>29</v>
      </c>
      <c r="F36" s="9" t="str">
        <f t="shared" si="1"/>
        <v>Yes, within 10 days</v>
      </c>
    </row>
    <row r="37">
      <c r="A37" s="19">
        <v>45801.0</v>
      </c>
      <c r="B37" s="4" t="s">
        <v>73</v>
      </c>
      <c r="C37" s="5" t="s">
        <v>74</v>
      </c>
      <c r="D37" s="9">
        <v>100.0</v>
      </c>
      <c r="E37" s="9">
        <f>$D37-IF(SUMIFS(bill_counter!H:H,bill_counter!E:E,$B37,bill_counter!A:A,$A37)&gt;$D37,$D37,SUMIFS(bill_counter!H:H,bill_counter!E:E,$B37,bill_counter!A:A,$A37))</f>
        <v>51</v>
      </c>
      <c r="F37" s="9" t="str">
        <f t="shared" si="1"/>
        <v>Yes, within 20 Days</v>
      </c>
    </row>
    <row r="38">
      <c r="A38" s="19">
        <v>45801.0</v>
      </c>
      <c r="B38" s="4" t="s">
        <v>75</v>
      </c>
      <c r="C38" s="5" t="s">
        <v>76</v>
      </c>
      <c r="D38" s="9">
        <v>100.0</v>
      </c>
      <c r="E38" s="9">
        <f>$D38-IF(SUMIFS(bill_counter!H:H,bill_counter!E:E,$B38,bill_counter!A:A,$A38)&gt;$D38,$D38,SUMIFS(bill_counter!H:H,bill_counter!E:E,$B38,bill_counter!A:A,$A38))</f>
        <v>40</v>
      </c>
      <c r="F38" s="9" t="str">
        <f t="shared" si="1"/>
        <v>Yes, within 10 days</v>
      </c>
    </row>
    <row r="39">
      <c r="A39" s="19">
        <v>45801.0</v>
      </c>
      <c r="B39" s="4" t="s">
        <v>77</v>
      </c>
      <c r="C39" s="5" t="s">
        <v>78</v>
      </c>
      <c r="D39" s="9">
        <v>100.0</v>
      </c>
      <c r="E39" s="9">
        <f>$D39-IF(SUMIFS(bill_counter!H:H,bill_counter!E:E,$B39,bill_counter!A:A,$A39)&gt;$D39,$D39,SUMIFS(bill_counter!H:H,bill_counter!E:E,$B39,bill_counter!A:A,$A39))</f>
        <v>36</v>
      </c>
      <c r="F39" s="9" t="str">
        <f t="shared" si="1"/>
        <v>Yes, within 10 days</v>
      </c>
    </row>
    <row r="40">
      <c r="A40" s="19">
        <v>45801.0</v>
      </c>
      <c r="B40" s="4" t="s">
        <v>79</v>
      </c>
      <c r="C40" s="5" t="s">
        <v>80</v>
      </c>
      <c r="D40" s="9">
        <v>100.0</v>
      </c>
      <c r="E40" s="9">
        <f>$D40-IF(SUMIFS(bill_counter!H:H,bill_counter!E:E,$B40,bill_counter!A:A,$A40)&gt;$D40,$D40,SUMIFS(bill_counter!H:H,bill_counter!E:E,$B40,bill_counter!A:A,$A40))</f>
        <v>80</v>
      </c>
      <c r="F40" s="9" t="str">
        <f t="shared" si="1"/>
        <v>Sufficient</v>
      </c>
    </row>
    <row r="41">
      <c r="A41" s="19">
        <v>45801.0</v>
      </c>
      <c r="B41" s="4" t="s">
        <v>81</v>
      </c>
      <c r="C41" s="5" t="s">
        <v>82</v>
      </c>
      <c r="D41" s="9">
        <v>100.0</v>
      </c>
      <c r="E41" s="9">
        <f>$D41-IF(SUMIFS(bill_counter!H:H,bill_counter!E:E,$B41,bill_counter!A:A,$A41)&gt;$D41,$D41,SUMIFS(bill_counter!H:H,bill_counter!E:E,$B41,bill_counter!A:A,$A41))</f>
        <v>0</v>
      </c>
      <c r="F41" s="9" t="str">
        <f t="shared" si="1"/>
        <v>Out Of Stock</v>
      </c>
    </row>
    <row r="42">
      <c r="A42" s="19">
        <v>45801.0</v>
      </c>
      <c r="B42" s="4" t="s">
        <v>83</v>
      </c>
      <c r="C42" s="5" t="s">
        <v>84</v>
      </c>
      <c r="D42" s="9">
        <v>100.0</v>
      </c>
      <c r="E42" s="9">
        <f>$D42-IF(SUMIFS(bill_counter!H:H,bill_counter!E:E,$B42,bill_counter!A:A,$A42)&gt;$D42,$D42,SUMIFS(bill_counter!H:H,bill_counter!E:E,$B42,bill_counter!A:A,$A42))</f>
        <v>57</v>
      </c>
      <c r="F42" s="9" t="str">
        <f t="shared" si="1"/>
        <v>Yes, within 20 Days</v>
      </c>
    </row>
    <row r="43">
      <c r="A43" s="19">
        <v>45801.0</v>
      </c>
      <c r="B43" s="4" t="s">
        <v>85</v>
      </c>
      <c r="C43" s="5" t="s">
        <v>86</v>
      </c>
      <c r="D43" s="9">
        <v>100.0</v>
      </c>
      <c r="E43" s="9">
        <f>$D43-IF(SUMIFS(bill_counter!H:H,bill_counter!E:E,$B43,bill_counter!A:A,$A43)&gt;$D43,$D43,SUMIFS(bill_counter!H:H,bill_counter!E:E,$B43,bill_counter!A:A,$A43))</f>
        <v>0</v>
      </c>
      <c r="F43" s="9" t="str">
        <f t="shared" si="1"/>
        <v>Out Of Stock</v>
      </c>
    </row>
    <row r="44">
      <c r="A44" s="19">
        <v>45801.0</v>
      </c>
      <c r="B44" s="4" t="s">
        <v>87</v>
      </c>
      <c r="C44" s="5" t="s">
        <v>88</v>
      </c>
      <c r="D44" s="9">
        <v>100.0</v>
      </c>
      <c r="E44" s="9">
        <f>$D44-IF(SUMIFS(bill_counter!H:H,bill_counter!E:E,$B44,bill_counter!A:A,$A44)&gt;$D44,$D44,SUMIFS(bill_counter!H:H,bill_counter!E:E,$B44,bill_counter!A:A,$A44))</f>
        <v>48</v>
      </c>
      <c r="F44" s="9" t="str">
        <f t="shared" si="1"/>
        <v>Yes, within 10 days</v>
      </c>
    </row>
    <row r="45">
      <c r="A45" s="19">
        <v>45801.0</v>
      </c>
      <c r="B45" s="4" t="s">
        <v>89</v>
      </c>
      <c r="C45" s="5" t="s">
        <v>90</v>
      </c>
      <c r="D45" s="9">
        <v>100.0</v>
      </c>
      <c r="E45" s="9">
        <f>$D45-IF(SUMIFS(bill_counter!H:H,bill_counter!E:E,$B45,bill_counter!A:A,$A45)&gt;$D45,$D45,SUMIFS(bill_counter!H:H,bill_counter!E:E,$B45,bill_counter!A:A,$A45))</f>
        <v>80</v>
      </c>
      <c r="F45" s="9" t="str">
        <f t="shared" si="1"/>
        <v>Sufficient</v>
      </c>
    </row>
    <row r="46">
      <c r="A46" s="19">
        <v>45801.0</v>
      </c>
      <c r="B46" s="4" t="s">
        <v>91</v>
      </c>
      <c r="C46" s="5" t="s">
        <v>92</v>
      </c>
      <c r="D46" s="9">
        <v>100.0</v>
      </c>
      <c r="E46" s="9">
        <f>$D46-IF(SUMIFS(bill_counter!H:H,bill_counter!E:E,$B46,bill_counter!A:A,$A46)&gt;$D46,$D46,SUMIFS(bill_counter!H:H,bill_counter!E:E,$B46,bill_counter!A:A,$A46))</f>
        <v>70</v>
      </c>
      <c r="F46" s="9" t="str">
        <f t="shared" si="1"/>
        <v>Yes, within 20 Days</v>
      </c>
    </row>
    <row r="47">
      <c r="A47" s="19">
        <v>45801.0</v>
      </c>
      <c r="B47" s="4" t="s">
        <v>93</v>
      </c>
      <c r="C47" s="5" t="s">
        <v>94</v>
      </c>
      <c r="D47" s="9">
        <v>100.0</v>
      </c>
      <c r="E47" s="9">
        <f>$D47-IF(SUMIFS(bill_counter!H:H,bill_counter!E:E,$B47,bill_counter!A:A,$A47)&gt;$D47,$D47,SUMIFS(bill_counter!H:H,bill_counter!E:E,$B47,bill_counter!A:A,$A47))</f>
        <v>58</v>
      </c>
      <c r="F47" s="9" t="str">
        <f t="shared" si="1"/>
        <v>Yes, within 20 Days</v>
      </c>
    </row>
    <row r="48">
      <c r="A48" s="19">
        <v>45801.0</v>
      </c>
      <c r="B48" s="4" t="s">
        <v>95</v>
      </c>
      <c r="C48" s="5" t="s">
        <v>96</v>
      </c>
      <c r="D48" s="9">
        <v>100.0</v>
      </c>
      <c r="E48" s="9">
        <f>$D48-IF(SUMIFS(bill_counter!H:H,bill_counter!E:E,$B48,bill_counter!A:A,$A48)&gt;$D48,$D48,SUMIFS(bill_counter!H:H,bill_counter!E:E,$B48,bill_counter!A:A,$A48))</f>
        <v>58</v>
      </c>
      <c r="F48" s="9" t="str">
        <f t="shared" si="1"/>
        <v>Yes, within 20 Days</v>
      </c>
    </row>
    <row r="49">
      <c r="A49" s="19">
        <v>45801.0</v>
      </c>
      <c r="B49" s="4" t="s">
        <v>97</v>
      </c>
      <c r="C49" s="5" t="s">
        <v>98</v>
      </c>
      <c r="D49" s="9">
        <v>100.0</v>
      </c>
      <c r="E49" s="9">
        <f>$D49-IF(SUMIFS(bill_counter!H:H,bill_counter!E:E,$B49,bill_counter!A:A,$A49)&gt;$D49,$D49,SUMIFS(bill_counter!H:H,bill_counter!E:E,$B49,bill_counter!A:A,$A49))</f>
        <v>56</v>
      </c>
      <c r="F49" s="9" t="str">
        <f t="shared" si="1"/>
        <v>Yes, within 20 Days</v>
      </c>
    </row>
    <row r="50">
      <c r="A50" s="19">
        <v>45801.0</v>
      </c>
      <c r="B50" s="4" t="s">
        <v>99</v>
      </c>
      <c r="C50" s="5" t="s">
        <v>100</v>
      </c>
      <c r="D50" s="9">
        <v>50.0</v>
      </c>
      <c r="E50" s="9">
        <f>$D50-IF(SUMIFS(bill_counter!H:H,bill_counter!E:E,$B50,bill_counter!A:A,$A50)&gt;$D50,$D50,SUMIFS(bill_counter!H:H,bill_counter!E:E,$B50,bill_counter!A:A,$A50))</f>
        <v>12</v>
      </c>
      <c r="F50" s="9" t="str">
        <f t="shared" si="1"/>
        <v>Yes, within 5 days</v>
      </c>
    </row>
    <row r="51">
      <c r="A51" s="19">
        <v>45801.0</v>
      </c>
      <c r="B51" s="4" t="s">
        <v>101</v>
      </c>
      <c r="C51" s="5" t="s">
        <v>102</v>
      </c>
      <c r="D51" s="9">
        <v>50.0</v>
      </c>
      <c r="E51" s="9">
        <f>$D51-IF(SUMIFS(bill_counter!H:H,bill_counter!E:E,$B51,bill_counter!A:A,$A51)&gt;$D51,$D51,SUMIFS(bill_counter!H:H,bill_counter!E:E,$B51,bill_counter!A:A,$A51))</f>
        <v>16</v>
      </c>
      <c r="F51" s="9" t="str">
        <f t="shared" si="1"/>
        <v>Yes, within 10 days</v>
      </c>
    </row>
    <row r="52">
      <c r="A52" s="19">
        <v>45801.0</v>
      </c>
      <c r="B52" s="4" t="s">
        <v>103</v>
      </c>
      <c r="C52" s="5" t="s">
        <v>104</v>
      </c>
      <c r="D52" s="9">
        <v>50.0</v>
      </c>
      <c r="E52" s="9">
        <f>$D52-IF(SUMIFS(bill_counter!H:H,bill_counter!E:E,$B52,bill_counter!A:A,$A52)&gt;$D52,$D52,SUMIFS(bill_counter!H:H,bill_counter!E:E,$B52,bill_counter!A:A,$A52))</f>
        <v>0</v>
      </c>
      <c r="F52" s="9" t="str">
        <f t="shared" si="1"/>
        <v>Out Of Stock</v>
      </c>
    </row>
    <row r="53">
      <c r="A53" s="19">
        <v>45801.0</v>
      </c>
      <c r="B53" s="4" t="s">
        <v>105</v>
      </c>
      <c r="C53" s="5" t="s">
        <v>106</v>
      </c>
      <c r="D53" s="9">
        <v>50.0</v>
      </c>
      <c r="E53" s="9">
        <f>$D53-IF(SUMIFS(bill_counter!H:H,bill_counter!E:E,$B53,bill_counter!A:A,$A53)&gt;$D53,$D53,SUMIFS(bill_counter!H:H,bill_counter!E:E,$B53,bill_counter!A:A,$A53))</f>
        <v>2</v>
      </c>
      <c r="F53" s="9" t="str">
        <f t="shared" si="1"/>
        <v>Refill Immediately</v>
      </c>
    </row>
    <row r="54">
      <c r="A54" s="19">
        <v>45801.0</v>
      </c>
      <c r="B54" s="4" t="s">
        <v>107</v>
      </c>
      <c r="C54" s="5" t="s">
        <v>108</v>
      </c>
      <c r="D54" s="9">
        <v>50.0</v>
      </c>
      <c r="E54" s="9">
        <f>$D54-IF(SUMIFS(bill_counter!H:H,bill_counter!E:E,$B54,bill_counter!A:A,$A54)&gt;$D54,$D54,SUMIFS(bill_counter!H:H,bill_counter!E:E,$B54,bill_counter!A:A,$A54))</f>
        <v>0</v>
      </c>
      <c r="F54" s="9" t="str">
        <f t="shared" si="1"/>
        <v>Out Of Stock</v>
      </c>
    </row>
    <row r="55">
      <c r="A55" s="19">
        <v>45801.0</v>
      </c>
      <c r="B55" s="4" t="s">
        <v>109</v>
      </c>
      <c r="C55" s="5" t="s">
        <v>110</v>
      </c>
      <c r="D55" s="9">
        <v>50.0</v>
      </c>
      <c r="E55" s="9">
        <f>$D55-IF(SUMIFS(bill_counter!H:H,bill_counter!E:E,$B55,bill_counter!A:A,$A55)&gt;$D55,$D55,SUMIFS(bill_counter!H:H,bill_counter!E:E,$B55,bill_counter!A:A,$A55))</f>
        <v>33</v>
      </c>
      <c r="F55" s="9" t="str">
        <f t="shared" si="1"/>
        <v>Yes, within 20 Days</v>
      </c>
    </row>
    <row r="56">
      <c r="A56" s="19">
        <v>45801.0</v>
      </c>
      <c r="B56" s="4" t="s">
        <v>111</v>
      </c>
      <c r="C56" s="5" t="s">
        <v>112</v>
      </c>
      <c r="D56" s="9">
        <v>50.0</v>
      </c>
      <c r="E56" s="9">
        <f>$D56-IF(SUMIFS(bill_counter!H:H,bill_counter!E:E,$B56,bill_counter!A:A,$A56)&gt;$D56,$D56,SUMIFS(bill_counter!H:H,bill_counter!E:E,$B56,bill_counter!A:A,$A56))</f>
        <v>0</v>
      </c>
      <c r="F56" s="9" t="str">
        <f t="shared" si="1"/>
        <v>Out Of Stock</v>
      </c>
    </row>
    <row r="57">
      <c r="A57" s="19">
        <v>45801.0</v>
      </c>
      <c r="B57" s="4" t="s">
        <v>113</v>
      </c>
      <c r="C57" s="5" t="s">
        <v>114</v>
      </c>
      <c r="D57" s="9">
        <v>50.0</v>
      </c>
      <c r="E57" s="9">
        <f>$D57-IF(SUMIFS(bill_counter!H:H,bill_counter!E:E,$B57,bill_counter!A:A,$A57)&gt;$D57,$D57,SUMIFS(bill_counter!H:H,bill_counter!E:E,$B57,bill_counter!A:A,$A57))</f>
        <v>0</v>
      </c>
      <c r="F57" s="9" t="str">
        <f t="shared" si="1"/>
        <v>Out Of Stock</v>
      </c>
    </row>
    <row r="58">
      <c r="A58" s="19">
        <v>45801.0</v>
      </c>
      <c r="B58" s="4" t="s">
        <v>115</v>
      </c>
      <c r="C58" s="5" t="s">
        <v>116</v>
      </c>
      <c r="D58" s="9">
        <v>50.0</v>
      </c>
      <c r="E58" s="9">
        <f>$D58-IF(SUMIFS(bill_counter!H:H,bill_counter!E:E,$B58,bill_counter!A:A,$A58)&gt;$D58,$D58,SUMIFS(bill_counter!H:H,bill_counter!E:E,$B58,bill_counter!A:A,$A58))</f>
        <v>0</v>
      </c>
      <c r="F58" s="9" t="str">
        <f t="shared" si="1"/>
        <v>Out Of Stock</v>
      </c>
    </row>
    <row r="59">
      <c r="A59" s="19">
        <v>45801.0</v>
      </c>
      <c r="B59" s="4" t="s">
        <v>117</v>
      </c>
      <c r="C59" s="5" t="s">
        <v>118</v>
      </c>
      <c r="D59" s="9">
        <v>50.0</v>
      </c>
      <c r="E59" s="9">
        <f>$D59-IF(SUMIFS(bill_counter!H:H,bill_counter!E:E,$B59,bill_counter!A:A,$A59)&gt;$D59,$D59,SUMIFS(bill_counter!H:H,bill_counter!E:E,$B59,bill_counter!A:A,$A59))</f>
        <v>0</v>
      </c>
      <c r="F59" s="9" t="str">
        <f t="shared" si="1"/>
        <v>Out Of Stock</v>
      </c>
    </row>
    <row r="60">
      <c r="A60" s="19">
        <v>45801.0</v>
      </c>
      <c r="B60" s="4" t="s">
        <v>119</v>
      </c>
      <c r="C60" s="5" t="s">
        <v>120</v>
      </c>
      <c r="D60" s="9">
        <v>50.0</v>
      </c>
      <c r="E60" s="9">
        <f>$D60-IF(SUMIFS(bill_counter!H:H,bill_counter!E:E,$B60,bill_counter!A:A,$A60)&gt;$D60,$D60,SUMIFS(bill_counter!H:H,bill_counter!E:E,$B60,bill_counter!A:A,$A60))</f>
        <v>29</v>
      </c>
      <c r="F60" s="9" t="str">
        <f t="shared" si="1"/>
        <v>Yes, within 20 Days</v>
      </c>
    </row>
    <row r="61">
      <c r="A61" s="19">
        <v>45801.0</v>
      </c>
      <c r="B61" s="4" t="s">
        <v>121</v>
      </c>
      <c r="C61" s="5" t="s">
        <v>122</v>
      </c>
      <c r="D61" s="9">
        <v>50.0</v>
      </c>
      <c r="E61" s="9">
        <f>$D61-IF(SUMIFS(bill_counter!H:H,bill_counter!E:E,$B61,bill_counter!A:A,$A61)&gt;$D61,$D61,SUMIFS(bill_counter!H:H,bill_counter!E:E,$B61,bill_counter!A:A,$A61))</f>
        <v>18</v>
      </c>
      <c r="F61" s="9" t="str">
        <f t="shared" si="1"/>
        <v>Yes, within 10 days</v>
      </c>
    </row>
    <row r="62">
      <c r="A62" s="19">
        <v>45801.0</v>
      </c>
      <c r="B62" s="4" t="s">
        <v>123</v>
      </c>
      <c r="C62" s="5" t="s">
        <v>124</v>
      </c>
      <c r="D62" s="9">
        <v>50.0</v>
      </c>
      <c r="E62" s="9">
        <f>$D62-IF(SUMIFS(bill_counter!H:H,bill_counter!E:E,$B62,bill_counter!A:A,$A62)&gt;$D62,$D62,SUMIFS(bill_counter!H:H,bill_counter!E:E,$B62,bill_counter!A:A,$A62))</f>
        <v>17</v>
      </c>
      <c r="F62" s="9" t="str">
        <f t="shared" si="1"/>
        <v>Yes, within 10 days</v>
      </c>
    </row>
    <row r="63">
      <c r="A63" s="19">
        <v>45801.0</v>
      </c>
      <c r="B63" s="4" t="s">
        <v>125</v>
      </c>
      <c r="C63" s="5" t="s">
        <v>126</v>
      </c>
      <c r="D63" s="9">
        <v>50.0</v>
      </c>
      <c r="E63" s="9">
        <f>$D63-IF(SUMIFS(bill_counter!H:H,bill_counter!E:E,$B63,bill_counter!A:A,$A63)&gt;$D63,$D63,SUMIFS(bill_counter!H:H,bill_counter!E:E,$B63,bill_counter!A:A,$A63))</f>
        <v>0</v>
      </c>
      <c r="F63" s="9" t="str">
        <f t="shared" si="1"/>
        <v>Out Of Stock</v>
      </c>
    </row>
    <row r="64">
      <c r="A64" s="19">
        <v>45801.0</v>
      </c>
      <c r="B64" s="4" t="s">
        <v>127</v>
      </c>
      <c r="C64" s="5" t="s">
        <v>128</v>
      </c>
      <c r="D64" s="9">
        <v>50.0</v>
      </c>
      <c r="E64" s="9">
        <f>$D64-IF(SUMIFS(bill_counter!H:H,bill_counter!E:E,$B64,bill_counter!A:A,$A64)&gt;$D64,$D64,SUMIFS(bill_counter!H:H,bill_counter!E:E,$B64,bill_counter!A:A,$A64))</f>
        <v>26</v>
      </c>
      <c r="F64" s="9" t="str">
        <f t="shared" si="1"/>
        <v>Yes, within 20 Days</v>
      </c>
    </row>
    <row r="65">
      <c r="A65" s="19">
        <v>45801.0</v>
      </c>
      <c r="B65" s="4" t="s">
        <v>129</v>
      </c>
      <c r="C65" s="5" t="s">
        <v>130</v>
      </c>
      <c r="D65" s="9">
        <v>50.0</v>
      </c>
      <c r="E65" s="9">
        <f>$D65-IF(SUMIFS(bill_counter!H:H,bill_counter!E:E,$B65,bill_counter!A:A,$A65)&gt;$D65,$D65,SUMIFS(bill_counter!H:H,bill_counter!E:E,$B65,bill_counter!A:A,$A65))</f>
        <v>9</v>
      </c>
      <c r="F65" s="9" t="str">
        <f t="shared" si="1"/>
        <v>Yes, within 5 days</v>
      </c>
    </row>
    <row r="66">
      <c r="A66" s="19">
        <v>45801.0</v>
      </c>
      <c r="B66" s="4" t="s">
        <v>131</v>
      </c>
      <c r="C66" s="5" t="s">
        <v>132</v>
      </c>
      <c r="D66" s="9">
        <v>50.0</v>
      </c>
      <c r="E66" s="9">
        <f>$D66-IF(SUMIFS(bill_counter!H:H,bill_counter!E:E,$B66,bill_counter!A:A,$A66)&gt;$D66,$D66,SUMIFS(bill_counter!H:H,bill_counter!E:E,$B66,bill_counter!A:A,$A66))</f>
        <v>0</v>
      </c>
      <c r="F66" s="9" t="str">
        <f t="shared" si="1"/>
        <v>Out Of Stock</v>
      </c>
    </row>
    <row r="67">
      <c r="A67" s="19">
        <v>45801.0</v>
      </c>
      <c r="B67" s="4" t="s">
        <v>133</v>
      </c>
      <c r="C67" s="5" t="s">
        <v>134</v>
      </c>
      <c r="D67" s="9">
        <v>50.0</v>
      </c>
      <c r="E67" s="9">
        <f>$D67-IF(SUMIFS(bill_counter!H:H,bill_counter!E:E,$B67,bill_counter!A:A,$A67)&gt;$D67,$D67,SUMIFS(bill_counter!H:H,bill_counter!E:E,$B67,bill_counter!A:A,$A67))</f>
        <v>16</v>
      </c>
      <c r="F67" s="9" t="str">
        <f t="shared" si="1"/>
        <v>Yes, within 10 days</v>
      </c>
    </row>
    <row r="68">
      <c r="A68" s="19">
        <v>45801.0</v>
      </c>
      <c r="B68" s="4" t="s">
        <v>135</v>
      </c>
      <c r="C68" s="5" t="s">
        <v>136</v>
      </c>
      <c r="D68" s="9">
        <v>70.0</v>
      </c>
      <c r="E68" s="9">
        <f>$D68-IF(SUMIFS(bill_counter!H:H,bill_counter!E:E,$B68,bill_counter!A:A,$A68)&gt;$D68,$D68,SUMIFS(bill_counter!H:H,bill_counter!E:E,$B68,bill_counter!A:A,$A68))</f>
        <v>20</v>
      </c>
      <c r="F68" s="9" t="str">
        <f t="shared" si="1"/>
        <v>Yes, within 10 days</v>
      </c>
    </row>
    <row r="69">
      <c r="A69" s="19">
        <v>45801.0</v>
      </c>
      <c r="B69" s="4" t="s">
        <v>137</v>
      </c>
      <c r="C69" s="5" t="s">
        <v>138</v>
      </c>
      <c r="D69" s="9">
        <v>70.0</v>
      </c>
      <c r="E69" s="9">
        <f>$D69-IF(SUMIFS(bill_counter!H:H,bill_counter!E:E,$B69,bill_counter!A:A,$A69)&gt;$D69,$D69,SUMIFS(bill_counter!H:H,bill_counter!E:E,$B69,bill_counter!A:A,$A69))</f>
        <v>29</v>
      </c>
      <c r="F69" s="9" t="str">
        <f t="shared" si="1"/>
        <v>Yes, within 10 days</v>
      </c>
    </row>
    <row r="70">
      <c r="A70" s="19">
        <v>45801.0</v>
      </c>
      <c r="B70" s="4" t="s">
        <v>139</v>
      </c>
      <c r="C70" s="5" t="s">
        <v>140</v>
      </c>
      <c r="D70" s="9">
        <v>70.0</v>
      </c>
      <c r="E70" s="9">
        <f>$D70-IF(SUMIFS(bill_counter!H:H,bill_counter!E:E,$B70,bill_counter!A:A,$A70)&gt;$D70,$D70,SUMIFS(bill_counter!H:H,bill_counter!E:E,$B70,bill_counter!A:A,$A70))</f>
        <v>4</v>
      </c>
      <c r="F70" s="9" t="str">
        <f t="shared" si="1"/>
        <v>Refill Immediately</v>
      </c>
    </row>
    <row r="71">
      <c r="A71" s="19">
        <v>45801.0</v>
      </c>
      <c r="B71" s="4" t="s">
        <v>141</v>
      </c>
      <c r="C71" s="5" t="s">
        <v>142</v>
      </c>
      <c r="D71" s="9">
        <v>70.0</v>
      </c>
      <c r="E71" s="9">
        <f>$D71-IF(SUMIFS(bill_counter!H:H,bill_counter!E:E,$B71,bill_counter!A:A,$A71)&gt;$D71,$D71,SUMIFS(bill_counter!H:H,bill_counter!E:E,$B71,bill_counter!A:A,$A71))</f>
        <v>0</v>
      </c>
      <c r="F71" s="9" t="str">
        <f t="shared" si="1"/>
        <v>Out Of Stock</v>
      </c>
    </row>
    <row r="72">
      <c r="A72" s="19">
        <v>45801.0</v>
      </c>
      <c r="B72" s="4" t="s">
        <v>143</v>
      </c>
      <c r="C72" s="5" t="s">
        <v>144</v>
      </c>
      <c r="D72" s="9">
        <v>70.0</v>
      </c>
      <c r="E72" s="9">
        <f>$D72-IF(SUMIFS(bill_counter!H:H,bill_counter!E:E,$B72,bill_counter!A:A,$A72)&gt;$D72,$D72,SUMIFS(bill_counter!H:H,bill_counter!E:E,$B72,bill_counter!A:A,$A72))</f>
        <v>16</v>
      </c>
      <c r="F72" s="9" t="str">
        <f t="shared" si="1"/>
        <v>Yes, within 5 days</v>
      </c>
    </row>
    <row r="73">
      <c r="A73" s="19">
        <v>45801.0</v>
      </c>
      <c r="B73" s="4" t="s">
        <v>145</v>
      </c>
      <c r="C73" s="5" t="s">
        <v>146</v>
      </c>
      <c r="D73" s="9">
        <v>100.0</v>
      </c>
      <c r="E73" s="9">
        <f>$D73-IF(SUMIFS(bill_counter!H:H,bill_counter!E:E,$B73,bill_counter!A:A,$A73)&gt;$D73,$D73,SUMIFS(bill_counter!H:H,bill_counter!E:E,$B73,bill_counter!A:A,$A73))</f>
        <v>47</v>
      </c>
      <c r="F73" s="9" t="str">
        <f t="shared" si="1"/>
        <v>Yes, within 10 days</v>
      </c>
    </row>
    <row r="74">
      <c r="A74" s="19">
        <v>45801.0</v>
      </c>
      <c r="B74" s="4" t="s">
        <v>147</v>
      </c>
      <c r="C74" s="5" t="s">
        <v>148</v>
      </c>
      <c r="D74" s="9">
        <v>100.0</v>
      </c>
      <c r="E74" s="9">
        <f>$D74-IF(SUMIFS(bill_counter!H:H,bill_counter!E:E,$B74,bill_counter!A:A,$A74)&gt;$D74,$D74,SUMIFS(bill_counter!H:H,bill_counter!E:E,$B74,bill_counter!A:A,$A74))</f>
        <v>53</v>
      </c>
      <c r="F74" s="9" t="str">
        <f t="shared" si="1"/>
        <v>Yes, within 20 Days</v>
      </c>
    </row>
    <row r="75">
      <c r="A75" s="19">
        <v>45801.0</v>
      </c>
      <c r="B75" s="4" t="s">
        <v>149</v>
      </c>
      <c r="C75" s="5" t="s">
        <v>150</v>
      </c>
      <c r="D75" s="9">
        <v>100.0</v>
      </c>
      <c r="E75" s="9">
        <f>$D75-IF(SUMIFS(bill_counter!H:H,bill_counter!E:E,$B75,bill_counter!A:A,$A75)&gt;$D75,$D75,SUMIFS(bill_counter!H:H,bill_counter!E:E,$B75,bill_counter!A:A,$A75))</f>
        <v>55</v>
      </c>
      <c r="F75" s="9" t="str">
        <f t="shared" si="1"/>
        <v>Yes, within 20 Days</v>
      </c>
    </row>
    <row r="76">
      <c r="A76" s="19">
        <v>45801.0</v>
      </c>
      <c r="B76" s="4" t="s">
        <v>151</v>
      </c>
      <c r="C76" s="5" t="s">
        <v>152</v>
      </c>
      <c r="D76" s="9">
        <v>100.0</v>
      </c>
      <c r="E76" s="9">
        <f>$D76-IF(SUMIFS(bill_counter!H:H,bill_counter!E:E,$B76,bill_counter!A:A,$A76)&gt;$D76,$D76,SUMIFS(bill_counter!H:H,bill_counter!E:E,$B76,bill_counter!A:A,$A76))</f>
        <v>54</v>
      </c>
      <c r="F76" s="9" t="str">
        <f t="shared" si="1"/>
        <v>Yes, within 20 Days</v>
      </c>
    </row>
    <row r="77">
      <c r="A77" s="19">
        <v>45801.0</v>
      </c>
      <c r="B77" s="4" t="s">
        <v>153</v>
      </c>
      <c r="C77" s="5" t="s">
        <v>154</v>
      </c>
      <c r="D77" s="9">
        <v>100.0</v>
      </c>
      <c r="E77" s="9">
        <f>$D77-IF(SUMIFS(bill_counter!H:H,bill_counter!E:E,$B77,bill_counter!A:A,$A77)&gt;$D77,$D77,SUMIFS(bill_counter!H:H,bill_counter!E:E,$B77,bill_counter!A:A,$A77))</f>
        <v>65</v>
      </c>
      <c r="F77" s="9" t="str">
        <f t="shared" si="1"/>
        <v>Yes, within 20 Days</v>
      </c>
    </row>
    <row r="78">
      <c r="A78" s="19">
        <v>45801.0</v>
      </c>
      <c r="B78" s="4" t="s">
        <v>155</v>
      </c>
      <c r="C78" s="5" t="s">
        <v>156</v>
      </c>
      <c r="D78" s="9">
        <v>100.0</v>
      </c>
      <c r="E78" s="9">
        <f>$D78-IF(SUMIFS(bill_counter!H:H,bill_counter!E:E,$B78,bill_counter!A:A,$A78)&gt;$D78,$D78,SUMIFS(bill_counter!H:H,bill_counter!E:E,$B78,bill_counter!A:A,$A78))</f>
        <v>26</v>
      </c>
      <c r="F78" s="9" t="str">
        <f t="shared" si="1"/>
        <v>Yes, within 10 days</v>
      </c>
    </row>
    <row r="79">
      <c r="A79" s="19">
        <v>45801.0</v>
      </c>
      <c r="B79" s="4" t="s">
        <v>157</v>
      </c>
      <c r="C79" s="5" t="s">
        <v>158</v>
      </c>
      <c r="D79" s="9">
        <v>100.0</v>
      </c>
      <c r="E79" s="9">
        <f>$D79-IF(SUMIFS(bill_counter!H:H,bill_counter!E:E,$B79,bill_counter!A:A,$A79)&gt;$D79,$D79,SUMIFS(bill_counter!H:H,bill_counter!E:E,$B79,bill_counter!A:A,$A79))</f>
        <v>24</v>
      </c>
      <c r="F79" s="9" t="str">
        <f t="shared" si="1"/>
        <v>Yes, within 5 days</v>
      </c>
    </row>
    <row r="80">
      <c r="A80" s="19">
        <v>45801.0</v>
      </c>
      <c r="B80" s="4" t="s">
        <v>159</v>
      </c>
      <c r="C80" s="5" t="s">
        <v>160</v>
      </c>
      <c r="D80" s="9">
        <v>100.0</v>
      </c>
      <c r="E80" s="9">
        <f>$D80-IF(SUMIFS(bill_counter!H:H,bill_counter!E:E,$B80,bill_counter!A:A,$A80)&gt;$D80,$D80,SUMIFS(bill_counter!H:H,bill_counter!E:E,$B80,bill_counter!A:A,$A80))</f>
        <v>49</v>
      </c>
      <c r="F80" s="9" t="str">
        <f t="shared" si="1"/>
        <v>Yes, within 10 days</v>
      </c>
    </row>
    <row r="81">
      <c r="A81" s="19">
        <v>45801.0</v>
      </c>
      <c r="B81" s="4" t="s">
        <v>161</v>
      </c>
      <c r="C81" s="5" t="s">
        <v>162</v>
      </c>
      <c r="D81" s="9">
        <v>100.0</v>
      </c>
      <c r="E81" s="9">
        <f>$D81-IF(SUMIFS(bill_counter!H:H,bill_counter!E:E,$B81,bill_counter!A:A,$A81)&gt;$D81,$D81,SUMIFS(bill_counter!H:H,bill_counter!E:E,$B81,bill_counter!A:A,$A81))</f>
        <v>4</v>
      </c>
      <c r="F81" s="9" t="str">
        <f t="shared" si="1"/>
        <v>Refill Immediately</v>
      </c>
    </row>
    <row r="82">
      <c r="A82" s="19">
        <v>45801.0</v>
      </c>
      <c r="B82" s="4" t="s">
        <v>163</v>
      </c>
      <c r="C82" s="5" t="s">
        <v>164</v>
      </c>
      <c r="D82" s="9">
        <v>100.0</v>
      </c>
      <c r="E82" s="9">
        <f>$D82-IF(SUMIFS(bill_counter!H:H,bill_counter!E:E,$B82,bill_counter!A:A,$A82)&gt;$D82,$D82,SUMIFS(bill_counter!H:H,bill_counter!E:E,$B82,bill_counter!A:A,$A82))</f>
        <v>53</v>
      </c>
      <c r="F82" s="9" t="str">
        <f t="shared" si="1"/>
        <v>Yes, within 20 Days</v>
      </c>
    </row>
    <row r="83">
      <c r="A83" s="19">
        <v>45801.0</v>
      </c>
      <c r="B83" s="4" t="s">
        <v>165</v>
      </c>
      <c r="C83" s="5" t="s">
        <v>166</v>
      </c>
      <c r="D83" s="9">
        <v>100.0</v>
      </c>
      <c r="E83" s="9">
        <f>$D83-IF(SUMIFS(bill_counter!H:H,bill_counter!E:E,$B83,bill_counter!A:A,$A83)&gt;$D83,$D83,SUMIFS(bill_counter!H:H,bill_counter!E:E,$B83,bill_counter!A:A,$A83))</f>
        <v>35</v>
      </c>
      <c r="F83" s="9" t="str">
        <f t="shared" si="1"/>
        <v>Yes, within 10 days</v>
      </c>
    </row>
    <row r="84">
      <c r="A84" s="19">
        <v>45801.0</v>
      </c>
      <c r="B84" s="4" t="s">
        <v>167</v>
      </c>
      <c r="C84" s="5" t="s">
        <v>168</v>
      </c>
      <c r="D84" s="9">
        <v>100.0</v>
      </c>
      <c r="E84" s="9">
        <f>$D84-IF(SUMIFS(bill_counter!H:H,bill_counter!E:E,$B84,bill_counter!A:A,$A84)&gt;$D84,$D84,SUMIFS(bill_counter!H:H,bill_counter!E:E,$B84,bill_counter!A:A,$A84))</f>
        <v>62</v>
      </c>
      <c r="F84" s="9" t="str">
        <f t="shared" si="1"/>
        <v>Yes, within 20 Days</v>
      </c>
    </row>
    <row r="85">
      <c r="A85" s="19">
        <v>45801.0</v>
      </c>
      <c r="B85" s="4" t="s">
        <v>169</v>
      </c>
      <c r="C85" s="5" t="s">
        <v>170</v>
      </c>
      <c r="D85" s="9">
        <v>100.0</v>
      </c>
      <c r="E85" s="9">
        <f>$D85-IF(SUMIFS(bill_counter!H:H,bill_counter!E:E,$B85,bill_counter!A:A,$A85)&gt;$D85,$D85,SUMIFS(bill_counter!H:H,bill_counter!E:E,$B85,bill_counter!A:A,$A85))</f>
        <v>65</v>
      </c>
      <c r="F85" s="9" t="str">
        <f t="shared" si="1"/>
        <v>Yes, within 20 Days</v>
      </c>
    </row>
    <row r="86">
      <c r="A86" s="19">
        <v>45801.0</v>
      </c>
      <c r="B86" s="4" t="s">
        <v>171</v>
      </c>
      <c r="C86" s="5" t="s">
        <v>172</v>
      </c>
      <c r="D86" s="9">
        <v>70.0</v>
      </c>
      <c r="E86" s="9">
        <f>$D86-IF(SUMIFS(bill_counter!H:H,bill_counter!E:E,$B86,bill_counter!A:A,$A86)&gt;$D86,$D86,SUMIFS(bill_counter!H:H,bill_counter!E:E,$B86,bill_counter!A:A,$A86))</f>
        <v>0</v>
      </c>
      <c r="F86" s="9" t="str">
        <f t="shared" si="1"/>
        <v>Out Of Stock</v>
      </c>
    </row>
    <row r="87">
      <c r="A87" s="19">
        <v>45801.0</v>
      </c>
      <c r="B87" s="4" t="s">
        <v>173</v>
      </c>
      <c r="C87" s="5" t="s">
        <v>174</v>
      </c>
      <c r="D87" s="9">
        <v>50.0</v>
      </c>
      <c r="E87" s="9">
        <f>$D87-IF(SUMIFS(bill_counter!H:H,bill_counter!E:E,$B87,bill_counter!A:A,$A87)&gt;$D87,$D87,SUMIFS(bill_counter!H:H,bill_counter!E:E,$B87,bill_counter!A:A,$A87))</f>
        <v>33</v>
      </c>
      <c r="F87" s="9" t="str">
        <f t="shared" si="1"/>
        <v>Yes, within 20 Days</v>
      </c>
    </row>
    <row r="88">
      <c r="A88" s="19">
        <v>45801.0</v>
      </c>
      <c r="B88" s="4" t="s">
        <v>175</v>
      </c>
      <c r="C88" s="5" t="s">
        <v>176</v>
      </c>
      <c r="D88" s="9">
        <v>50.0</v>
      </c>
      <c r="E88" s="9">
        <f>$D88-IF(SUMIFS(bill_counter!H:H,bill_counter!E:E,$B88,bill_counter!A:A,$A88)&gt;$D88,$D88,SUMIFS(bill_counter!H:H,bill_counter!E:E,$B88,bill_counter!A:A,$A88))</f>
        <v>0</v>
      </c>
      <c r="F88" s="9" t="str">
        <f t="shared" si="1"/>
        <v>Out Of Stock</v>
      </c>
    </row>
    <row r="89">
      <c r="A89" s="19">
        <v>45801.0</v>
      </c>
      <c r="B89" s="4" t="s">
        <v>177</v>
      </c>
      <c r="C89" s="5" t="s">
        <v>178</v>
      </c>
      <c r="D89" s="9">
        <v>50.0</v>
      </c>
      <c r="E89" s="9">
        <f>$D89-IF(SUMIFS(bill_counter!H:H,bill_counter!E:E,$B89,bill_counter!A:A,$A89)&gt;$D89,$D89,SUMIFS(bill_counter!H:H,bill_counter!E:E,$B89,bill_counter!A:A,$A89))</f>
        <v>6</v>
      </c>
      <c r="F89" s="9" t="str">
        <f t="shared" si="1"/>
        <v>Yes, within 5 days</v>
      </c>
    </row>
    <row r="90">
      <c r="A90" s="19">
        <v>45801.0</v>
      </c>
      <c r="B90" s="4" t="s">
        <v>179</v>
      </c>
      <c r="C90" s="5" t="s">
        <v>180</v>
      </c>
      <c r="D90" s="9">
        <v>50.0</v>
      </c>
      <c r="E90" s="9">
        <f>$D90-IF(SUMIFS(bill_counter!H:H,bill_counter!E:E,$B90,bill_counter!A:A,$A90)&gt;$D90,$D90,SUMIFS(bill_counter!H:H,bill_counter!E:E,$B90,bill_counter!A:A,$A90))</f>
        <v>1</v>
      </c>
      <c r="F90" s="9" t="str">
        <f t="shared" si="1"/>
        <v>Refill Immediately</v>
      </c>
    </row>
    <row r="91">
      <c r="A91" s="19">
        <v>45801.0</v>
      </c>
      <c r="B91" s="4" t="s">
        <v>181</v>
      </c>
      <c r="C91" s="5" t="s">
        <v>182</v>
      </c>
      <c r="D91" s="9">
        <v>70.0</v>
      </c>
      <c r="E91" s="9">
        <f>$D91-IF(SUMIFS(bill_counter!H:H,bill_counter!E:E,$B91,bill_counter!A:A,$A91)&gt;$D91,$D91,SUMIFS(bill_counter!H:H,bill_counter!E:E,$B91,bill_counter!A:A,$A91))</f>
        <v>8</v>
      </c>
      <c r="F91" s="9" t="str">
        <f t="shared" si="1"/>
        <v>Yes, within 5 days</v>
      </c>
    </row>
    <row r="92">
      <c r="A92" s="19">
        <v>45801.0</v>
      </c>
      <c r="B92" s="4" t="s">
        <v>183</v>
      </c>
      <c r="C92" s="5" t="s">
        <v>184</v>
      </c>
      <c r="D92" s="9">
        <v>70.0</v>
      </c>
      <c r="E92" s="9">
        <f>$D92-IF(SUMIFS(bill_counter!H:H,bill_counter!E:E,$B92,bill_counter!A:A,$A92)&gt;$D92,$D92,SUMIFS(bill_counter!H:H,bill_counter!E:E,$B92,bill_counter!A:A,$A92))</f>
        <v>0</v>
      </c>
      <c r="F92" s="9" t="str">
        <f t="shared" si="1"/>
        <v>Out Of Stock</v>
      </c>
    </row>
    <row r="93">
      <c r="A93" s="19">
        <v>45801.0</v>
      </c>
      <c r="B93" s="4" t="s">
        <v>185</v>
      </c>
      <c r="C93" s="5" t="s">
        <v>186</v>
      </c>
      <c r="D93" s="9">
        <v>70.0</v>
      </c>
      <c r="E93" s="9">
        <f>$D93-IF(SUMIFS(bill_counter!H:H,bill_counter!E:E,$B93,bill_counter!A:A,$A93)&gt;$D93,$D93,SUMIFS(bill_counter!H:H,bill_counter!E:E,$B93,bill_counter!A:A,$A93))</f>
        <v>47</v>
      </c>
      <c r="F93" s="9" t="str">
        <f t="shared" si="1"/>
        <v>Yes, within 20 Days</v>
      </c>
    </row>
    <row r="94">
      <c r="A94" s="19">
        <v>45801.0</v>
      </c>
      <c r="B94" s="4" t="s">
        <v>187</v>
      </c>
      <c r="C94" s="5" t="s">
        <v>188</v>
      </c>
      <c r="D94" s="9">
        <v>70.0</v>
      </c>
      <c r="E94" s="9">
        <f>$D94-IF(SUMIFS(bill_counter!H:H,bill_counter!E:E,$B94,bill_counter!A:A,$A94)&gt;$D94,$D94,SUMIFS(bill_counter!H:H,bill_counter!E:E,$B94,bill_counter!A:A,$A94))</f>
        <v>20</v>
      </c>
      <c r="F94" s="9" t="str">
        <f t="shared" si="1"/>
        <v>Yes, within 10 days</v>
      </c>
    </row>
    <row r="95">
      <c r="A95" s="19">
        <v>45801.0</v>
      </c>
      <c r="B95" s="4" t="s">
        <v>189</v>
      </c>
      <c r="C95" s="5" t="s">
        <v>190</v>
      </c>
      <c r="D95" s="9">
        <v>70.0</v>
      </c>
      <c r="E95" s="9">
        <f>$D95-IF(SUMIFS(bill_counter!H:H,bill_counter!E:E,$B95,bill_counter!A:A,$A95)&gt;$D95,$D95,SUMIFS(bill_counter!H:H,bill_counter!E:E,$B95,bill_counter!A:A,$A95))</f>
        <v>21</v>
      </c>
      <c r="F95" s="9" t="str">
        <f t="shared" si="1"/>
        <v>Yes, within 10 days</v>
      </c>
    </row>
    <row r="96">
      <c r="A96" s="19">
        <v>45801.0</v>
      </c>
      <c r="B96" s="4" t="s">
        <v>191</v>
      </c>
      <c r="C96" s="5" t="s">
        <v>192</v>
      </c>
      <c r="D96" s="9">
        <v>100.0</v>
      </c>
      <c r="E96" s="9">
        <f>$D96-IF(SUMIFS(bill_counter!H:H,bill_counter!E:E,$B96,bill_counter!A:A,$A96)&gt;$D96,$D96,SUMIFS(bill_counter!H:H,bill_counter!E:E,$B96,bill_counter!A:A,$A96))</f>
        <v>40</v>
      </c>
      <c r="F96" s="9" t="str">
        <f t="shared" si="1"/>
        <v>Yes, within 10 days</v>
      </c>
    </row>
    <row r="97">
      <c r="A97" s="19">
        <v>45801.0</v>
      </c>
      <c r="B97" s="4" t="s">
        <v>193</v>
      </c>
      <c r="C97" s="5" t="s">
        <v>194</v>
      </c>
      <c r="D97" s="9">
        <v>100.0</v>
      </c>
      <c r="E97" s="9">
        <f>$D97-IF(SUMIFS(bill_counter!H:H,bill_counter!E:E,$B97,bill_counter!A:A,$A97)&gt;$D97,$D97,SUMIFS(bill_counter!H:H,bill_counter!E:E,$B97,bill_counter!A:A,$A97))</f>
        <v>29</v>
      </c>
      <c r="F97" s="9" t="str">
        <f t="shared" si="1"/>
        <v>Yes, within 10 days</v>
      </c>
    </row>
    <row r="98">
      <c r="A98" s="19">
        <v>45801.0</v>
      </c>
      <c r="B98" s="4" t="s">
        <v>195</v>
      </c>
      <c r="C98" s="5" t="s">
        <v>196</v>
      </c>
      <c r="D98" s="9">
        <v>100.0</v>
      </c>
      <c r="E98" s="9">
        <f>$D98-IF(SUMIFS(bill_counter!H:H,bill_counter!E:E,$B98,bill_counter!A:A,$A98)&gt;$D98,$D98,SUMIFS(bill_counter!H:H,bill_counter!E:E,$B98,bill_counter!A:A,$A98))</f>
        <v>11</v>
      </c>
      <c r="F98" s="9" t="str">
        <f t="shared" si="1"/>
        <v>Yes, within 5 days</v>
      </c>
    </row>
    <row r="99">
      <c r="A99" s="19">
        <v>45801.0</v>
      </c>
      <c r="B99" s="4" t="s">
        <v>197</v>
      </c>
      <c r="C99" s="5" t="s">
        <v>198</v>
      </c>
      <c r="D99" s="9">
        <v>100.0</v>
      </c>
      <c r="E99" s="9">
        <f>$D99-IF(SUMIFS(bill_counter!H:H,bill_counter!E:E,$B99,bill_counter!A:A,$A99)&gt;$D99,$D99,SUMIFS(bill_counter!H:H,bill_counter!E:E,$B99,bill_counter!A:A,$A99))</f>
        <v>57</v>
      </c>
      <c r="F99" s="9" t="str">
        <f t="shared" si="1"/>
        <v>Yes, within 20 Days</v>
      </c>
    </row>
    <row r="100">
      <c r="A100" s="19">
        <v>45801.0</v>
      </c>
      <c r="B100" s="4" t="s">
        <v>199</v>
      </c>
      <c r="C100" s="5" t="s">
        <v>200</v>
      </c>
      <c r="D100" s="9">
        <v>100.0</v>
      </c>
      <c r="E100" s="9">
        <f>$D100-IF(SUMIFS(bill_counter!H:H,bill_counter!E:E,$B100,bill_counter!A:A,$A100)&gt;$D100,$D100,SUMIFS(bill_counter!H:H,bill_counter!E:E,$B100,bill_counter!A:A,$A100))</f>
        <v>63</v>
      </c>
      <c r="F100" s="9" t="str">
        <f t="shared" si="1"/>
        <v>Yes, within 20 Days</v>
      </c>
    </row>
    <row r="101">
      <c r="A101" s="19">
        <v>45801.0</v>
      </c>
      <c r="B101" s="4" t="s">
        <v>201</v>
      </c>
      <c r="C101" s="5" t="s">
        <v>202</v>
      </c>
      <c r="D101" s="9">
        <v>100.0</v>
      </c>
      <c r="E101" s="9">
        <f>$D101-IF(SUMIFS(bill_counter!H:H,bill_counter!E:E,$B101,bill_counter!A:A,$A101)&gt;$D101,$D101,SUMIFS(bill_counter!H:H,bill_counter!E:E,$B101,bill_counter!A:A,$A101))</f>
        <v>48</v>
      </c>
      <c r="F101" s="9" t="str">
        <f t="shared" si="1"/>
        <v>Yes, within 10 days</v>
      </c>
    </row>
    <row r="102">
      <c r="A102" s="29" t="s">
        <v>714</v>
      </c>
      <c r="B102" s="30"/>
      <c r="C102" s="11"/>
      <c r="D102" s="31">
        <f t="shared" ref="D102:E102" si="2">SUM(D2:D101)</f>
        <v>7570</v>
      </c>
      <c r="E102" s="31">
        <f t="shared" si="2"/>
        <v>2642</v>
      </c>
    </row>
  </sheetData>
  <mergeCells count="1">
    <mergeCell ref="A102:C102"/>
  </mergeCells>
  <conditionalFormatting sqref="F2:F101">
    <cfRule type="containsText" dxfId="0" priority="1" operator="containsText" text="Sufficient">
      <formula>NOT(ISERROR(SEARCH(("Sufficient"),(F2))))</formula>
    </cfRule>
  </conditionalFormatting>
  <conditionalFormatting sqref="F2:F101">
    <cfRule type="containsText" dxfId="1" priority="2" operator="containsText" text="Yes, within 20 Days">
      <formula>NOT(ISERROR(SEARCH(("Yes, within 20 Days"),(F2))))</formula>
    </cfRule>
  </conditionalFormatting>
  <conditionalFormatting sqref="F2:F101">
    <cfRule type="containsText" dxfId="2" priority="3" operator="containsText" text="Yes, within 10 Days">
      <formula>NOT(ISERROR(SEARCH(("Yes, within 10 Days"),(F2))))</formula>
    </cfRule>
  </conditionalFormatting>
  <conditionalFormatting sqref="F2:F101">
    <cfRule type="containsText" dxfId="3" priority="4" operator="containsText" text="Yes, within 5 Days">
      <formula>NOT(ISERROR(SEARCH(("Yes, within 5 Days"),(F2))))</formula>
    </cfRule>
  </conditionalFormatting>
  <conditionalFormatting sqref="F2:F101">
    <cfRule type="containsText" dxfId="4" priority="5" operator="containsText" text="Refill Immediately">
      <formula>NOT(ISERROR(SEARCH(("Refill Immediately"),(F2))))</formula>
    </cfRule>
  </conditionalFormatting>
  <conditionalFormatting sqref="F2:F101">
    <cfRule type="containsText" dxfId="5" priority="6" operator="containsText" text="Out Of stock">
      <formula>NOT(ISERROR(SEARCH(("Out Of stock"),(F2))))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29"/>
  </cols>
  <sheetData>
    <row r="1">
      <c r="A1" s="32" t="s">
        <v>715</v>
      </c>
      <c r="B1" s="32" t="s">
        <v>716</v>
      </c>
      <c r="C1" s="33" t="s">
        <v>717</v>
      </c>
    </row>
    <row r="2">
      <c r="A2" s="34" t="str">
        <f>IFERROR(__xludf.DUMMYFUNCTION("UNIQUE(bill_counter!D2:D1051)"),"T001")</f>
        <v>T001</v>
      </c>
      <c r="B2" s="35" t="str">
        <f t="array" ref="B2">INDEX(bill_counter!C$2:C$1051,MATCH(A2,bill_counter!$D$2:$D$1051,0))</f>
        <v>05/18/2025 09:04:18</v>
      </c>
      <c r="C2" s="36">
        <f>SUMIF(bill_counter!$D$2:$D$1051,$A2,bill_counter!$I$2:$I$1051)</f>
        <v>640</v>
      </c>
    </row>
    <row r="3">
      <c r="A3" s="34" t="str">
        <f>IFERROR(__xludf.DUMMYFUNCTION("""COMPUTED_VALUE"""),"T002")</f>
        <v>T002</v>
      </c>
      <c r="B3" s="35" t="str">
        <f t="array" ref="B3">INDEX(bill_counter!C$2:C$1051,MATCH(A3,bill_counter!$D$2:$D$1051,0))</f>
        <v>05/18/2025 09:16:19</v>
      </c>
      <c r="C3" s="36">
        <f>SUMIF(bill_counter!$D$2:$D$1051,$A3,bill_counter!$I$2:$I$1051)</f>
        <v>2400</v>
      </c>
    </row>
    <row r="4">
      <c r="A4" s="34" t="str">
        <f>IFERROR(__xludf.DUMMYFUNCTION("""COMPUTED_VALUE"""),"T003")</f>
        <v>T003</v>
      </c>
      <c r="B4" s="35" t="str">
        <f t="array" ref="B4">INDEX(bill_counter!C$2:C$1051,MATCH(A4,bill_counter!$D$2:$D$1051,0))</f>
        <v>05/18/2025 09:41:48</v>
      </c>
      <c r="C4" s="36">
        <f>SUMIF(bill_counter!$D$2:$D$1051,$A4,bill_counter!$I$2:$I$1051)</f>
        <v>2350</v>
      </c>
    </row>
    <row r="5">
      <c r="A5" s="34" t="str">
        <f>IFERROR(__xludf.DUMMYFUNCTION("""COMPUTED_VALUE"""),"T004")</f>
        <v>T004</v>
      </c>
      <c r="B5" s="35" t="str">
        <f t="array" ref="B5">INDEX(bill_counter!C$2:C$1051,MATCH(A5,bill_counter!$D$2:$D$1051,0))</f>
        <v>05/18/2025 10:17:38</v>
      </c>
      <c r="C5" s="36">
        <f>SUMIF(bill_counter!$D$2:$D$1051,$A5,bill_counter!$I$2:$I$1051)</f>
        <v>3300</v>
      </c>
    </row>
    <row r="6">
      <c r="A6" s="34" t="str">
        <f>IFERROR(__xludf.DUMMYFUNCTION("""COMPUTED_VALUE"""),"T005")</f>
        <v>T005</v>
      </c>
      <c r="B6" s="35" t="str">
        <f t="array" ref="B6">INDEX(bill_counter!C$2:C$1051,MATCH(A6,bill_counter!$D$2:$D$1051,0))</f>
        <v>05/18/2025 10:39:38</v>
      </c>
      <c r="C6" s="36">
        <f>SUMIF(bill_counter!$D$2:$D$1051,$A6,bill_counter!$I$2:$I$1051)</f>
        <v>7235</v>
      </c>
    </row>
    <row r="7">
      <c r="A7" s="34" t="str">
        <f>IFERROR(__xludf.DUMMYFUNCTION("""COMPUTED_VALUE"""),"T006")</f>
        <v>T006</v>
      </c>
      <c r="B7" s="35" t="str">
        <f t="array" ref="B7">INDEX(bill_counter!C$2:C$1051,MATCH(A7,bill_counter!$D$2:$D$1051,0))</f>
        <v>05/18/2025 10:58:58</v>
      </c>
      <c r="C7" s="36">
        <f>SUMIF(bill_counter!$D$2:$D$1051,$A7,bill_counter!$I$2:$I$1051)</f>
        <v>5490</v>
      </c>
    </row>
    <row r="8">
      <c r="A8" s="34" t="str">
        <f>IFERROR(__xludf.DUMMYFUNCTION("""COMPUTED_VALUE"""),"T007")</f>
        <v>T007</v>
      </c>
      <c r="B8" s="35" t="str">
        <f t="array" ref="B8">INDEX(bill_counter!C$2:C$1051,MATCH(A8,bill_counter!$D$2:$D$1051,0))</f>
        <v>05/18/2025 11:20:20</v>
      </c>
      <c r="C8" s="36">
        <f>SUMIF(bill_counter!$D$2:$D$1051,$A8,bill_counter!$I$2:$I$1051)</f>
        <v>1565</v>
      </c>
    </row>
    <row r="9">
      <c r="A9" s="34" t="str">
        <f>IFERROR(__xludf.DUMMYFUNCTION("""COMPUTED_VALUE"""),"T008")</f>
        <v>T008</v>
      </c>
      <c r="B9" s="37">
        <f t="array" ref="B9">INDEX(bill_counter!C$2:C$1051,MATCH(A9,bill_counter!$D$2:$D$1051,0))</f>
        <v>45795.47938</v>
      </c>
      <c r="C9" s="36">
        <f>SUMIF(bill_counter!$D$2:$D$1051,$A9,bill_counter!$I$2:$I$1051)</f>
        <v>4160</v>
      </c>
    </row>
    <row r="10">
      <c r="A10" s="34" t="str">
        <f>IFERROR(__xludf.DUMMYFUNCTION("""COMPUTED_VALUE"""),"T009")</f>
        <v>T009</v>
      </c>
      <c r="B10" s="37">
        <f t="array" ref="B10">INDEX(bill_counter!C$2:C$1051,MATCH(A10,bill_counter!$D$2:$D$1051,0))</f>
        <v>45795.48979</v>
      </c>
      <c r="C10" s="36">
        <f>SUMIF(bill_counter!$D$2:$D$1051,$A10,bill_counter!$I$2:$I$1051)</f>
        <v>1910</v>
      </c>
    </row>
    <row r="11">
      <c r="A11" s="34" t="str">
        <f>IFERROR(__xludf.DUMMYFUNCTION("""COMPUTED_VALUE"""),"T010")</f>
        <v>T010</v>
      </c>
      <c r="B11" s="37">
        <f t="array" ref="B11">INDEX(bill_counter!C$2:C$1051,MATCH(A11,bill_counter!$D$2:$D$1051,0))</f>
        <v>45795.49743</v>
      </c>
      <c r="C11" s="36">
        <f>SUMIF(bill_counter!$D$2:$D$1051,$A11,bill_counter!$I$2:$I$1051)</f>
        <v>1400</v>
      </c>
    </row>
    <row r="12">
      <c r="A12" s="34" t="str">
        <f>IFERROR(__xludf.DUMMYFUNCTION("""COMPUTED_VALUE"""),"T011")</f>
        <v>T011</v>
      </c>
      <c r="B12" s="37">
        <f t="array" ref="B12">INDEX(bill_counter!C$2:C$1051,MATCH(A12,bill_counter!$D$2:$D$1051,0))</f>
        <v>45795.50715</v>
      </c>
      <c r="C12" s="36">
        <f>SUMIF(bill_counter!$D$2:$D$1051,$A12,bill_counter!$I$2:$I$1051)</f>
        <v>2360</v>
      </c>
    </row>
    <row r="13">
      <c r="A13" s="34" t="str">
        <f>IFERROR(__xludf.DUMMYFUNCTION("""COMPUTED_VALUE"""),"T012")</f>
        <v>T012</v>
      </c>
      <c r="B13" s="37">
        <f t="array" ref="B13">INDEX(bill_counter!C$2:C$1051,MATCH(A13,bill_counter!$D$2:$D$1051,0))</f>
        <v>45795.51688</v>
      </c>
      <c r="C13" s="36">
        <f>SUMIF(bill_counter!$D$2:$D$1051,$A13,bill_counter!$I$2:$I$1051)</f>
        <v>2680</v>
      </c>
    </row>
    <row r="14">
      <c r="A14" s="34" t="str">
        <f>IFERROR(__xludf.DUMMYFUNCTION("""COMPUTED_VALUE"""),"T013")</f>
        <v>T013</v>
      </c>
      <c r="B14" s="37">
        <f t="array" ref="B14">INDEX(bill_counter!C$2:C$1051,MATCH(A14,bill_counter!$D$2:$D$1051,0))</f>
        <v>45795.52382</v>
      </c>
      <c r="C14" s="36">
        <f>SUMIF(bill_counter!$D$2:$D$1051,$A14,bill_counter!$I$2:$I$1051)</f>
        <v>5420</v>
      </c>
    </row>
    <row r="15">
      <c r="A15" s="34" t="str">
        <f>IFERROR(__xludf.DUMMYFUNCTION("""COMPUTED_VALUE"""),"T014")</f>
        <v>T014</v>
      </c>
      <c r="B15" s="37">
        <f t="array" ref="B15">INDEX(bill_counter!C$2:C$1051,MATCH(A15,bill_counter!$D$2:$D$1051,0))</f>
        <v>45795.53285</v>
      </c>
      <c r="C15" s="36">
        <f>SUMIF(bill_counter!$D$2:$D$1051,$A15,bill_counter!$I$2:$I$1051)</f>
        <v>3290</v>
      </c>
    </row>
    <row r="16">
      <c r="A16" s="34" t="str">
        <f>IFERROR(__xludf.DUMMYFUNCTION("""COMPUTED_VALUE"""),"T015")</f>
        <v>T015</v>
      </c>
      <c r="B16" s="37">
        <f t="array" ref="B16">INDEX(bill_counter!C$2:C$1051,MATCH(A16,bill_counter!$D$2:$D$1051,0))</f>
        <v>45795.53979</v>
      </c>
      <c r="C16" s="36">
        <f>SUMIF(bill_counter!$D$2:$D$1051,$A16,bill_counter!$I$2:$I$1051)</f>
        <v>1725</v>
      </c>
    </row>
    <row r="17">
      <c r="A17" s="34" t="str">
        <f>IFERROR(__xludf.DUMMYFUNCTION("""COMPUTED_VALUE"""),"T016")</f>
        <v>T016</v>
      </c>
      <c r="B17" s="37">
        <f t="array" ref="B17">INDEX(bill_counter!C$2:C$1051,MATCH(A17,bill_counter!$D$2:$D$1051,0))</f>
        <v>45795.55021</v>
      </c>
      <c r="C17" s="36">
        <f>SUMIF(bill_counter!$D$2:$D$1051,$A17,bill_counter!$I$2:$I$1051)</f>
        <v>4150</v>
      </c>
    </row>
    <row r="18">
      <c r="A18" s="34" t="str">
        <f>IFERROR(__xludf.DUMMYFUNCTION("""COMPUTED_VALUE"""),"T017")</f>
        <v>T017</v>
      </c>
      <c r="B18" s="37">
        <f t="array" ref="B18">INDEX(bill_counter!C$2:C$1051,MATCH(A18,bill_counter!$D$2:$D$1051,0))</f>
        <v>45795.55924</v>
      </c>
      <c r="C18" s="36">
        <f>SUMIF(bill_counter!$D$2:$D$1051,$A18,bill_counter!$I$2:$I$1051)</f>
        <v>1700</v>
      </c>
    </row>
    <row r="19">
      <c r="A19" s="34" t="str">
        <f>IFERROR(__xludf.DUMMYFUNCTION("""COMPUTED_VALUE"""),"T018")</f>
        <v>T018</v>
      </c>
      <c r="B19" s="37">
        <f t="array" ref="B19">INDEX(bill_counter!C$2:C$1051,MATCH(A19,bill_counter!$D$2:$D$1051,0))</f>
        <v>45795.56826</v>
      </c>
      <c r="C19" s="36">
        <f>SUMIF(bill_counter!$D$2:$D$1051,$A19,bill_counter!$I$2:$I$1051)</f>
        <v>2100</v>
      </c>
    </row>
    <row r="20">
      <c r="A20" s="34" t="str">
        <f>IFERROR(__xludf.DUMMYFUNCTION("""COMPUTED_VALUE"""),"T019")</f>
        <v>T019</v>
      </c>
      <c r="B20" s="37">
        <f t="array" ref="B20">INDEX(bill_counter!C$2:C$1051,MATCH(A20,bill_counter!$D$2:$D$1051,0))</f>
        <v>45795.57799</v>
      </c>
      <c r="C20" s="36">
        <f>SUMIF(bill_counter!$D$2:$D$1051,$A20,bill_counter!$I$2:$I$1051)</f>
        <v>4630</v>
      </c>
    </row>
    <row r="21">
      <c r="A21" s="34" t="str">
        <f>IFERROR(__xludf.DUMMYFUNCTION("""COMPUTED_VALUE"""),"T020")</f>
        <v>T020</v>
      </c>
      <c r="B21" s="37">
        <f t="array" ref="B21">INDEX(bill_counter!C$2:C$1051,MATCH(A21,bill_counter!$D$2:$D$1051,0))</f>
        <v>45795.58771</v>
      </c>
      <c r="C21" s="36">
        <f>SUMIF(bill_counter!$D$2:$D$1051,$A21,bill_counter!$I$2:$I$1051)</f>
        <v>2370</v>
      </c>
    </row>
    <row r="22">
      <c r="A22" s="34" t="str">
        <f>IFERROR(__xludf.DUMMYFUNCTION("""COMPUTED_VALUE"""),"T021")</f>
        <v>T021</v>
      </c>
      <c r="B22" s="37">
        <f t="array" ref="B22">INDEX(bill_counter!C$2:C$1051,MATCH(A22,bill_counter!$D$2:$D$1051,0))</f>
        <v>45795.59465</v>
      </c>
      <c r="C22" s="36">
        <f>SUMIF(bill_counter!$D$2:$D$1051,$A22,bill_counter!$I$2:$I$1051)</f>
        <v>830</v>
      </c>
    </row>
    <row r="23">
      <c r="A23" s="34" t="str">
        <f>IFERROR(__xludf.DUMMYFUNCTION("""COMPUTED_VALUE"""),"T022")</f>
        <v>T022</v>
      </c>
      <c r="B23" s="37">
        <f t="array" ref="B23">INDEX(bill_counter!C$2:C$1051,MATCH(A23,bill_counter!$D$2:$D$1051,0))</f>
        <v>45795.60229</v>
      </c>
      <c r="C23" s="36">
        <f>SUMIF(bill_counter!$D$2:$D$1051,$A23,bill_counter!$I$2:$I$1051)</f>
        <v>3680</v>
      </c>
    </row>
    <row r="24">
      <c r="A24" s="34" t="str">
        <f>IFERROR(__xludf.DUMMYFUNCTION("""COMPUTED_VALUE"""),"T023")</f>
        <v>T023</v>
      </c>
      <c r="B24" s="37">
        <f t="array" ref="B24">INDEX(bill_counter!C$2:C$1051,MATCH(A24,bill_counter!$D$2:$D$1051,0))</f>
        <v>45795.61271</v>
      </c>
      <c r="C24" s="36">
        <f>SUMIF(bill_counter!$D$2:$D$1051,$A24,bill_counter!$I$2:$I$1051)</f>
        <v>5600</v>
      </c>
    </row>
    <row r="25">
      <c r="A25" s="34" t="str">
        <f>IFERROR(__xludf.DUMMYFUNCTION("""COMPUTED_VALUE"""),"T024")</f>
        <v>T024</v>
      </c>
      <c r="B25" s="37">
        <f t="array" ref="B25">INDEX(bill_counter!C$2:C$1051,MATCH(A25,bill_counter!$D$2:$D$1051,0))</f>
        <v>45795.62035</v>
      </c>
      <c r="C25" s="36">
        <f>SUMIF(bill_counter!$D$2:$D$1051,$A25,bill_counter!$I$2:$I$1051)</f>
        <v>1730</v>
      </c>
    </row>
    <row r="26">
      <c r="A26" s="34" t="str">
        <f>IFERROR(__xludf.DUMMYFUNCTION("""COMPUTED_VALUE"""),"T025")</f>
        <v>T025</v>
      </c>
      <c r="B26" s="37">
        <f t="array" ref="B26">INDEX(bill_counter!C$2:C$1051,MATCH(A26,bill_counter!$D$2:$D$1051,0))</f>
        <v>45795.62938</v>
      </c>
      <c r="C26" s="36">
        <f>SUMIF(bill_counter!$D$2:$D$1051,$A26,bill_counter!$I$2:$I$1051)</f>
        <v>1180</v>
      </c>
    </row>
    <row r="27">
      <c r="A27" s="34" t="str">
        <f>IFERROR(__xludf.DUMMYFUNCTION("""COMPUTED_VALUE"""),"T026")</f>
        <v>T026</v>
      </c>
      <c r="B27" s="37">
        <f t="array" ref="B27">INDEX(bill_counter!C$2:C$1051,MATCH(A27,bill_counter!$D$2:$D$1051,0))</f>
        <v>45795.63771</v>
      </c>
      <c r="C27" s="36">
        <f>SUMIF(bill_counter!$D$2:$D$1051,$A27,bill_counter!$I$2:$I$1051)</f>
        <v>1480</v>
      </c>
    </row>
    <row r="28">
      <c r="A28" s="34" t="str">
        <f>IFERROR(__xludf.DUMMYFUNCTION("""COMPUTED_VALUE"""),"T027")</f>
        <v>T027</v>
      </c>
      <c r="B28" s="37">
        <f t="array" ref="B28">INDEX(bill_counter!C$2:C$1051,MATCH(A28,bill_counter!$D$2:$D$1051,0))</f>
        <v>45795.64604</v>
      </c>
      <c r="C28" s="36">
        <f>SUMIF(bill_counter!$D$2:$D$1051,$A28,bill_counter!$I$2:$I$1051)</f>
        <v>2920</v>
      </c>
    </row>
    <row r="29">
      <c r="A29" s="34" t="str">
        <f>IFERROR(__xludf.DUMMYFUNCTION("""COMPUTED_VALUE"""),"T028")</f>
        <v>T028</v>
      </c>
      <c r="B29" s="37">
        <f t="array" ref="B29">INDEX(bill_counter!C$2:C$1051,MATCH(A29,bill_counter!$D$2:$D$1051,0))</f>
        <v>45795.65646</v>
      </c>
      <c r="C29" s="36">
        <f>SUMIF(bill_counter!$D$2:$D$1051,$A29,bill_counter!$I$2:$I$1051)</f>
        <v>3270</v>
      </c>
    </row>
    <row r="30">
      <c r="A30" s="34" t="str">
        <f>IFERROR(__xludf.DUMMYFUNCTION("""COMPUTED_VALUE"""),"T029")</f>
        <v>T029</v>
      </c>
      <c r="B30" s="37">
        <f t="array" ref="B30">INDEX(bill_counter!C$2:C$1051,MATCH(A30,bill_counter!$D$2:$D$1051,0))</f>
        <v>45795.66549</v>
      </c>
      <c r="C30" s="36">
        <f>SUMIF(bill_counter!$D$2:$D$1051,$A30,bill_counter!$I$2:$I$1051)</f>
        <v>2910</v>
      </c>
    </row>
    <row r="31">
      <c r="A31" s="34" t="str">
        <f>IFERROR(__xludf.DUMMYFUNCTION("""COMPUTED_VALUE"""),"T030")</f>
        <v>T030</v>
      </c>
      <c r="B31" s="37">
        <f t="array" ref="B31">INDEX(bill_counter!C$2:C$1051,MATCH(A31,bill_counter!$D$2:$D$1051,0))</f>
        <v>45795.67313</v>
      </c>
      <c r="C31" s="36">
        <f>SUMIF(bill_counter!$D$2:$D$1051,$A31,bill_counter!$I$2:$I$1051)</f>
        <v>5610</v>
      </c>
    </row>
    <row r="32">
      <c r="A32" s="34" t="str">
        <f>IFERROR(__xludf.DUMMYFUNCTION("""COMPUTED_VALUE"""),"T031")</f>
        <v>T031</v>
      </c>
      <c r="B32" s="37">
        <f t="array" ref="B32">INDEX(bill_counter!C$2:C$1051,MATCH(A32,bill_counter!$D$2:$D$1051,0))</f>
        <v>45795.68354</v>
      </c>
      <c r="C32" s="36">
        <f>SUMIF(bill_counter!$D$2:$D$1051,$A32,bill_counter!$I$2:$I$1051)</f>
        <v>2800</v>
      </c>
    </row>
    <row r="33">
      <c r="A33" s="34" t="str">
        <f>IFERROR(__xludf.DUMMYFUNCTION("""COMPUTED_VALUE"""),"T032")</f>
        <v>T032</v>
      </c>
      <c r="B33" s="37">
        <f t="array" ref="B33">INDEX(bill_counter!C$2:C$1051,MATCH(A33,bill_counter!$D$2:$D$1051,0))</f>
        <v>45795.69118</v>
      </c>
      <c r="C33" s="36">
        <f>SUMIF(bill_counter!$D$2:$D$1051,$A33,bill_counter!$I$2:$I$1051)</f>
        <v>6260</v>
      </c>
    </row>
    <row r="34">
      <c r="A34" s="34" t="str">
        <f>IFERROR(__xludf.DUMMYFUNCTION("""COMPUTED_VALUE"""),"T033")</f>
        <v>T033</v>
      </c>
      <c r="B34" s="37">
        <f t="array" ref="B34">INDEX(bill_counter!C$2:C$1051,MATCH(A34,bill_counter!$D$2:$D$1051,0))</f>
        <v>45795.7009</v>
      </c>
      <c r="C34" s="36">
        <f>SUMIF(bill_counter!$D$2:$D$1051,$A34,bill_counter!$I$2:$I$1051)</f>
        <v>3960</v>
      </c>
    </row>
    <row r="35">
      <c r="A35" s="34" t="str">
        <f>IFERROR(__xludf.DUMMYFUNCTION("""COMPUTED_VALUE"""),"T034")</f>
        <v>T034</v>
      </c>
      <c r="B35" s="37">
        <f t="array" ref="B35">INDEX(bill_counter!C$2:C$1051,MATCH(A35,bill_counter!$D$2:$D$1051,0))</f>
        <v>45795.70993</v>
      </c>
      <c r="C35" s="36">
        <f>SUMIF(bill_counter!$D$2:$D$1051,$A35,bill_counter!$I$2:$I$1051)</f>
        <v>1500</v>
      </c>
    </row>
    <row r="36">
      <c r="A36" s="34" t="str">
        <f>IFERROR(__xludf.DUMMYFUNCTION("""COMPUTED_VALUE"""),"T035")</f>
        <v>T035</v>
      </c>
      <c r="B36" s="37">
        <f t="array" ref="B36">INDEX(bill_counter!C$2:C$1051,MATCH(A36,bill_counter!$D$2:$D$1051,0))</f>
        <v>45795.71896</v>
      </c>
      <c r="C36" s="36">
        <f>SUMIF(bill_counter!$D$2:$D$1051,$A36,bill_counter!$I$2:$I$1051)</f>
        <v>1220</v>
      </c>
    </row>
    <row r="37">
      <c r="A37" s="34" t="str">
        <f>IFERROR(__xludf.DUMMYFUNCTION("""COMPUTED_VALUE"""),"T036")</f>
        <v>T036</v>
      </c>
      <c r="B37" s="37">
        <f t="array" ref="B37">INDEX(bill_counter!C$2:C$1051,MATCH(A37,bill_counter!$D$2:$D$1051,0))</f>
        <v>45795.72868</v>
      </c>
      <c r="C37" s="36">
        <f>SUMIF(bill_counter!$D$2:$D$1051,$A37,bill_counter!$I$2:$I$1051)</f>
        <v>3540</v>
      </c>
    </row>
    <row r="38">
      <c r="A38" s="34" t="str">
        <f>IFERROR(__xludf.DUMMYFUNCTION("""COMPUTED_VALUE"""),"T037")</f>
        <v>T037</v>
      </c>
      <c r="B38" s="37">
        <f t="array" ref="B38">INDEX(bill_counter!C$2:C$1051,MATCH(A38,bill_counter!$D$2:$D$1051,0))</f>
        <v>45795.73771</v>
      </c>
      <c r="C38" s="36">
        <f>SUMIF(bill_counter!$D$2:$D$1051,$A38,bill_counter!$I$2:$I$1051)</f>
        <v>2300</v>
      </c>
    </row>
    <row r="39">
      <c r="A39" s="34" t="str">
        <f>IFERROR(__xludf.DUMMYFUNCTION("""COMPUTED_VALUE"""),"T038")</f>
        <v>T038</v>
      </c>
      <c r="B39" s="37">
        <f t="array" ref="B39">INDEX(bill_counter!C$2:C$1051,MATCH(A39,bill_counter!$D$2:$D$1051,0))</f>
        <v>45795.74465</v>
      </c>
      <c r="C39" s="36">
        <f>SUMIF(bill_counter!$D$2:$D$1051,$A39,bill_counter!$I$2:$I$1051)</f>
        <v>5050</v>
      </c>
    </row>
    <row r="40">
      <c r="A40" s="34" t="str">
        <f>IFERROR(__xludf.DUMMYFUNCTION("""COMPUTED_VALUE"""),"T039")</f>
        <v>T039</v>
      </c>
      <c r="B40" s="35" t="str">
        <f t="array" ref="B40">INDEX(bill_counter!C$2:C$1051,MATCH(A40,bill_counter!$D$2:$D$1051,0))</f>
        <v>05/19/2025 9:04:18</v>
      </c>
      <c r="C40" s="36">
        <f>SUMIF(bill_counter!$D$2:$D$1051,$A40,bill_counter!$I$2:$I$1051)</f>
        <v>1200</v>
      </c>
    </row>
    <row r="41">
      <c r="A41" s="34" t="str">
        <f>IFERROR(__xludf.DUMMYFUNCTION("""COMPUTED_VALUE"""),"T040")</f>
        <v>T040</v>
      </c>
      <c r="B41" s="35" t="str">
        <f t="array" ref="B41">INDEX(bill_counter!C$2:C$1051,MATCH(A41,bill_counter!$D$2:$D$1051,0))</f>
        <v>05/19/2025 9:16:19</v>
      </c>
      <c r="C41" s="36">
        <f>SUMIF(bill_counter!$D$2:$D$1051,$A41,bill_counter!$I$2:$I$1051)</f>
        <v>2400</v>
      </c>
    </row>
    <row r="42">
      <c r="A42" s="34" t="str">
        <f>IFERROR(__xludf.DUMMYFUNCTION("""COMPUTED_VALUE"""),"T041")</f>
        <v>T041</v>
      </c>
      <c r="B42" s="35" t="str">
        <f t="array" ref="B42">INDEX(bill_counter!C$2:C$1051,MATCH(A42,bill_counter!$D$2:$D$1051,0))</f>
        <v>05/19/2025 9:41:48</v>
      </c>
      <c r="C42" s="36">
        <f>SUMIF(bill_counter!$D$2:$D$1051,$A42,bill_counter!$I$2:$I$1051)</f>
        <v>1725</v>
      </c>
    </row>
    <row r="43">
      <c r="A43" s="34" t="str">
        <f>IFERROR(__xludf.DUMMYFUNCTION("""COMPUTED_VALUE"""),"T042")</f>
        <v>T042</v>
      </c>
      <c r="B43" s="35" t="str">
        <f t="array" ref="B43">INDEX(bill_counter!C$2:C$1051,MATCH(A43,bill_counter!$D$2:$D$1051,0))</f>
        <v>05/19/2025 10:17:38</v>
      </c>
      <c r="C43" s="36">
        <f>SUMIF(bill_counter!$D$2:$D$1051,$A43,bill_counter!$I$2:$I$1051)</f>
        <v>2310</v>
      </c>
    </row>
    <row r="44">
      <c r="A44" s="34" t="str">
        <f>IFERROR(__xludf.DUMMYFUNCTION("""COMPUTED_VALUE"""),"T043")</f>
        <v>T043</v>
      </c>
      <c r="B44" s="35" t="str">
        <f t="array" ref="B44">INDEX(bill_counter!C$2:C$1051,MATCH(A44,bill_counter!$D$2:$D$1051,0))</f>
        <v>05/19/2025 10:39:38</v>
      </c>
      <c r="C44" s="36">
        <f>SUMIF(bill_counter!$D$2:$D$1051,$A44,bill_counter!$I$2:$I$1051)</f>
        <v>5010</v>
      </c>
    </row>
    <row r="45">
      <c r="A45" s="34" t="str">
        <f>IFERROR(__xludf.DUMMYFUNCTION("""COMPUTED_VALUE"""),"T044")</f>
        <v>T044</v>
      </c>
      <c r="B45" s="35" t="str">
        <f t="array" ref="B45">INDEX(bill_counter!C$2:C$1051,MATCH(A45,bill_counter!$D$2:$D$1051,0))</f>
        <v>05/19/2025 10:58:58</v>
      </c>
      <c r="C45" s="36">
        <f>SUMIF(bill_counter!$D$2:$D$1051,$A45,bill_counter!$I$2:$I$1051)</f>
        <v>4430</v>
      </c>
    </row>
    <row r="46">
      <c r="A46" s="34" t="str">
        <f>IFERROR(__xludf.DUMMYFUNCTION("""COMPUTED_VALUE"""),"T045")</f>
        <v>T045</v>
      </c>
      <c r="B46" s="35" t="str">
        <f t="array" ref="B46">INDEX(bill_counter!C$2:C$1051,MATCH(A46,bill_counter!$D$2:$D$1051,0))</f>
        <v>05/19/2025 11:20:20</v>
      </c>
      <c r="C46" s="36">
        <f>SUMIF(bill_counter!$D$2:$D$1051,$A46,bill_counter!$I$2:$I$1051)</f>
        <v>3245</v>
      </c>
    </row>
    <row r="47">
      <c r="A47" s="34" t="str">
        <f>IFERROR(__xludf.DUMMYFUNCTION("""COMPUTED_VALUE"""),"T046")</f>
        <v>T046</v>
      </c>
      <c r="B47" s="35" t="str">
        <f t="array" ref="B47">INDEX(bill_counter!C$2:C$1051,MATCH(A47,bill_counter!$D$2:$D$1051,0))</f>
        <v>05/19/2025 11:30:18</v>
      </c>
      <c r="C47" s="36">
        <f>SUMIF(bill_counter!$D$2:$D$1051,$A47,bill_counter!$I$2:$I$1051)</f>
        <v>2090</v>
      </c>
    </row>
    <row r="48">
      <c r="A48" s="34" t="str">
        <f>IFERROR(__xludf.DUMMYFUNCTION("""COMPUTED_VALUE"""),"T047")</f>
        <v>T047</v>
      </c>
      <c r="B48" s="35" t="str">
        <f t="array" ref="B48">INDEX(bill_counter!C$2:C$1051,MATCH(A48,bill_counter!$D$2:$D$1051,0))</f>
        <v>05/19/2025 11:45:18</v>
      </c>
      <c r="C48" s="36">
        <f>SUMIF(bill_counter!$D$2:$D$1051,$A48,bill_counter!$I$2:$I$1051)</f>
        <v>2940</v>
      </c>
    </row>
    <row r="49">
      <c r="A49" s="34" t="str">
        <f>IFERROR(__xludf.DUMMYFUNCTION("""COMPUTED_VALUE"""),"T048")</f>
        <v>T048</v>
      </c>
      <c r="B49" s="35" t="str">
        <f t="array" ref="B49">INDEX(bill_counter!C$2:C$1051,MATCH(A49,bill_counter!$D$2:$D$1051,0))</f>
        <v>05/19/2025 11:56:18</v>
      </c>
      <c r="C49" s="36">
        <f>SUMIF(bill_counter!$D$2:$D$1051,$A49,bill_counter!$I$2:$I$1051)</f>
        <v>5650</v>
      </c>
    </row>
    <row r="50">
      <c r="A50" s="34" t="str">
        <f>IFERROR(__xludf.DUMMYFUNCTION("""COMPUTED_VALUE"""),"T049")</f>
        <v>T049</v>
      </c>
      <c r="B50" s="35" t="str">
        <f t="array" ref="B50">INDEX(bill_counter!C$2:C$1051,MATCH(A50,bill_counter!$D$2:$D$1051,0))</f>
        <v>05/19/2025 12:10:18</v>
      </c>
      <c r="C50" s="36">
        <f>SUMIF(bill_counter!$D$2:$D$1051,$A50,bill_counter!$I$2:$I$1051)</f>
        <v>1340</v>
      </c>
    </row>
    <row r="51">
      <c r="A51" s="34" t="str">
        <f>IFERROR(__xludf.DUMMYFUNCTION("""COMPUTED_VALUE"""),"T050")</f>
        <v>T050</v>
      </c>
      <c r="B51" s="35" t="str">
        <f t="array" ref="B51">INDEX(bill_counter!C$2:C$1051,MATCH(A51,bill_counter!$D$2:$D$1051,0))</f>
        <v>05/19/2025 12:24:18</v>
      </c>
      <c r="C51" s="36">
        <f>SUMIF(bill_counter!$D$2:$D$1051,$A51,bill_counter!$I$2:$I$1051)</f>
        <v>2410</v>
      </c>
    </row>
    <row r="52">
      <c r="A52" s="34" t="str">
        <f>IFERROR(__xludf.DUMMYFUNCTION("""COMPUTED_VALUE"""),"T051")</f>
        <v>T051</v>
      </c>
      <c r="B52" s="35" t="str">
        <f t="array" ref="B52">INDEX(bill_counter!C$2:C$1051,MATCH(A52,bill_counter!$D$2:$D$1051,0))</f>
        <v>05/19/2025 12:34:18</v>
      </c>
      <c r="C52" s="36">
        <f>SUMIF(bill_counter!$D$2:$D$1051,$A52,bill_counter!$I$2:$I$1051)</f>
        <v>3800</v>
      </c>
    </row>
    <row r="53">
      <c r="A53" s="34" t="str">
        <f>IFERROR(__xludf.DUMMYFUNCTION("""COMPUTED_VALUE"""),"T052")</f>
        <v>T052</v>
      </c>
      <c r="B53" s="35" t="str">
        <f t="array" ref="B53">INDEX(bill_counter!C$2:C$1051,MATCH(A53,bill_counter!$D$2:$D$1051,0))</f>
        <v>05/19/2025 12:47:18</v>
      </c>
      <c r="C53" s="36">
        <f>SUMIF(bill_counter!$D$2:$D$1051,$A53,bill_counter!$I$2:$I$1051)</f>
        <v>1850</v>
      </c>
    </row>
    <row r="54">
      <c r="A54" s="34" t="str">
        <f>IFERROR(__xludf.DUMMYFUNCTION("""COMPUTED_VALUE"""),"T053")</f>
        <v>T053</v>
      </c>
      <c r="B54" s="35" t="str">
        <f t="array" ref="B54">INDEX(bill_counter!C$2:C$1051,MATCH(A54,bill_counter!$D$2:$D$1051,0))</f>
        <v>05/19/2025 12:57:18</v>
      </c>
      <c r="C54" s="36">
        <f>SUMIF(bill_counter!$D$2:$D$1051,$A54,bill_counter!$I$2:$I$1051)</f>
        <v>3740</v>
      </c>
    </row>
    <row r="55">
      <c r="A55" s="34" t="str">
        <f>IFERROR(__xludf.DUMMYFUNCTION("""COMPUTED_VALUE"""),"T054")</f>
        <v>T054</v>
      </c>
      <c r="B55" s="35" t="str">
        <f t="array" ref="B55">INDEX(bill_counter!C$2:C$1051,MATCH(A55,bill_counter!$D$2:$D$1051,0))</f>
        <v>05/19/2025 13:12:18</v>
      </c>
      <c r="C55" s="36">
        <f>SUMIF(bill_counter!$D$2:$D$1051,$A55,bill_counter!$I$2:$I$1051)</f>
        <v>4335</v>
      </c>
    </row>
    <row r="56">
      <c r="A56" s="34" t="str">
        <f>IFERROR(__xludf.DUMMYFUNCTION("""COMPUTED_VALUE"""),"T055")</f>
        <v>T055</v>
      </c>
      <c r="B56" s="35" t="str">
        <f t="array" ref="B56">INDEX(bill_counter!C$2:C$1051,MATCH(A56,bill_counter!$D$2:$D$1051,0))</f>
        <v>05/19/2025 13:25:18</v>
      </c>
      <c r="C56" s="36">
        <f>SUMIF(bill_counter!$D$2:$D$1051,$A56,bill_counter!$I$2:$I$1051)</f>
        <v>4320</v>
      </c>
    </row>
    <row r="57">
      <c r="A57" s="34" t="str">
        <f>IFERROR(__xludf.DUMMYFUNCTION("""COMPUTED_VALUE"""),"T056")</f>
        <v>T056</v>
      </c>
      <c r="B57" s="35" t="str">
        <f t="array" ref="B57">INDEX(bill_counter!C$2:C$1051,MATCH(A57,bill_counter!$D$2:$D$1051,0))</f>
        <v>05/19/2025 13:38:18</v>
      </c>
      <c r="C57" s="36">
        <f>SUMIF(bill_counter!$D$2:$D$1051,$A57,bill_counter!$I$2:$I$1051)</f>
        <v>2340</v>
      </c>
    </row>
    <row r="58">
      <c r="A58" s="34" t="str">
        <f>IFERROR(__xludf.DUMMYFUNCTION("""COMPUTED_VALUE"""),"T057")</f>
        <v>T057</v>
      </c>
      <c r="B58" s="35" t="str">
        <f t="array" ref="B58">INDEX(bill_counter!C$2:C$1051,MATCH(A58,bill_counter!$D$2:$D$1051,0))</f>
        <v>05/19/2025 13:52:18</v>
      </c>
      <c r="C58" s="36">
        <f>SUMIF(bill_counter!$D$2:$D$1051,$A58,bill_counter!$I$2:$I$1051)</f>
        <v>1320</v>
      </c>
    </row>
    <row r="59">
      <c r="A59" s="34" t="str">
        <f>IFERROR(__xludf.DUMMYFUNCTION("""COMPUTED_VALUE"""),"T058")</f>
        <v>T058</v>
      </c>
      <c r="B59" s="35" t="str">
        <f t="array" ref="B59">INDEX(bill_counter!C$2:C$1051,MATCH(A59,bill_counter!$D$2:$D$1051,0))</f>
        <v>05/19/2025 14:06:18</v>
      </c>
      <c r="C59" s="36">
        <f>SUMIF(bill_counter!$D$2:$D$1051,$A59,bill_counter!$I$2:$I$1051)</f>
        <v>2485</v>
      </c>
    </row>
    <row r="60">
      <c r="A60" s="34" t="str">
        <f>IFERROR(__xludf.DUMMYFUNCTION("""COMPUTED_VALUE"""),"T059")</f>
        <v>T059</v>
      </c>
      <c r="B60" s="35" t="str">
        <f t="array" ref="B60">INDEX(bill_counter!C$2:C$1051,MATCH(A60,bill_counter!$D$2:$D$1051,0))</f>
        <v>05/19/2025 14:16:18</v>
      </c>
      <c r="C60" s="36">
        <f>SUMIF(bill_counter!$D$2:$D$1051,$A60,bill_counter!$I$2:$I$1051)</f>
        <v>970</v>
      </c>
    </row>
    <row r="61">
      <c r="A61" s="34" t="str">
        <f>IFERROR(__xludf.DUMMYFUNCTION("""COMPUTED_VALUE"""),"T060")</f>
        <v>T060</v>
      </c>
      <c r="B61" s="35" t="str">
        <f t="array" ref="B61">INDEX(bill_counter!C$2:C$1051,MATCH(A61,bill_counter!$D$2:$D$1051,0))</f>
        <v>05/19/2025 14:27:18</v>
      </c>
      <c r="C61" s="36">
        <f>SUMIF(bill_counter!$D$2:$D$1051,$A61,bill_counter!$I$2:$I$1051)</f>
        <v>5940</v>
      </c>
    </row>
    <row r="62">
      <c r="A62" s="34" t="str">
        <f>IFERROR(__xludf.DUMMYFUNCTION("""COMPUTED_VALUE"""),"T061")</f>
        <v>T061</v>
      </c>
      <c r="B62" s="35" t="str">
        <f t="array" ref="B62">INDEX(bill_counter!C$2:C$1051,MATCH(A62,bill_counter!$D$2:$D$1051,0))</f>
        <v>05/19/2025 14:42:18</v>
      </c>
      <c r="C62" s="36">
        <f>SUMIF(bill_counter!$D$2:$D$1051,$A62,bill_counter!$I$2:$I$1051)</f>
        <v>4600</v>
      </c>
    </row>
    <row r="63">
      <c r="A63" s="34" t="str">
        <f>IFERROR(__xludf.DUMMYFUNCTION("""COMPUTED_VALUE"""),"T062")</f>
        <v>T062</v>
      </c>
      <c r="B63" s="35" t="str">
        <f t="array" ref="B63">INDEX(bill_counter!C$2:C$1051,MATCH(A63,bill_counter!$D$2:$D$1051,0))</f>
        <v>05/19/2025 14:53:18</v>
      </c>
      <c r="C63" s="36">
        <f>SUMIF(bill_counter!$D$2:$D$1051,$A63,bill_counter!$I$2:$I$1051)</f>
        <v>2640</v>
      </c>
    </row>
    <row r="64">
      <c r="A64" s="34" t="str">
        <f>IFERROR(__xludf.DUMMYFUNCTION("""COMPUTED_VALUE"""),"T063")</f>
        <v>T063</v>
      </c>
      <c r="B64" s="35" t="str">
        <f t="array" ref="B64">INDEX(bill_counter!C$2:C$1051,MATCH(A64,bill_counter!$D$2:$D$1051,0))</f>
        <v>05/19/2025 15:06:18</v>
      </c>
      <c r="C64" s="36">
        <f>SUMIF(bill_counter!$D$2:$D$1051,$A64,bill_counter!$I$2:$I$1051)</f>
        <v>3320</v>
      </c>
    </row>
    <row r="65">
      <c r="A65" s="34" t="str">
        <f>IFERROR(__xludf.DUMMYFUNCTION("""COMPUTED_VALUE"""),"T064")</f>
        <v>T064</v>
      </c>
      <c r="B65" s="35" t="str">
        <f t="array" ref="B65">INDEX(bill_counter!C$2:C$1051,MATCH(A65,bill_counter!$D$2:$D$1051,0))</f>
        <v>05/19/2025 15:18:18</v>
      </c>
      <c r="C65" s="36">
        <f>SUMIF(bill_counter!$D$2:$D$1051,$A65,bill_counter!$I$2:$I$1051)</f>
        <v>1970</v>
      </c>
    </row>
    <row r="66">
      <c r="A66" s="34" t="str">
        <f>IFERROR(__xludf.DUMMYFUNCTION("""COMPUTED_VALUE"""),"T065")</f>
        <v>T065</v>
      </c>
      <c r="B66" s="35" t="str">
        <f t="array" ref="B66">INDEX(bill_counter!C$2:C$1051,MATCH(A66,bill_counter!$D$2:$D$1051,0))</f>
        <v>05/19/2025 15:30:18</v>
      </c>
      <c r="C66" s="36">
        <f>SUMIF(bill_counter!$D$2:$D$1051,$A66,bill_counter!$I$2:$I$1051)</f>
        <v>2750</v>
      </c>
    </row>
    <row r="67">
      <c r="A67" s="34" t="str">
        <f>IFERROR(__xludf.DUMMYFUNCTION("""COMPUTED_VALUE"""),"T066")</f>
        <v>T066</v>
      </c>
      <c r="B67" s="35" t="str">
        <f t="array" ref="B67">INDEX(bill_counter!C$2:C$1051,MATCH(A67,bill_counter!$D$2:$D$1051,0))</f>
        <v>05/19/2025 15:45:18</v>
      </c>
      <c r="C67" s="36">
        <f>SUMIF(bill_counter!$D$2:$D$1051,$A67,bill_counter!$I$2:$I$1051)</f>
        <v>1040</v>
      </c>
    </row>
    <row r="68">
      <c r="A68" s="34" t="str">
        <f>IFERROR(__xludf.DUMMYFUNCTION("""COMPUTED_VALUE"""),"T067")</f>
        <v>T067</v>
      </c>
      <c r="B68" s="35" t="str">
        <f t="array" ref="B68">INDEX(bill_counter!C$2:C$1051,MATCH(A68,bill_counter!$D$2:$D$1051,0))</f>
        <v>05/19/2025 15:58:18</v>
      </c>
      <c r="C68" s="36">
        <f>SUMIF(bill_counter!$D$2:$D$1051,$A68,bill_counter!$I$2:$I$1051)</f>
        <v>2420</v>
      </c>
    </row>
    <row r="69">
      <c r="A69" s="34" t="str">
        <f>IFERROR(__xludf.DUMMYFUNCTION("""COMPUTED_VALUE"""),"T068")</f>
        <v>T068</v>
      </c>
      <c r="B69" s="35" t="str">
        <f t="array" ref="B69">INDEX(bill_counter!C$2:C$1051,MATCH(A69,bill_counter!$D$2:$D$1051,0))</f>
        <v>05/19/2025 16:09:18</v>
      </c>
      <c r="C69" s="36">
        <f>SUMIF(bill_counter!$D$2:$D$1051,$A69,bill_counter!$I$2:$I$1051)</f>
        <v>4550</v>
      </c>
    </row>
    <row r="70">
      <c r="A70" s="34" t="str">
        <f>IFERROR(__xludf.DUMMYFUNCTION("""COMPUTED_VALUE"""),"T069")</f>
        <v>T069</v>
      </c>
      <c r="B70" s="35" t="str">
        <f t="array" ref="B70">INDEX(bill_counter!C$2:C$1051,MATCH(A70,bill_counter!$D$2:$D$1051,0))</f>
        <v>05/19/2025 16:24:18</v>
      </c>
      <c r="C70" s="36">
        <f>SUMIF(bill_counter!$D$2:$D$1051,$A70,bill_counter!$I$2:$I$1051)</f>
        <v>1350</v>
      </c>
    </row>
    <row r="71">
      <c r="A71" s="34" t="str">
        <f>IFERROR(__xludf.DUMMYFUNCTION("""COMPUTED_VALUE"""),"T070")</f>
        <v>T070</v>
      </c>
      <c r="B71" s="35" t="str">
        <f t="array" ref="B71">INDEX(bill_counter!C$2:C$1051,MATCH(A71,bill_counter!$D$2:$D$1051,0))</f>
        <v>05/19/2025 16:35:18</v>
      </c>
      <c r="C71" s="36">
        <f>SUMIF(bill_counter!$D$2:$D$1051,$A71,bill_counter!$I$2:$I$1051)</f>
        <v>4740</v>
      </c>
    </row>
    <row r="72">
      <c r="A72" s="34" t="str">
        <f>IFERROR(__xludf.DUMMYFUNCTION("""COMPUTED_VALUE"""),"T071")</f>
        <v>T071</v>
      </c>
      <c r="B72" s="35" t="str">
        <f t="array" ref="B72">INDEX(bill_counter!C$2:C$1051,MATCH(A72,bill_counter!$D$2:$D$1051,0))</f>
        <v>05/19/2025 16:49:18</v>
      </c>
      <c r="C72" s="36">
        <f>SUMIF(bill_counter!$D$2:$D$1051,$A72,bill_counter!$I$2:$I$1051)</f>
        <v>2870</v>
      </c>
    </row>
    <row r="73">
      <c r="A73" s="34" t="str">
        <f>IFERROR(__xludf.DUMMYFUNCTION("""COMPUTED_VALUE"""),"T072")</f>
        <v>T072</v>
      </c>
      <c r="B73" s="35" t="str">
        <f t="array" ref="B73">INDEX(bill_counter!C$2:C$1051,MATCH(A73,bill_counter!$D$2:$D$1051,0))</f>
        <v>05/19/2025 17:02:18</v>
      </c>
      <c r="C73" s="36">
        <f>SUMIF(bill_counter!$D$2:$D$1051,$A73,bill_counter!$I$2:$I$1051)</f>
        <v>2450</v>
      </c>
    </row>
    <row r="74">
      <c r="A74" s="34" t="str">
        <f>IFERROR(__xludf.DUMMYFUNCTION("""COMPUTED_VALUE"""),"T073")</f>
        <v>T073</v>
      </c>
      <c r="B74" s="35" t="str">
        <f t="array" ref="B74">INDEX(bill_counter!C$2:C$1051,MATCH(A74,bill_counter!$D$2:$D$1051,0))</f>
        <v>05/19/2025 17:15:18</v>
      </c>
      <c r="C74" s="36">
        <f>SUMIF(bill_counter!$D$2:$D$1051,$A74,bill_counter!$I$2:$I$1051)</f>
        <v>1410</v>
      </c>
    </row>
    <row r="75">
      <c r="A75" s="34" t="str">
        <f>IFERROR(__xludf.DUMMYFUNCTION("""COMPUTED_VALUE"""),"T074")</f>
        <v>T074</v>
      </c>
      <c r="B75" s="35" t="str">
        <f t="array" ref="B75">INDEX(bill_counter!C$2:C$1051,MATCH(A75,bill_counter!$D$2:$D$1051,0))</f>
        <v>05/19/2025 17:29:18</v>
      </c>
      <c r="C75" s="36">
        <f>SUMIF(bill_counter!$D$2:$D$1051,$A75,bill_counter!$I$2:$I$1051)</f>
        <v>3060</v>
      </c>
    </row>
    <row r="76">
      <c r="A76" s="34" t="str">
        <f>IFERROR(__xludf.DUMMYFUNCTION("""COMPUTED_VALUE"""),"T075")</f>
        <v>T075</v>
      </c>
      <c r="B76" s="35" t="str">
        <f t="array" ref="B76">INDEX(bill_counter!C$2:C$1051,MATCH(A76,bill_counter!$D$2:$D$1051,0))</f>
        <v>05/19/2025 17:42:18</v>
      </c>
      <c r="C76" s="36">
        <f>SUMIF(bill_counter!$D$2:$D$1051,$A76,bill_counter!$I$2:$I$1051)</f>
        <v>4610</v>
      </c>
    </row>
    <row r="77">
      <c r="A77" s="34" t="str">
        <f>IFERROR(__xludf.DUMMYFUNCTION("""COMPUTED_VALUE"""),"T076")</f>
        <v>T076</v>
      </c>
      <c r="B77" s="35" t="str">
        <f t="array" ref="B77">INDEX(bill_counter!C$2:C$1051,MATCH(A77,bill_counter!$D$2:$D$1051,0))</f>
        <v>05/19/2025 17:52:18</v>
      </c>
      <c r="C77" s="36">
        <f>SUMIF(bill_counter!$D$2:$D$1051,$A77,bill_counter!$I$2:$I$1051)</f>
        <v>1150</v>
      </c>
    </row>
    <row r="78">
      <c r="A78" s="34" t="str">
        <f>IFERROR(__xludf.DUMMYFUNCTION("""COMPUTED_VALUE"""),"T077")</f>
        <v>T077</v>
      </c>
      <c r="B78" s="35" t="str">
        <f t="array" ref="B78">INDEX(bill_counter!C$2:C$1051,MATCH(A78,bill_counter!$D$2:$D$1051,0))</f>
        <v>05/20/2025 9:04:18</v>
      </c>
      <c r="C78" s="36">
        <f>SUMIF(bill_counter!$D$2:$D$1051,$A78,bill_counter!$I$2:$I$1051)</f>
        <v>1280</v>
      </c>
    </row>
    <row r="79">
      <c r="A79" s="34" t="str">
        <f>IFERROR(__xludf.DUMMYFUNCTION("""COMPUTED_VALUE"""),"T078")</f>
        <v>T078</v>
      </c>
      <c r="B79" s="35" t="str">
        <f t="array" ref="B79">INDEX(bill_counter!C$2:C$1051,MATCH(A79,bill_counter!$D$2:$D$1051,0))</f>
        <v>05/20/2025 9:16:19</v>
      </c>
      <c r="C79" s="36">
        <f>SUMIF(bill_counter!$D$2:$D$1051,$A79,bill_counter!$I$2:$I$1051)</f>
        <v>3040</v>
      </c>
    </row>
    <row r="80">
      <c r="A80" s="34" t="str">
        <f>IFERROR(__xludf.DUMMYFUNCTION("""COMPUTED_VALUE"""),"T079")</f>
        <v>T079</v>
      </c>
      <c r="B80" s="35" t="str">
        <f t="array" ref="B80">INDEX(bill_counter!C$2:C$1051,MATCH(A80,bill_counter!$D$2:$D$1051,0))</f>
        <v>05/20/2025 9:41:48</v>
      </c>
      <c r="C80" s="36">
        <f>SUMIF(bill_counter!$D$2:$D$1051,$A80,bill_counter!$I$2:$I$1051)</f>
        <v>320</v>
      </c>
    </row>
    <row r="81">
      <c r="A81" s="34" t="str">
        <f>IFERROR(__xludf.DUMMYFUNCTION("""COMPUTED_VALUE"""),"T080")</f>
        <v>T080</v>
      </c>
      <c r="B81" s="35" t="str">
        <f t="array" ref="B81">INDEX(bill_counter!C$2:C$1051,MATCH(A81,bill_counter!$D$2:$D$1051,0))</f>
        <v>05/20/2025 10:17:38</v>
      </c>
      <c r="C81" s="36">
        <f>SUMIF(bill_counter!$D$2:$D$1051,$A81,bill_counter!$I$2:$I$1051)</f>
        <v>1690</v>
      </c>
    </row>
    <row r="82">
      <c r="A82" s="34" t="str">
        <f>IFERROR(__xludf.DUMMYFUNCTION("""COMPUTED_VALUE"""),"T081")</f>
        <v>T081</v>
      </c>
      <c r="B82" s="35" t="str">
        <f t="array" ref="B82">INDEX(bill_counter!C$2:C$1051,MATCH(A82,bill_counter!$D$2:$D$1051,0))</f>
        <v>05/20/2025 10:39:38</v>
      </c>
      <c r="C82" s="36">
        <f>SUMIF(bill_counter!$D$2:$D$1051,$A82,bill_counter!$I$2:$I$1051)</f>
        <v>8350</v>
      </c>
    </row>
    <row r="83">
      <c r="A83" s="34" t="str">
        <f>IFERROR(__xludf.DUMMYFUNCTION("""COMPUTED_VALUE"""),"T082")</f>
        <v>T082</v>
      </c>
      <c r="B83" s="35" t="str">
        <f t="array" ref="B83">INDEX(bill_counter!C$2:C$1051,MATCH(A83,bill_counter!$D$2:$D$1051,0))</f>
        <v>05/20/2025 10:58:58</v>
      </c>
      <c r="C83" s="36">
        <f>SUMIF(bill_counter!$D$2:$D$1051,$A83,bill_counter!$I$2:$I$1051)</f>
        <v>1590</v>
      </c>
    </row>
    <row r="84">
      <c r="A84" s="34" t="str">
        <f>IFERROR(__xludf.DUMMYFUNCTION("""COMPUTED_VALUE"""),"T083")</f>
        <v>T083</v>
      </c>
      <c r="B84" s="35" t="str">
        <f t="array" ref="B84">INDEX(bill_counter!C$2:C$1051,MATCH(A84,bill_counter!$D$2:$D$1051,0))</f>
        <v>05/20/2025 11:20:20</v>
      </c>
      <c r="C84" s="36">
        <f>SUMIF(bill_counter!$D$2:$D$1051,$A84,bill_counter!$I$2:$I$1051)</f>
        <v>2010</v>
      </c>
    </row>
    <row r="85">
      <c r="A85" s="34" t="str">
        <f>IFERROR(__xludf.DUMMYFUNCTION("""COMPUTED_VALUE"""),"T084")</f>
        <v>T084</v>
      </c>
      <c r="B85" s="35" t="str">
        <f t="array" ref="B85">INDEX(bill_counter!C$2:C$1051,MATCH(A85,bill_counter!$D$2:$D$1051,0))</f>
        <v>05/20/2025 11:30:18</v>
      </c>
      <c r="C85" s="36">
        <f>SUMIF(bill_counter!$D$2:$D$1051,$A85,bill_counter!$I$2:$I$1051)</f>
        <v>2690</v>
      </c>
    </row>
    <row r="86">
      <c r="A86" s="34" t="str">
        <f>IFERROR(__xludf.DUMMYFUNCTION("""COMPUTED_VALUE"""),"T085")</f>
        <v>T085</v>
      </c>
      <c r="B86" s="35" t="str">
        <f t="array" ref="B86">INDEX(bill_counter!C$2:C$1051,MATCH(A86,bill_counter!$D$2:$D$1051,0))</f>
        <v>05/20/2025 11:45:18</v>
      </c>
      <c r="C86" s="36">
        <f>SUMIF(bill_counter!$D$2:$D$1051,$A86,bill_counter!$I$2:$I$1051)</f>
        <v>6090</v>
      </c>
    </row>
    <row r="87">
      <c r="A87" s="34" t="str">
        <f>IFERROR(__xludf.DUMMYFUNCTION("""COMPUTED_VALUE"""),"T086")</f>
        <v>T086</v>
      </c>
      <c r="B87" s="35" t="str">
        <f t="array" ref="B87">INDEX(bill_counter!C$2:C$1051,MATCH(A87,bill_counter!$D$2:$D$1051,0))</f>
        <v>05/20/2025 11:56:18</v>
      </c>
      <c r="C87" s="36">
        <f>SUMIF(bill_counter!$D$2:$D$1051,$A87,bill_counter!$I$2:$I$1051)</f>
        <v>3350</v>
      </c>
    </row>
    <row r="88">
      <c r="A88" s="34" t="str">
        <f>IFERROR(__xludf.DUMMYFUNCTION("""COMPUTED_VALUE"""),"T087")</f>
        <v>T087</v>
      </c>
      <c r="B88" s="35" t="str">
        <f t="array" ref="B88">INDEX(bill_counter!C$2:C$1051,MATCH(A88,bill_counter!$D$2:$D$1051,0))</f>
        <v>05/20/2025 12:10:18</v>
      </c>
      <c r="C88" s="36">
        <f>SUMIF(bill_counter!$D$2:$D$1051,$A88,bill_counter!$I$2:$I$1051)</f>
        <v>4120</v>
      </c>
    </row>
    <row r="89">
      <c r="A89" s="34" t="str">
        <f>IFERROR(__xludf.DUMMYFUNCTION("""COMPUTED_VALUE"""),"T088")</f>
        <v>T088</v>
      </c>
      <c r="B89" s="35" t="str">
        <f t="array" ref="B89">INDEX(bill_counter!C$2:C$1051,MATCH(A89,bill_counter!$D$2:$D$1051,0))</f>
        <v>05/20/2025 12:24:18</v>
      </c>
      <c r="C89" s="36">
        <f>SUMIF(bill_counter!$D$2:$D$1051,$A89,bill_counter!$I$2:$I$1051)</f>
        <v>3670</v>
      </c>
    </row>
    <row r="90">
      <c r="A90" s="34" t="str">
        <f>IFERROR(__xludf.DUMMYFUNCTION("""COMPUTED_VALUE"""),"T089")</f>
        <v>T089</v>
      </c>
      <c r="B90" s="35" t="str">
        <f t="array" ref="B90">INDEX(bill_counter!C$2:C$1051,MATCH(A90,bill_counter!$D$2:$D$1051,0))</f>
        <v>05/20/2025 12:34:18</v>
      </c>
      <c r="C90" s="36">
        <f>SUMIF(bill_counter!$D$2:$D$1051,$A90,bill_counter!$I$2:$I$1051)</f>
        <v>3685</v>
      </c>
    </row>
    <row r="91">
      <c r="A91" s="34" t="str">
        <f>IFERROR(__xludf.DUMMYFUNCTION("""COMPUTED_VALUE"""),"T090")</f>
        <v>T090</v>
      </c>
      <c r="B91" s="35" t="str">
        <f t="array" ref="B91">INDEX(bill_counter!C$2:C$1051,MATCH(A91,bill_counter!$D$2:$D$1051,0))</f>
        <v>05/20/2025 12:47:18</v>
      </c>
      <c r="C91" s="36">
        <f>SUMIF(bill_counter!$D$2:$D$1051,$A91,bill_counter!$I$2:$I$1051)</f>
        <v>1430</v>
      </c>
    </row>
    <row r="92">
      <c r="A92" s="34" t="str">
        <f>IFERROR(__xludf.DUMMYFUNCTION("""COMPUTED_VALUE"""),"T091")</f>
        <v>T091</v>
      </c>
      <c r="B92" s="35" t="str">
        <f t="array" ref="B92">INDEX(bill_counter!C$2:C$1051,MATCH(A92,bill_counter!$D$2:$D$1051,0))</f>
        <v>05/20/2025 12:57:18</v>
      </c>
      <c r="C92" s="36">
        <f>SUMIF(bill_counter!$D$2:$D$1051,$A92,bill_counter!$I$2:$I$1051)</f>
        <v>2545</v>
      </c>
    </row>
    <row r="93">
      <c r="A93" s="34" t="str">
        <f>IFERROR(__xludf.DUMMYFUNCTION("""COMPUTED_VALUE"""),"T092")</f>
        <v>T092</v>
      </c>
      <c r="B93" s="35" t="str">
        <f t="array" ref="B93">INDEX(bill_counter!C$2:C$1051,MATCH(A93,bill_counter!$D$2:$D$1051,0))</f>
        <v>05/20/2025 13:12:18</v>
      </c>
      <c r="C93" s="36">
        <f>SUMIF(bill_counter!$D$2:$D$1051,$A93,bill_counter!$I$2:$I$1051)</f>
        <v>2450</v>
      </c>
    </row>
    <row r="94">
      <c r="A94" s="34" t="str">
        <f>IFERROR(__xludf.DUMMYFUNCTION("""COMPUTED_VALUE"""),"T093")</f>
        <v>T093</v>
      </c>
      <c r="B94" s="35" t="str">
        <f t="array" ref="B94">INDEX(bill_counter!C$2:C$1051,MATCH(A94,bill_counter!$D$2:$D$1051,0))</f>
        <v>05/20/2025 13:25:18</v>
      </c>
      <c r="C94" s="36">
        <f>SUMIF(bill_counter!$D$2:$D$1051,$A94,bill_counter!$I$2:$I$1051)</f>
        <v>3855</v>
      </c>
    </row>
    <row r="95">
      <c r="A95" s="34" t="str">
        <f>IFERROR(__xludf.DUMMYFUNCTION("""COMPUTED_VALUE"""),"T094")</f>
        <v>T094</v>
      </c>
      <c r="B95" s="35" t="str">
        <f t="array" ref="B95">INDEX(bill_counter!C$2:C$1051,MATCH(A95,bill_counter!$D$2:$D$1051,0))</f>
        <v>05/20/2025 13:38:18</v>
      </c>
      <c r="C95" s="36">
        <f>SUMIF(bill_counter!$D$2:$D$1051,$A95,bill_counter!$I$2:$I$1051)</f>
        <v>4700</v>
      </c>
    </row>
    <row r="96">
      <c r="A96" s="34" t="str">
        <f>IFERROR(__xludf.DUMMYFUNCTION("""COMPUTED_VALUE"""),"T095")</f>
        <v>T095</v>
      </c>
      <c r="B96" s="35" t="str">
        <f t="array" ref="B96">INDEX(bill_counter!C$2:C$1051,MATCH(A96,bill_counter!$D$2:$D$1051,0))</f>
        <v>05/20/2025 13:52:18</v>
      </c>
      <c r="C96" s="36">
        <f>SUMIF(bill_counter!$D$2:$D$1051,$A96,bill_counter!$I$2:$I$1051)</f>
        <v>2205</v>
      </c>
    </row>
    <row r="97">
      <c r="A97" s="34" t="str">
        <f>IFERROR(__xludf.DUMMYFUNCTION("""COMPUTED_VALUE"""),"T096")</f>
        <v>T096</v>
      </c>
      <c r="B97" s="35" t="str">
        <f t="array" ref="B97">INDEX(bill_counter!C$2:C$1051,MATCH(A97,bill_counter!$D$2:$D$1051,0))</f>
        <v>05/20/2025 14:06:18</v>
      </c>
      <c r="C97" s="36">
        <f>SUMIF(bill_counter!$D$2:$D$1051,$A97,bill_counter!$I$2:$I$1051)</f>
        <v>5550</v>
      </c>
    </row>
    <row r="98">
      <c r="A98" s="34" t="str">
        <f>IFERROR(__xludf.DUMMYFUNCTION("""COMPUTED_VALUE"""),"T097")</f>
        <v>T097</v>
      </c>
      <c r="B98" s="35" t="str">
        <f t="array" ref="B98">INDEX(bill_counter!C$2:C$1051,MATCH(A98,bill_counter!$D$2:$D$1051,0))</f>
        <v>05/20/2025 14:16:18</v>
      </c>
      <c r="C98" s="36">
        <f>SUMIF(bill_counter!$D$2:$D$1051,$A98,bill_counter!$I$2:$I$1051)</f>
        <v>1440</v>
      </c>
    </row>
    <row r="99">
      <c r="A99" s="34" t="str">
        <f>IFERROR(__xludf.DUMMYFUNCTION("""COMPUTED_VALUE"""),"T098")</f>
        <v>T098</v>
      </c>
      <c r="B99" s="35" t="str">
        <f t="array" ref="B99">INDEX(bill_counter!C$2:C$1051,MATCH(A99,bill_counter!$D$2:$D$1051,0))</f>
        <v>05/20/2025 14:27:18</v>
      </c>
      <c r="C99" s="36">
        <f>SUMIF(bill_counter!$D$2:$D$1051,$A99,bill_counter!$I$2:$I$1051)</f>
        <v>4770</v>
      </c>
    </row>
    <row r="100">
      <c r="A100" s="34" t="str">
        <f>IFERROR(__xludf.DUMMYFUNCTION("""COMPUTED_VALUE"""),"T099")</f>
        <v>T099</v>
      </c>
      <c r="B100" s="35" t="str">
        <f t="array" ref="B100">INDEX(bill_counter!C$2:C$1051,MATCH(A100,bill_counter!$D$2:$D$1051,0))</f>
        <v>05/20/2025 14:42:18</v>
      </c>
      <c r="C100" s="36">
        <f>SUMIF(bill_counter!$D$2:$D$1051,$A100,bill_counter!$I$2:$I$1051)</f>
        <v>5000</v>
      </c>
    </row>
    <row r="101">
      <c r="A101" s="34" t="str">
        <f>IFERROR(__xludf.DUMMYFUNCTION("""COMPUTED_VALUE"""),"T100")</f>
        <v>T100</v>
      </c>
      <c r="B101" s="35" t="str">
        <f t="array" ref="B101">INDEX(bill_counter!C$2:C$1051,MATCH(A101,bill_counter!$D$2:$D$1051,0))</f>
        <v>05/20/2025 14:53:18</v>
      </c>
      <c r="C101" s="36">
        <f>SUMIF(bill_counter!$D$2:$D$1051,$A101,bill_counter!$I$2:$I$1051)</f>
        <v>2830</v>
      </c>
    </row>
    <row r="102">
      <c r="A102" s="34" t="str">
        <f>IFERROR(__xludf.DUMMYFUNCTION("""COMPUTED_VALUE"""),"T101")</f>
        <v>T101</v>
      </c>
      <c r="B102" s="35" t="str">
        <f t="array" ref="B102">INDEX(bill_counter!C$2:C$1051,MATCH(A102,bill_counter!$D$2:$D$1051,0))</f>
        <v>05/20/2025 15:06:18</v>
      </c>
      <c r="C102" s="36">
        <f>SUMIF(bill_counter!$D$2:$D$1051,$A102,bill_counter!$I$2:$I$1051)</f>
        <v>2100</v>
      </c>
    </row>
    <row r="103">
      <c r="A103" s="34" t="str">
        <f>IFERROR(__xludf.DUMMYFUNCTION("""COMPUTED_VALUE"""),"T102")</f>
        <v>T102</v>
      </c>
      <c r="B103" s="35" t="str">
        <f t="array" ref="B103">INDEX(bill_counter!C$2:C$1051,MATCH(A103,bill_counter!$D$2:$D$1051,0))</f>
        <v>05/20/2025 15:18:18</v>
      </c>
      <c r="C103" s="36">
        <f>SUMIF(bill_counter!$D$2:$D$1051,$A103,bill_counter!$I$2:$I$1051)</f>
        <v>5050</v>
      </c>
    </row>
    <row r="104">
      <c r="A104" s="34" t="str">
        <f>IFERROR(__xludf.DUMMYFUNCTION("""COMPUTED_VALUE"""),"T103")</f>
        <v>T103</v>
      </c>
      <c r="B104" s="35" t="str">
        <f t="array" ref="B104">INDEX(bill_counter!C$2:C$1051,MATCH(A104,bill_counter!$D$2:$D$1051,0))</f>
        <v>05/20/2025 15:30:18</v>
      </c>
      <c r="C104" s="36">
        <f>SUMIF(bill_counter!$D$2:$D$1051,$A104,bill_counter!$I$2:$I$1051)</f>
        <v>7950</v>
      </c>
    </row>
    <row r="105">
      <c r="A105" s="34" t="str">
        <f>IFERROR(__xludf.DUMMYFUNCTION("""COMPUTED_VALUE"""),"T104")</f>
        <v>T104</v>
      </c>
      <c r="B105" s="35" t="str">
        <f t="array" ref="B105">INDEX(bill_counter!C$2:C$1051,MATCH(A105,bill_counter!$D$2:$D$1051,0))</f>
        <v>05/20/2025 15:45:18</v>
      </c>
      <c r="C105" s="36">
        <f>SUMIF(bill_counter!$D$2:$D$1051,$A105,bill_counter!$I$2:$I$1051)</f>
        <v>2430</v>
      </c>
    </row>
    <row r="106">
      <c r="A106" s="34" t="str">
        <f>IFERROR(__xludf.DUMMYFUNCTION("""COMPUTED_VALUE"""),"T105")</f>
        <v>T105</v>
      </c>
      <c r="B106" s="35" t="str">
        <f t="array" ref="B106">INDEX(bill_counter!C$2:C$1051,MATCH(A106,bill_counter!$D$2:$D$1051,0))</f>
        <v>05/20/2025 15:58:18</v>
      </c>
      <c r="C106" s="36">
        <f>SUMIF(bill_counter!$D$2:$D$1051,$A106,bill_counter!$I$2:$I$1051)</f>
        <v>2125</v>
      </c>
    </row>
    <row r="107">
      <c r="A107" s="34" t="str">
        <f>IFERROR(__xludf.DUMMYFUNCTION("""COMPUTED_VALUE"""),"T106")</f>
        <v>T106</v>
      </c>
      <c r="B107" s="35" t="str">
        <f t="array" ref="B107">INDEX(bill_counter!C$2:C$1051,MATCH(A107,bill_counter!$D$2:$D$1051,0))</f>
        <v>05/20/2025 16:09:18</v>
      </c>
      <c r="C107" s="36">
        <f>SUMIF(bill_counter!$D$2:$D$1051,$A107,bill_counter!$I$2:$I$1051)</f>
        <v>2020</v>
      </c>
    </row>
    <row r="108">
      <c r="A108" s="34" t="str">
        <f>IFERROR(__xludf.DUMMYFUNCTION("""COMPUTED_VALUE"""),"T107")</f>
        <v>T107</v>
      </c>
      <c r="B108" s="35" t="str">
        <f t="array" ref="B108">INDEX(bill_counter!C$2:C$1051,MATCH(A108,bill_counter!$D$2:$D$1051,0))</f>
        <v>05/20/2025 16:24:18</v>
      </c>
      <c r="C108" s="36">
        <f>SUMIF(bill_counter!$D$2:$D$1051,$A108,bill_counter!$I$2:$I$1051)</f>
        <v>1840</v>
      </c>
    </row>
    <row r="109">
      <c r="A109" s="34" t="str">
        <f>IFERROR(__xludf.DUMMYFUNCTION("""COMPUTED_VALUE"""),"T108")</f>
        <v>T108</v>
      </c>
      <c r="B109" s="35" t="str">
        <f t="array" ref="B109">INDEX(bill_counter!C$2:C$1051,MATCH(A109,bill_counter!$D$2:$D$1051,0))</f>
        <v>05/20/2025 16:35:18</v>
      </c>
      <c r="C109" s="36">
        <f>SUMIF(bill_counter!$D$2:$D$1051,$A109,bill_counter!$I$2:$I$1051)</f>
        <v>4620</v>
      </c>
    </row>
    <row r="110">
      <c r="A110" s="34" t="str">
        <f>IFERROR(__xludf.DUMMYFUNCTION("""COMPUTED_VALUE"""),"T109")</f>
        <v>T109</v>
      </c>
      <c r="B110" s="35" t="str">
        <f t="array" ref="B110">INDEX(bill_counter!C$2:C$1051,MATCH(A110,bill_counter!$D$2:$D$1051,0))</f>
        <v>05/20/2025 16:49:18</v>
      </c>
      <c r="C110" s="36">
        <f>SUMIF(bill_counter!$D$2:$D$1051,$A110,bill_counter!$I$2:$I$1051)</f>
        <v>2600</v>
      </c>
    </row>
    <row r="111">
      <c r="A111" s="34" t="str">
        <f>IFERROR(__xludf.DUMMYFUNCTION("""COMPUTED_VALUE"""),"T110")</f>
        <v>T110</v>
      </c>
      <c r="B111" s="35" t="str">
        <f t="array" ref="B111">INDEX(bill_counter!C$2:C$1051,MATCH(A111,bill_counter!$D$2:$D$1051,0))</f>
        <v>05/20/2025 17:02:18</v>
      </c>
      <c r="C111" s="36">
        <f>SUMIF(bill_counter!$D$2:$D$1051,$A111,bill_counter!$I$2:$I$1051)</f>
        <v>6130</v>
      </c>
    </row>
    <row r="112">
      <c r="A112" s="34" t="str">
        <f>IFERROR(__xludf.DUMMYFUNCTION("""COMPUTED_VALUE"""),"T111")</f>
        <v>T111</v>
      </c>
      <c r="B112" s="35" t="str">
        <f t="array" ref="B112">INDEX(bill_counter!C$2:C$1051,MATCH(A112,bill_counter!$D$2:$D$1051,0))</f>
        <v>05/20/2025 17:15:18</v>
      </c>
      <c r="C112" s="36">
        <f>SUMIF(bill_counter!$D$2:$D$1051,$A112,bill_counter!$I$2:$I$1051)</f>
        <v>980</v>
      </c>
    </row>
    <row r="113">
      <c r="A113" s="34" t="str">
        <f>IFERROR(__xludf.DUMMYFUNCTION("""COMPUTED_VALUE"""),"T112")</f>
        <v>T112</v>
      </c>
      <c r="B113" s="35" t="str">
        <f t="array" ref="B113">INDEX(bill_counter!C$2:C$1051,MATCH(A113,bill_counter!$D$2:$D$1051,0))</f>
        <v>05/20/2025 17:29:18</v>
      </c>
      <c r="C113" s="36">
        <f>SUMIF(bill_counter!$D$2:$D$1051,$A113,bill_counter!$I$2:$I$1051)</f>
        <v>2320</v>
      </c>
    </row>
    <row r="114">
      <c r="A114" s="34" t="str">
        <f>IFERROR(__xludf.DUMMYFUNCTION("""COMPUTED_VALUE"""),"T113")</f>
        <v>T113</v>
      </c>
      <c r="B114" s="35" t="str">
        <f t="array" ref="B114">INDEX(bill_counter!C$2:C$1051,MATCH(A114,bill_counter!$D$2:$D$1051,0))</f>
        <v>05/20/2025 17:42:18</v>
      </c>
      <c r="C114" s="36">
        <f>SUMIF(bill_counter!$D$2:$D$1051,$A114,bill_counter!$I$2:$I$1051)</f>
        <v>2655</v>
      </c>
    </row>
    <row r="115">
      <c r="A115" s="34" t="str">
        <f>IFERROR(__xludf.DUMMYFUNCTION("""COMPUTED_VALUE"""),"T114")</f>
        <v>T114</v>
      </c>
      <c r="B115" s="35" t="str">
        <f t="array" ref="B115">INDEX(bill_counter!C$2:C$1051,MATCH(A115,bill_counter!$D$2:$D$1051,0))</f>
        <v>05/20/2025 17:52:18</v>
      </c>
      <c r="C115" s="36">
        <f>SUMIF(bill_counter!$D$2:$D$1051,$A115,bill_counter!$I$2:$I$1051)</f>
        <v>1970</v>
      </c>
    </row>
    <row r="116">
      <c r="A116" s="34" t="str">
        <f>IFERROR(__xludf.DUMMYFUNCTION("""COMPUTED_VALUE"""),"T115")</f>
        <v>T115</v>
      </c>
      <c r="B116" s="35" t="str">
        <f t="array" ref="B116">INDEX(bill_counter!C$2:C$1051,MATCH(A116,bill_counter!$D$2:$D$1051,0))</f>
        <v>05/21/2025 9:04:18</v>
      </c>
      <c r="C116" s="36">
        <f>SUMIF(bill_counter!$D$2:$D$1051,$A116,bill_counter!$I$2:$I$1051)</f>
        <v>2420</v>
      </c>
    </row>
    <row r="117">
      <c r="A117" s="34" t="str">
        <f>IFERROR(__xludf.DUMMYFUNCTION("""COMPUTED_VALUE"""),"T116")</f>
        <v>T116</v>
      </c>
      <c r="B117" s="35" t="str">
        <f t="array" ref="B117">INDEX(bill_counter!C$2:C$1051,MATCH(A117,bill_counter!$D$2:$D$1051,0))</f>
        <v>05/21/2025 9:16:19</v>
      </c>
      <c r="C117" s="36">
        <f>SUMIF(bill_counter!$D$2:$D$1051,$A117,bill_counter!$I$2:$I$1051)</f>
        <v>3360</v>
      </c>
    </row>
    <row r="118">
      <c r="A118" s="34" t="str">
        <f>IFERROR(__xludf.DUMMYFUNCTION("""COMPUTED_VALUE"""),"T117")</f>
        <v>T117</v>
      </c>
      <c r="B118" s="35" t="str">
        <f t="array" ref="B118">INDEX(bill_counter!C$2:C$1051,MATCH(A118,bill_counter!$D$2:$D$1051,0))</f>
        <v>05/21/2025 9:41:48</v>
      </c>
      <c r="C118" s="36">
        <f>SUMIF(bill_counter!$D$2:$D$1051,$A118,bill_counter!$I$2:$I$1051)</f>
        <v>500</v>
      </c>
    </row>
    <row r="119">
      <c r="A119" s="34" t="str">
        <f>IFERROR(__xludf.DUMMYFUNCTION("""COMPUTED_VALUE"""),"T118")</f>
        <v>T118</v>
      </c>
      <c r="B119" s="35" t="str">
        <f t="array" ref="B119">INDEX(bill_counter!C$2:C$1051,MATCH(A119,bill_counter!$D$2:$D$1051,0))</f>
        <v>05/21/2025 10:17:38</v>
      </c>
      <c r="C119" s="36">
        <f>SUMIF(bill_counter!$D$2:$D$1051,$A119,bill_counter!$I$2:$I$1051)</f>
        <v>3640</v>
      </c>
    </row>
    <row r="120">
      <c r="A120" s="34" t="str">
        <f>IFERROR(__xludf.DUMMYFUNCTION("""COMPUTED_VALUE"""),"T119")</f>
        <v>T119</v>
      </c>
      <c r="B120" s="35" t="str">
        <f t="array" ref="B120">INDEX(bill_counter!C$2:C$1051,MATCH(A120,bill_counter!$D$2:$D$1051,0))</f>
        <v>05/21/2025 10:39:38</v>
      </c>
      <c r="C120" s="36">
        <f>SUMIF(bill_counter!$D$2:$D$1051,$A120,bill_counter!$I$2:$I$1051)</f>
        <v>3330</v>
      </c>
    </row>
    <row r="121">
      <c r="A121" s="34" t="str">
        <f>IFERROR(__xludf.DUMMYFUNCTION("""COMPUTED_VALUE"""),"T120")</f>
        <v>T120</v>
      </c>
      <c r="B121" s="35" t="str">
        <f t="array" ref="B121">INDEX(bill_counter!C$2:C$1051,MATCH(A121,bill_counter!$D$2:$D$1051,0))</f>
        <v>05/21/2025 10:58:58</v>
      </c>
      <c r="C121" s="36">
        <f>SUMIF(bill_counter!$D$2:$D$1051,$A121,bill_counter!$I$2:$I$1051)</f>
        <v>5880</v>
      </c>
    </row>
    <row r="122">
      <c r="A122" s="34" t="str">
        <f>IFERROR(__xludf.DUMMYFUNCTION("""COMPUTED_VALUE"""),"T121")</f>
        <v>T121</v>
      </c>
      <c r="B122" s="35" t="str">
        <f t="array" ref="B122">INDEX(bill_counter!C$2:C$1051,MATCH(A122,bill_counter!$D$2:$D$1051,0))</f>
        <v>05/21/2025 11:20:20</v>
      </c>
      <c r="C122" s="36">
        <f>SUMIF(bill_counter!$D$2:$D$1051,$A122,bill_counter!$I$2:$I$1051)</f>
        <v>1000</v>
      </c>
    </row>
    <row r="123">
      <c r="A123" s="34" t="str">
        <f>IFERROR(__xludf.DUMMYFUNCTION("""COMPUTED_VALUE"""),"T122")</f>
        <v>T122</v>
      </c>
      <c r="B123" s="35" t="str">
        <f t="array" ref="B123">INDEX(bill_counter!C$2:C$1051,MATCH(A123,bill_counter!$D$2:$D$1051,0))</f>
        <v>05/21/2025 11:30:18</v>
      </c>
      <c r="C123" s="36">
        <f>SUMIF(bill_counter!$D$2:$D$1051,$A123,bill_counter!$I$2:$I$1051)</f>
        <v>3420</v>
      </c>
    </row>
    <row r="124">
      <c r="A124" s="34" t="str">
        <f>IFERROR(__xludf.DUMMYFUNCTION("""COMPUTED_VALUE"""),"T123")</f>
        <v>T123</v>
      </c>
      <c r="B124" s="35" t="str">
        <f t="array" ref="B124">INDEX(bill_counter!C$2:C$1051,MATCH(A124,bill_counter!$D$2:$D$1051,0))</f>
        <v>05/21/2025 11:45:18</v>
      </c>
      <c r="C124" s="36">
        <f>SUMIF(bill_counter!$D$2:$D$1051,$A124,bill_counter!$I$2:$I$1051)</f>
        <v>3030</v>
      </c>
    </row>
    <row r="125">
      <c r="A125" s="34" t="str">
        <f>IFERROR(__xludf.DUMMYFUNCTION("""COMPUTED_VALUE"""),"T124")</f>
        <v>T124</v>
      </c>
      <c r="B125" s="35" t="str">
        <f t="array" ref="B125">INDEX(bill_counter!C$2:C$1051,MATCH(A125,bill_counter!$D$2:$D$1051,0))</f>
        <v>05/21/2025 11:56:18</v>
      </c>
      <c r="C125" s="36">
        <f>SUMIF(bill_counter!$D$2:$D$1051,$A125,bill_counter!$I$2:$I$1051)</f>
        <v>5120</v>
      </c>
    </row>
    <row r="126">
      <c r="A126" s="34" t="str">
        <f>IFERROR(__xludf.DUMMYFUNCTION("""COMPUTED_VALUE"""),"T125")</f>
        <v>T125</v>
      </c>
      <c r="B126" s="35" t="str">
        <f t="array" ref="B126">INDEX(bill_counter!C$2:C$1051,MATCH(A126,bill_counter!$D$2:$D$1051,0))</f>
        <v>05/21/2025 12:10:18</v>
      </c>
      <c r="C126" s="36">
        <f>SUMIF(bill_counter!$D$2:$D$1051,$A126,bill_counter!$I$2:$I$1051)</f>
        <v>2960</v>
      </c>
    </row>
    <row r="127">
      <c r="A127" s="34" t="str">
        <f>IFERROR(__xludf.DUMMYFUNCTION("""COMPUTED_VALUE"""),"T126")</f>
        <v>T126</v>
      </c>
      <c r="B127" s="35" t="str">
        <f t="array" ref="B127">INDEX(bill_counter!C$2:C$1051,MATCH(A127,bill_counter!$D$2:$D$1051,0))</f>
        <v>05/21/2025 12:24:18</v>
      </c>
      <c r="C127" s="36">
        <f>SUMIF(bill_counter!$D$2:$D$1051,$A127,bill_counter!$I$2:$I$1051)</f>
        <v>10100</v>
      </c>
    </row>
    <row r="128">
      <c r="A128" s="34" t="str">
        <f>IFERROR(__xludf.DUMMYFUNCTION("""COMPUTED_VALUE"""),"T127")</f>
        <v>T127</v>
      </c>
      <c r="B128" s="35" t="str">
        <f t="array" ref="B128">INDEX(bill_counter!C$2:C$1051,MATCH(A128,bill_counter!$D$2:$D$1051,0))</f>
        <v>05/21/2025 12:34:18</v>
      </c>
      <c r="C128" s="36">
        <f>SUMIF(bill_counter!$D$2:$D$1051,$A128,bill_counter!$I$2:$I$1051)</f>
        <v>3730</v>
      </c>
    </row>
    <row r="129">
      <c r="A129" s="34" t="str">
        <f>IFERROR(__xludf.DUMMYFUNCTION("""COMPUTED_VALUE"""),"T128")</f>
        <v>T128</v>
      </c>
      <c r="B129" s="35" t="str">
        <f t="array" ref="B129">INDEX(bill_counter!C$2:C$1051,MATCH(A129,bill_counter!$D$2:$D$1051,0))</f>
        <v>05/21/2025 12:47:18</v>
      </c>
      <c r="C129" s="36">
        <f>SUMIF(bill_counter!$D$2:$D$1051,$A129,bill_counter!$I$2:$I$1051)</f>
        <v>2380</v>
      </c>
    </row>
    <row r="130">
      <c r="A130" s="34" t="str">
        <f>IFERROR(__xludf.DUMMYFUNCTION("""COMPUTED_VALUE"""),"T129")</f>
        <v>T129</v>
      </c>
      <c r="B130" s="35" t="str">
        <f t="array" ref="B130">INDEX(bill_counter!C$2:C$1051,MATCH(A130,bill_counter!$D$2:$D$1051,0))</f>
        <v>05/21/2025 12:57:18</v>
      </c>
      <c r="C130" s="36">
        <f>SUMIF(bill_counter!$D$2:$D$1051,$A130,bill_counter!$I$2:$I$1051)</f>
        <v>2340</v>
      </c>
    </row>
    <row r="131">
      <c r="A131" s="34" t="str">
        <f>IFERROR(__xludf.DUMMYFUNCTION("""COMPUTED_VALUE"""),"T130")</f>
        <v>T130</v>
      </c>
      <c r="B131" s="35" t="str">
        <f t="array" ref="B131">INDEX(bill_counter!C$2:C$1051,MATCH(A131,bill_counter!$D$2:$D$1051,0))</f>
        <v>05/21/2025 13:12:18</v>
      </c>
      <c r="C131" s="36">
        <f>SUMIF(bill_counter!$D$2:$D$1051,$A131,bill_counter!$I$2:$I$1051)</f>
        <v>1180</v>
      </c>
    </row>
    <row r="132">
      <c r="A132" s="34" t="str">
        <f>IFERROR(__xludf.DUMMYFUNCTION("""COMPUTED_VALUE"""),"T131")</f>
        <v>T131</v>
      </c>
      <c r="B132" s="35" t="str">
        <f t="array" ref="B132">INDEX(bill_counter!C$2:C$1051,MATCH(A132,bill_counter!$D$2:$D$1051,0))</f>
        <v>05/21/2025 13:25:18</v>
      </c>
      <c r="C132" s="36">
        <f>SUMIF(bill_counter!$D$2:$D$1051,$A132,bill_counter!$I$2:$I$1051)</f>
        <v>3375</v>
      </c>
    </row>
    <row r="133">
      <c r="A133" s="34" t="str">
        <f>IFERROR(__xludf.DUMMYFUNCTION("""COMPUTED_VALUE"""),"T132")</f>
        <v>T132</v>
      </c>
      <c r="B133" s="35" t="str">
        <f t="array" ref="B133">INDEX(bill_counter!C$2:C$1051,MATCH(A133,bill_counter!$D$2:$D$1051,0))</f>
        <v>05/21/2025 13:38:18</v>
      </c>
      <c r="C133" s="36">
        <f>SUMIF(bill_counter!$D$2:$D$1051,$A133,bill_counter!$I$2:$I$1051)</f>
        <v>3650</v>
      </c>
    </row>
    <row r="134">
      <c r="A134" s="34" t="str">
        <f>IFERROR(__xludf.DUMMYFUNCTION("""COMPUTED_VALUE"""),"T133")</f>
        <v>T133</v>
      </c>
      <c r="B134" s="35" t="str">
        <f t="array" ref="B134">INDEX(bill_counter!C$2:C$1051,MATCH(A134,bill_counter!$D$2:$D$1051,0))</f>
        <v>05/21/2025 13:52:18</v>
      </c>
      <c r="C134" s="36">
        <f>SUMIF(bill_counter!$D$2:$D$1051,$A134,bill_counter!$I$2:$I$1051)</f>
        <v>4530</v>
      </c>
    </row>
    <row r="135">
      <c r="A135" s="34" t="str">
        <f>IFERROR(__xludf.DUMMYFUNCTION("""COMPUTED_VALUE"""),"T134")</f>
        <v>T134</v>
      </c>
      <c r="B135" s="35" t="str">
        <f t="array" ref="B135">INDEX(bill_counter!C$2:C$1051,MATCH(A135,bill_counter!$D$2:$D$1051,0))</f>
        <v>05/21/2025 14:06:18</v>
      </c>
      <c r="C135" s="36">
        <f>SUMIF(bill_counter!$D$2:$D$1051,$A135,bill_counter!$I$2:$I$1051)</f>
        <v>8430</v>
      </c>
    </row>
    <row r="136">
      <c r="A136" s="34" t="str">
        <f>IFERROR(__xludf.DUMMYFUNCTION("""COMPUTED_VALUE"""),"T135")</f>
        <v>T135</v>
      </c>
      <c r="B136" s="35" t="str">
        <f t="array" ref="B136">INDEX(bill_counter!C$2:C$1051,MATCH(A136,bill_counter!$D$2:$D$1051,0))</f>
        <v>05/21/2025 14:16:18</v>
      </c>
      <c r="C136" s="36">
        <f>SUMIF(bill_counter!$D$2:$D$1051,$A136,bill_counter!$I$2:$I$1051)</f>
        <v>970</v>
      </c>
    </row>
    <row r="137">
      <c r="A137" s="34" t="str">
        <f>IFERROR(__xludf.DUMMYFUNCTION("""COMPUTED_VALUE"""),"T136")</f>
        <v>T136</v>
      </c>
      <c r="B137" s="35" t="str">
        <f t="array" ref="B137">INDEX(bill_counter!C$2:C$1051,MATCH(A137,bill_counter!$D$2:$D$1051,0))</f>
        <v>05/21/2025 14:27:18</v>
      </c>
      <c r="C137" s="36">
        <f>SUMIF(bill_counter!$D$2:$D$1051,$A137,bill_counter!$I$2:$I$1051)</f>
        <v>5600</v>
      </c>
    </row>
    <row r="138">
      <c r="A138" s="34" t="str">
        <f>IFERROR(__xludf.DUMMYFUNCTION("""COMPUTED_VALUE"""),"T137")</f>
        <v>T137</v>
      </c>
      <c r="B138" s="35" t="str">
        <f t="array" ref="B138">INDEX(bill_counter!C$2:C$1051,MATCH(A138,bill_counter!$D$2:$D$1051,0))</f>
        <v>05/21/2025 14:42:18</v>
      </c>
      <c r="C138" s="36">
        <f>SUMIF(bill_counter!$D$2:$D$1051,$A138,bill_counter!$I$2:$I$1051)</f>
        <v>3980</v>
      </c>
    </row>
    <row r="139">
      <c r="A139" s="34" t="str">
        <f>IFERROR(__xludf.DUMMYFUNCTION("""COMPUTED_VALUE"""),"T138")</f>
        <v>T138</v>
      </c>
      <c r="B139" s="35" t="str">
        <f t="array" ref="B139">INDEX(bill_counter!C$2:C$1051,MATCH(A139,bill_counter!$D$2:$D$1051,0))</f>
        <v>05/21/2025 14:53:18</v>
      </c>
      <c r="C139" s="36">
        <f>SUMIF(bill_counter!$D$2:$D$1051,$A139,bill_counter!$I$2:$I$1051)</f>
        <v>1380</v>
      </c>
    </row>
    <row r="140">
      <c r="A140" s="34" t="str">
        <f>IFERROR(__xludf.DUMMYFUNCTION("""COMPUTED_VALUE"""),"T139")</f>
        <v>T139</v>
      </c>
      <c r="B140" s="35" t="str">
        <f t="array" ref="B140">INDEX(bill_counter!C$2:C$1051,MATCH(A140,bill_counter!$D$2:$D$1051,0))</f>
        <v>05/21/2025 15:06:18</v>
      </c>
      <c r="C140" s="36">
        <f>SUMIF(bill_counter!$D$2:$D$1051,$A140,bill_counter!$I$2:$I$1051)</f>
        <v>3530</v>
      </c>
    </row>
    <row r="141">
      <c r="A141" s="34" t="str">
        <f>IFERROR(__xludf.DUMMYFUNCTION("""COMPUTED_VALUE"""),"T140")</f>
        <v>T140</v>
      </c>
      <c r="B141" s="35" t="str">
        <f t="array" ref="B141">INDEX(bill_counter!C$2:C$1051,MATCH(A141,bill_counter!$D$2:$D$1051,0))</f>
        <v>05/21/2025 15:18:18</v>
      </c>
      <c r="C141" s="36">
        <f>SUMIF(bill_counter!$D$2:$D$1051,$A141,bill_counter!$I$2:$I$1051)</f>
        <v>3660</v>
      </c>
    </row>
    <row r="142">
      <c r="A142" s="34" t="str">
        <f>IFERROR(__xludf.DUMMYFUNCTION("""COMPUTED_VALUE"""),"T141")</f>
        <v>T141</v>
      </c>
      <c r="B142" s="35" t="str">
        <f t="array" ref="B142">INDEX(bill_counter!C$2:C$1051,MATCH(A142,bill_counter!$D$2:$D$1051,0))</f>
        <v>05/21/2025 15:30:18</v>
      </c>
      <c r="C142" s="36">
        <f>SUMIF(bill_counter!$D$2:$D$1051,$A142,bill_counter!$I$2:$I$1051)</f>
        <v>1240</v>
      </c>
    </row>
    <row r="143">
      <c r="A143" s="34" t="str">
        <f>IFERROR(__xludf.DUMMYFUNCTION("""COMPUTED_VALUE"""),"T142")</f>
        <v>T142</v>
      </c>
      <c r="B143" s="35" t="str">
        <f t="array" ref="B143">INDEX(bill_counter!C$2:C$1051,MATCH(A143,bill_counter!$D$2:$D$1051,0))</f>
        <v>05/21/2025 15:45:18</v>
      </c>
      <c r="C143" s="36">
        <f>SUMIF(bill_counter!$D$2:$D$1051,$A143,bill_counter!$I$2:$I$1051)</f>
        <v>410</v>
      </c>
    </row>
    <row r="144">
      <c r="A144" s="34" t="str">
        <f>IFERROR(__xludf.DUMMYFUNCTION("""COMPUTED_VALUE"""),"T143")</f>
        <v>T143</v>
      </c>
      <c r="B144" s="35" t="str">
        <f t="array" ref="B144">INDEX(bill_counter!C$2:C$1051,MATCH(A144,bill_counter!$D$2:$D$1051,0))</f>
        <v>05/21/2025 15:58:18</v>
      </c>
      <c r="C144" s="36">
        <f>SUMIF(bill_counter!$D$2:$D$1051,$A144,bill_counter!$I$2:$I$1051)</f>
        <v>1000</v>
      </c>
    </row>
    <row r="145">
      <c r="A145" s="34" t="str">
        <f>IFERROR(__xludf.DUMMYFUNCTION("""COMPUTED_VALUE"""),"T144")</f>
        <v>T144</v>
      </c>
      <c r="B145" s="35" t="str">
        <f t="array" ref="B145">INDEX(bill_counter!C$2:C$1051,MATCH(A145,bill_counter!$D$2:$D$1051,0))</f>
        <v>05/21/2025 16:09:18</v>
      </c>
      <c r="C145" s="36">
        <f>SUMIF(bill_counter!$D$2:$D$1051,$A145,bill_counter!$I$2:$I$1051)</f>
        <v>1700</v>
      </c>
    </row>
    <row r="146">
      <c r="A146" s="34" t="str">
        <f>IFERROR(__xludf.DUMMYFUNCTION("""COMPUTED_VALUE"""),"T145")</f>
        <v>T145</v>
      </c>
      <c r="B146" s="35" t="str">
        <f t="array" ref="B146">INDEX(bill_counter!C$2:C$1051,MATCH(A146,bill_counter!$D$2:$D$1051,0))</f>
        <v>05/21/2025 16:24:18</v>
      </c>
      <c r="C146" s="36">
        <f>SUMIF(bill_counter!$D$2:$D$1051,$A146,bill_counter!$I$2:$I$1051)</f>
        <v>2900</v>
      </c>
    </row>
    <row r="147">
      <c r="A147" s="34" t="str">
        <f>IFERROR(__xludf.DUMMYFUNCTION("""COMPUTED_VALUE"""),"T146")</f>
        <v>T146</v>
      </c>
      <c r="B147" s="35" t="str">
        <f t="array" ref="B147">INDEX(bill_counter!C$2:C$1051,MATCH(A147,bill_counter!$D$2:$D$1051,0))</f>
        <v>05/21/2025 16:35:18</v>
      </c>
      <c r="C147" s="36">
        <f>SUMIF(bill_counter!$D$2:$D$1051,$A147,bill_counter!$I$2:$I$1051)</f>
        <v>3240</v>
      </c>
    </row>
    <row r="148">
      <c r="A148" s="34" t="str">
        <f>IFERROR(__xludf.DUMMYFUNCTION("""COMPUTED_VALUE"""),"T147")</f>
        <v>T147</v>
      </c>
      <c r="B148" s="35" t="str">
        <f t="array" ref="B148">INDEX(bill_counter!C$2:C$1051,MATCH(A148,bill_counter!$D$2:$D$1051,0))</f>
        <v>05/21/2025 16:49:18</v>
      </c>
      <c r="C148" s="36">
        <f>SUMIF(bill_counter!$D$2:$D$1051,$A148,bill_counter!$I$2:$I$1051)</f>
        <v>4990</v>
      </c>
    </row>
    <row r="149">
      <c r="A149" s="34" t="str">
        <f>IFERROR(__xludf.DUMMYFUNCTION("""COMPUTED_VALUE"""),"T148")</f>
        <v>T148</v>
      </c>
      <c r="B149" s="35" t="str">
        <f t="array" ref="B149">INDEX(bill_counter!C$2:C$1051,MATCH(A149,bill_counter!$D$2:$D$1051,0))</f>
        <v>05/21/2025 17:02:18</v>
      </c>
      <c r="C149" s="36">
        <f>SUMIF(bill_counter!$D$2:$D$1051,$A149,bill_counter!$I$2:$I$1051)</f>
        <v>7400</v>
      </c>
    </row>
    <row r="150">
      <c r="A150" s="34" t="str">
        <f>IFERROR(__xludf.DUMMYFUNCTION("""COMPUTED_VALUE"""),"T149")</f>
        <v>T149</v>
      </c>
      <c r="B150" s="35" t="str">
        <f t="array" ref="B150">INDEX(bill_counter!C$2:C$1051,MATCH(A150,bill_counter!$D$2:$D$1051,0))</f>
        <v>05/21/2025 17:15:18</v>
      </c>
      <c r="C150" s="36">
        <f>SUMIF(bill_counter!$D$2:$D$1051,$A150,bill_counter!$I$2:$I$1051)</f>
        <v>1100</v>
      </c>
    </row>
    <row r="151">
      <c r="A151" s="34" t="str">
        <f>IFERROR(__xludf.DUMMYFUNCTION("""COMPUTED_VALUE"""),"T150")</f>
        <v>T150</v>
      </c>
      <c r="B151" s="35" t="str">
        <f t="array" ref="B151">INDEX(bill_counter!C$2:C$1051,MATCH(A151,bill_counter!$D$2:$D$1051,0))</f>
        <v>05/21/2025 17:29:18</v>
      </c>
      <c r="C151" s="36">
        <f>SUMIF(bill_counter!$D$2:$D$1051,$A151,bill_counter!$I$2:$I$1051)</f>
        <v>4100</v>
      </c>
    </row>
    <row r="152">
      <c r="A152" s="34" t="str">
        <f>IFERROR(__xludf.DUMMYFUNCTION("""COMPUTED_VALUE"""),"T151")</f>
        <v>T151</v>
      </c>
      <c r="B152" s="35" t="str">
        <f t="array" ref="B152">INDEX(bill_counter!C$2:C$1051,MATCH(A152,bill_counter!$D$2:$D$1051,0))</f>
        <v>05/21/2025 17:42:18</v>
      </c>
      <c r="C152" s="36">
        <f>SUMIF(bill_counter!$D$2:$D$1051,$A152,bill_counter!$I$2:$I$1051)</f>
        <v>1560</v>
      </c>
    </row>
    <row r="153">
      <c r="A153" s="34" t="str">
        <f>IFERROR(__xludf.DUMMYFUNCTION("""COMPUTED_VALUE"""),"T152")</f>
        <v>T152</v>
      </c>
      <c r="B153" s="35" t="str">
        <f t="array" ref="B153">INDEX(bill_counter!C$2:C$1051,MATCH(A153,bill_counter!$D$2:$D$1051,0))</f>
        <v>05/21/2025 17:52:18</v>
      </c>
      <c r="C153" s="36">
        <f>SUMIF(bill_counter!$D$2:$D$1051,$A153,bill_counter!$I$2:$I$1051)</f>
        <v>4400</v>
      </c>
    </row>
    <row r="154">
      <c r="A154" s="34" t="str">
        <f>IFERROR(__xludf.DUMMYFUNCTION("""COMPUTED_VALUE"""),"T153")</f>
        <v>T153</v>
      </c>
      <c r="B154" s="35" t="str">
        <f t="array" ref="B154">INDEX(bill_counter!C$2:C$1051,MATCH(A154,bill_counter!$D$2:$D$1051,0))</f>
        <v>05/22/2025 9:04:18</v>
      </c>
      <c r="C154" s="36">
        <f>SUMIF(bill_counter!$D$2:$D$1051,$A154,bill_counter!$I$2:$I$1051)</f>
        <v>3440</v>
      </c>
    </row>
    <row r="155">
      <c r="A155" s="34" t="str">
        <f>IFERROR(__xludf.DUMMYFUNCTION("""COMPUTED_VALUE"""),"T154")</f>
        <v>T154</v>
      </c>
      <c r="B155" s="35" t="str">
        <f t="array" ref="B155">INDEX(bill_counter!C$2:C$1051,MATCH(A155,bill_counter!$D$2:$D$1051,0))</f>
        <v>05/22/2025 9:16:19</v>
      </c>
      <c r="C155" s="36">
        <f>SUMIF(bill_counter!$D$2:$D$1051,$A155,bill_counter!$I$2:$I$1051)</f>
        <v>5100</v>
      </c>
    </row>
    <row r="156">
      <c r="A156" s="34" t="str">
        <f>IFERROR(__xludf.DUMMYFUNCTION("""COMPUTED_VALUE"""),"T155")</f>
        <v>T155</v>
      </c>
      <c r="B156" s="35" t="str">
        <f t="array" ref="B156">INDEX(bill_counter!C$2:C$1051,MATCH(A156,bill_counter!$D$2:$D$1051,0))</f>
        <v>05/22/2025 9:41:48</v>
      </c>
      <c r="C156" s="36">
        <f>SUMIF(bill_counter!$D$2:$D$1051,$A156,bill_counter!$I$2:$I$1051)</f>
        <v>2400</v>
      </c>
    </row>
    <row r="157">
      <c r="A157" s="34" t="str">
        <f>IFERROR(__xludf.DUMMYFUNCTION("""COMPUTED_VALUE"""),"T156")</f>
        <v>T156</v>
      </c>
      <c r="B157" s="35" t="str">
        <f t="array" ref="B157">INDEX(bill_counter!C$2:C$1051,MATCH(A157,bill_counter!$D$2:$D$1051,0))</f>
        <v>05/22/2025 10:17:38</v>
      </c>
      <c r="C157" s="36">
        <f>SUMIF(bill_counter!$D$2:$D$1051,$A157,bill_counter!$I$2:$I$1051)</f>
        <v>980</v>
      </c>
    </row>
    <row r="158">
      <c r="A158" s="34" t="str">
        <f>IFERROR(__xludf.DUMMYFUNCTION("""COMPUTED_VALUE"""),"T157")</f>
        <v>T157</v>
      </c>
      <c r="B158" s="35" t="str">
        <f t="array" ref="B158">INDEX(bill_counter!C$2:C$1051,MATCH(A158,bill_counter!$D$2:$D$1051,0))</f>
        <v>05/22/2025 10:39:38</v>
      </c>
      <c r="C158" s="36">
        <f>SUMIF(bill_counter!$D$2:$D$1051,$A158,bill_counter!$I$2:$I$1051)</f>
        <v>8375</v>
      </c>
    </row>
    <row r="159">
      <c r="A159" s="34" t="str">
        <f>IFERROR(__xludf.DUMMYFUNCTION("""COMPUTED_VALUE"""),"T158")</f>
        <v>T158</v>
      </c>
      <c r="B159" s="35" t="str">
        <f t="array" ref="B159">INDEX(bill_counter!C$2:C$1051,MATCH(A159,bill_counter!$D$2:$D$1051,0))</f>
        <v>05/22/2025 10:58:58</v>
      </c>
      <c r="C159" s="36">
        <f>SUMIF(bill_counter!$D$2:$D$1051,$A159,bill_counter!$I$2:$I$1051)</f>
        <v>5420</v>
      </c>
    </row>
    <row r="160">
      <c r="A160" s="34" t="str">
        <f>IFERROR(__xludf.DUMMYFUNCTION("""COMPUTED_VALUE"""),"T159")</f>
        <v>T159</v>
      </c>
      <c r="B160" s="35" t="str">
        <f t="array" ref="B160">INDEX(bill_counter!C$2:C$1051,MATCH(A160,bill_counter!$D$2:$D$1051,0))</f>
        <v>05/22/2025 11:20:20</v>
      </c>
      <c r="C160" s="36">
        <f>SUMIF(bill_counter!$D$2:$D$1051,$A160,bill_counter!$I$2:$I$1051)</f>
        <v>7020</v>
      </c>
    </row>
    <row r="161">
      <c r="A161" s="34" t="str">
        <f>IFERROR(__xludf.DUMMYFUNCTION("""COMPUTED_VALUE"""),"T160")</f>
        <v>T160</v>
      </c>
      <c r="B161" s="35" t="str">
        <f t="array" ref="B161">INDEX(bill_counter!C$2:C$1051,MATCH(A161,bill_counter!$D$2:$D$1051,0))</f>
        <v>05/22/2025 11:30:18</v>
      </c>
      <c r="C161" s="36">
        <f>SUMIF(bill_counter!$D$2:$D$1051,$A161,bill_counter!$I$2:$I$1051)</f>
        <v>2180</v>
      </c>
    </row>
    <row r="162">
      <c r="A162" s="34" t="str">
        <f>IFERROR(__xludf.DUMMYFUNCTION("""COMPUTED_VALUE"""),"T161")</f>
        <v>T161</v>
      </c>
      <c r="B162" s="35" t="str">
        <f t="array" ref="B162">INDEX(bill_counter!C$2:C$1051,MATCH(A162,bill_counter!$D$2:$D$1051,0))</f>
        <v>05/22/2025 11:45:18</v>
      </c>
      <c r="C162" s="36">
        <f>SUMIF(bill_counter!$D$2:$D$1051,$A162,bill_counter!$I$2:$I$1051)</f>
        <v>3040</v>
      </c>
    </row>
    <row r="163">
      <c r="A163" s="34" t="str">
        <f>IFERROR(__xludf.DUMMYFUNCTION("""COMPUTED_VALUE"""),"T162")</f>
        <v>T162</v>
      </c>
      <c r="B163" s="35" t="str">
        <f t="array" ref="B163">INDEX(bill_counter!C$2:C$1051,MATCH(A163,bill_counter!$D$2:$D$1051,0))</f>
        <v>05/22/2025 11:56:18</v>
      </c>
      <c r="C163" s="36">
        <f>SUMIF(bill_counter!$D$2:$D$1051,$A163,bill_counter!$I$2:$I$1051)</f>
        <v>1660</v>
      </c>
    </row>
    <row r="164">
      <c r="A164" s="34" t="str">
        <f>IFERROR(__xludf.DUMMYFUNCTION("""COMPUTED_VALUE"""),"T163")</f>
        <v>T163</v>
      </c>
      <c r="B164" s="35" t="str">
        <f t="array" ref="B164">INDEX(bill_counter!C$2:C$1051,MATCH(A164,bill_counter!$D$2:$D$1051,0))</f>
        <v>05/22/2025 12:10:18</v>
      </c>
      <c r="C164" s="36">
        <f>SUMIF(bill_counter!$D$2:$D$1051,$A164,bill_counter!$I$2:$I$1051)</f>
        <v>2010</v>
      </c>
    </row>
    <row r="165">
      <c r="A165" s="34" t="str">
        <f>IFERROR(__xludf.DUMMYFUNCTION("""COMPUTED_VALUE"""),"T164")</f>
        <v>T164</v>
      </c>
      <c r="B165" s="35" t="str">
        <f t="array" ref="B165">INDEX(bill_counter!C$2:C$1051,MATCH(A165,bill_counter!$D$2:$D$1051,0))</f>
        <v>05/22/2025 12:24:18</v>
      </c>
      <c r="C165" s="36">
        <f>SUMIF(bill_counter!$D$2:$D$1051,$A165,bill_counter!$I$2:$I$1051)</f>
        <v>1400</v>
      </c>
    </row>
    <row r="166">
      <c r="A166" s="34" t="str">
        <f>IFERROR(__xludf.DUMMYFUNCTION("""COMPUTED_VALUE"""),"T165")</f>
        <v>T165</v>
      </c>
      <c r="B166" s="35" t="str">
        <f t="array" ref="B166">INDEX(bill_counter!C$2:C$1051,MATCH(A166,bill_counter!$D$2:$D$1051,0))</f>
        <v>05/22/2025 12:34:18</v>
      </c>
      <c r="C166" s="36">
        <f>SUMIF(bill_counter!$D$2:$D$1051,$A166,bill_counter!$I$2:$I$1051)</f>
        <v>1320</v>
      </c>
    </row>
    <row r="167">
      <c r="A167" s="34" t="str">
        <f>IFERROR(__xludf.DUMMYFUNCTION("""COMPUTED_VALUE"""),"T166")</f>
        <v>T166</v>
      </c>
      <c r="B167" s="35" t="str">
        <f t="array" ref="B167">INDEX(bill_counter!C$2:C$1051,MATCH(A167,bill_counter!$D$2:$D$1051,0))</f>
        <v>05/22/2025 12:47:18</v>
      </c>
      <c r="C167" s="36">
        <f>SUMIF(bill_counter!$D$2:$D$1051,$A167,bill_counter!$I$2:$I$1051)</f>
        <v>620</v>
      </c>
    </row>
    <row r="168">
      <c r="A168" s="34" t="str">
        <f>IFERROR(__xludf.DUMMYFUNCTION("""COMPUTED_VALUE"""),"T167")</f>
        <v>T167</v>
      </c>
      <c r="B168" s="35" t="str">
        <f t="array" ref="B168">INDEX(bill_counter!C$2:C$1051,MATCH(A168,bill_counter!$D$2:$D$1051,0))</f>
        <v>05/22/2025 12:57:18</v>
      </c>
      <c r="C168" s="36">
        <f>SUMIF(bill_counter!$D$2:$D$1051,$A168,bill_counter!$I$2:$I$1051)</f>
        <v>2580</v>
      </c>
    </row>
    <row r="169">
      <c r="A169" s="34" t="str">
        <f>IFERROR(__xludf.DUMMYFUNCTION("""COMPUTED_VALUE"""),"T168")</f>
        <v>T168</v>
      </c>
      <c r="B169" s="35" t="str">
        <f t="array" ref="B169">INDEX(bill_counter!C$2:C$1051,MATCH(A169,bill_counter!$D$2:$D$1051,0))</f>
        <v>05/22/2025 13:12:18</v>
      </c>
      <c r="C169" s="36">
        <f>SUMIF(bill_counter!$D$2:$D$1051,$A169,bill_counter!$I$2:$I$1051)</f>
        <v>1590</v>
      </c>
    </row>
    <row r="170">
      <c r="A170" s="34" t="str">
        <f>IFERROR(__xludf.DUMMYFUNCTION("""COMPUTED_VALUE"""),"T169")</f>
        <v>T169</v>
      </c>
      <c r="B170" s="35" t="str">
        <f t="array" ref="B170">INDEX(bill_counter!C$2:C$1051,MATCH(A170,bill_counter!$D$2:$D$1051,0))</f>
        <v>05/22/2025 13:25:18</v>
      </c>
      <c r="C170" s="36">
        <f>SUMIF(bill_counter!$D$2:$D$1051,$A170,bill_counter!$I$2:$I$1051)</f>
        <v>1160</v>
      </c>
    </row>
    <row r="171">
      <c r="A171" s="34" t="str">
        <f>IFERROR(__xludf.DUMMYFUNCTION("""COMPUTED_VALUE"""),"T170")</f>
        <v>T170</v>
      </c>
      <c r="B171" s="35" t="str">
        <f t="array" ref="B171">INDEX(bill_counter!C$2:C$1051,MATCH(A171,bill_counter!$D$2:$D$1051,0))</f>
        <v>05/22/2025 13:38:18</v>
      </c>
      <c r="C171" s="36">
        <f>SUMIF(bill_counter!$D$2:$D$1051,$A171,bill_counter!$I$2:$I$1051)</f>
        <v>2550</v>
      </c>
    </row>
    <row r="172">
      <c r="A172" s="34" t="str">
        <f>IFERROR(__xludf.DUMMYFUNCTION("""COMPUTED_VALUE"""),"T171")</f>
        <v>T171</v>
      </c>
      <c r="B172" s="35" t="str">
        <f t="array" ref="B172">INDEX(bill_counter!C$2:C$1051,MATCH(A172,bill_counter!$D$2:$D$1051,0))</f>
        <v>05/22/2025 13:52:18</v>
      </c>
      <c r="C172" s="36">
        <f>SUMIF(bill_counter!$D$2:$D$1051,$A172,bill_counter!$I$2:$I$1051)</f>
        <v>1740</v>
      </c>
    </row>
    <row r="173">
      <c r="A173" s="34" t="str">
        <f>IFERROR(__xludf.DUMMYFUNCTION("""COMPUTED_VALUE"""),"T172")</f>
        <v>T172</v>
      </c>
      <c r="B173" s="35" t="str">
        <f t="array" ref="B173">INDEX(bill_counter!C$2:C$1051,MATCH(A173,bill_counter!$D$2:$D$1051,0))</f>
        <v>05/22/2025 14:06:18</v>
      </c>
      <c r="C173" s="36">
        <f>SUMIF(bill_counter!$D$2:$D$1051,$A173,bill_counter!$I$2:$I$1051)</f>
        <v>8620</v>
      </c>
    </row>
    <row r="174">
      <c r="A174" s="34" t="str">
        <f>IFERROR(__xludf.DUMMYFUNCTION("""COMPUTED_VALUE"""),"T173")</f>
        <v>T173</v>
      </c>
      <c r="B174" s="35" t="str">
        <f t="array" ref="B174">INDEX(bill_counter!C$2:C$1051,MATCH(A174,bill_counter!$D$2:$D$1051,0))</f>
        <v>05/22/2025 14:16:18</v>
      </c>
      <c r="C174" s="36">
        <f>SUMIF(bill_counter!$D$2:$D$1051,$A174,bill_counter!$I$2:$I$1051)</f>
        <v>8000</v>
      </c>
    </row>
    <row r="175">
      <c r="A175" s="34" t="str">
        <f>IFERROR(__xludf.DUMMYFUNCTION("""COMPUTED_VALUE"""),"T174")</f>
        <v>T174</v>
      </c>
      <c r="B175" s="35" t="str">
        <f t="array" ref="B175">INDEX(bill_counter!C$2:C$1051,MATCH(A175,bill_counter!$D$2:$D$1051,0))</f>
        <v>05/22/2025 14:27:18</v>
      </c>
      <c r="C175" s="36">
        <f>SUMIF(bill_counter!$D$2:$D$1051,$A175,bill_counter!$I$2:$I$1051)</f>
        <v>3660</v>
      </c>
    </row>
    <row r="176">
      <c r="A176" s="34" t="str">
        <f>IFERROR(__xludf.DUMMYFUNCTION("""COMPUTED_VALUE"""),"T175")</f>
        <v>T175</v>
      </c>
      <c r="B176" s="35" t="str">
        <f t="array" ref="B176">INDEX(bill_counter!C$2:C$1051,MATCH(A176,bill_counter!$D$2:$D$1051,0))</f>
        <v>05/22/2025 14:42:18</v>
      </c>
      <c r="C176" s="36">
        <f>SUMIF(bill_counter!$D$2:$D$1051,$A176,bill_counter!$I$2:$I$1051)</f>
        <v>1000</v>
      </c>
    </row>
    <row r="177">
      <c r="A177" s="34" t="str">
        <f>IFERROR(__xludf.DUMMYFUNCTION("""COMPUTED_VALUE"""),"T176")</f>
        <v>T176</v>
      </c>
      <c r="B177" s="35" t="str">
        <f t="array" ref="B177">INDEX(bill_counter!C$2:C$1051,MATCH(A177,bill_counter!$D$2:$D$1051,0))</f>
        <v>05/22/2025 14:53:18</v>
      </c>
      <c r="C177" s="36">
        <f>SUMIF(bill_counter!$D$2:$D$1051,$A177,bill_counter!$I$2:$I$1051)</f>
        <v>1310</v>
      </c>
    </row>
    <row r="178">
      <c r="A178" s="34" t="str">
        <f>IFERROR(__xludf.DUMMYFUNCTION("""COMPUTED_VALUE"""),"T177")</f>
        <v>T177</v>
      </c>
      <c r="B178" s="35" t="str">
        <f t="array" ref="B178">INDEX(bill_counter!C$2:C$1051,MATCH(A178,bill_counter!$D$2:$D$1051,0))</f>
        <v>05/22/2025 15:06:18</v>
      </c>
      <c r="C178" s="36">
        <f>SUMIF(bill_counter!$D$2:$D$1051,$A178,bill_counter!$I$2:$I$1051)</f>
        <v>5450</v>
      </c>
    </row>
    <row r="179">
      <c r="A179" s="34" t="str">
        <f>IFERROR(__xludf.DUMMYFUNCTION("""COMPUTED_VALUE"""),"T178")</f>
        <v>T178</v>
      </c>
      <c r="B179" s="35" t="str">
        <f t="array" ref="B179">INDEX(bill_counter!C$2:C$1051,MATCH(A179,bill_counter!$D$2:$D$1051,0))</f>
        <v>05/22/2025 15:18:18</v>
      </c>
      <c r="C179" s="36">
        <f>SUMIF(bill_counter!$D$2:$D$1051,$A179,bill_counter!$I$2:$I$1051)</f>
        <v>2560</v>
      </c>
    </row>
    <row r="180">
      <c r="A180" s="34" t="str">
        <f>IFERROR(__xludf.DUMMYFUNCTION("""COMPUTED_VALUE"""),"T179")</f>
        <v>T179</v>
      </c>
      <c r="B180" s="35" t="str">
        <f t="array" ref="B180">INDEX(bill_counter!C$2:C$1051,MATCH(A180,bill_counter!$D$2:$D$1051,0))</f>
        <v>05/22/2025 15:30:18</v>
      </c>
      <c r="C180" s="36">
        <f>SUMIF(bill_counter!$D$2:$D$1051,$A180,bill_counter!$I$2:$I$1051)</f>
        <v>2960</v>
      </c>
    </row>
    <row r="181">
      <c r="A181" s="34" t="str">
        <f>IFERROR(__xludf.DUMMYFUNCTION("""COMPUTED_VALUE"""),"T180")</f>
        <v>T180</v>
      </c>
      <c r="B181" s="35" t="str">
        <f t="array" ref="B181">INDEX(bill_counter!C$2:C$1051,MATCH(A181,bill_counter!$D$2:$D$1051,0))</f>
        <v>05/22/2025 15:45:18</v>
      </c>
      <c r="C181" s="36">
        <f>SUMIF(bill_counter!$D$2:$D$1051,$A181,bill_counter!$I$2:$I$1051)</f>
        <v>610</v>
      </c>
    </row>
    <row r="182">
      <c r="A182" s="34" t="str">
        <f>IFERROR(__xludf.DUMMYFUNCTION("""COMPUTED_VALUE"""),"T181")</f>
        <v>T181</v>
      </c>
      <c r="B182" s="35" t="str">
        <f t="array" ref="B182">INDEX(bill_counter!C$2:C$1051,MATCH(A182,bill_counter!$D$2:$D$1051,0))</f>
        <v>05/22/2025 15:58:18</v>
      </c>
      <c r="C182" s="36">
        <f>SUMIF(bill_counter!$D$2:$D$1051,$A182,bill_counter!$I$2:$I$1051)</f>
        <v>550</v>
      </c>
    </row>
    <row r="183">
      <c r="A183" s="34" t="str">
        <f>IFERROR(__xludf.DUMMYFUNCTION("""COMPUTED_VALUE"""),"T182")</f>
        <v>T182</v>
      </c>
      <c r="B183" s="35" t="str">
        <f t="array" ref="B183">INDEX(bill_counter!C$2:C$1051,MATCH(A183,bill_counter!$D$2:$D$1051,0))</f>
        <v>05/22/2025 16:09:18</v>
      </c>
      <c r="C183" s="36">
        <f>SUMIF(bill_counter!$D$2:$D$1051,$A183,bill_counter!$I$2:$I$1051)</f>
        <v>4300</v>
      </c>
    </row>
    <row r="184">
      <c r="A184" s="34" t="str">
        <f>IFERROR(__xludf.DUMMYFUNCTION("""COMPUTED_VALUE"""),"T183")</f>
        <v>T183</v>
      </c>
      <c r="B184" s="35" t="str">
        <f t="array" ref="B184">INDEX(bill_counter!C$2:C$1051,MATCH(A184,bill_counter!$D$2:$D$1051,0))</f>
        <v>05/22/2025 16:24:18</v>
      </c>
      <c r="C184" s="36">
        <f>SUMIF(bill_counter!$D$2:$D$1051,$A184,bill_counter!$I$2:$I$1051)</f>
        <v>2700</v>
      </c>
    </row>
    <row r="185">
      <c r="A185" s="34" t="str">
        <f>IFERROR(__xludf.DUMMYFUNCTION("""COMPUTED_VALUE"""),"T184")</f>
        <v>T184</v>
      </c>
      <c r="B185" s="35" t="str">
        <f t="array" ref="B185">INDEX(bill_counter!C$2:C$1051,MATCH(A185,bill_counter!$D$2:$D$1051,0))</f>
        <v>05/22/2025 16:35:18</v>
      </c>
      <c r="C185" s="36">
        <f>SUMIF(bill_counter!$D$2:$D$1051,$A185,bill_counter!$I$2:$I$1051)</f>
        <v>1970</v>
      </c>
    </row>
    <row r="186">
      <c r="A186" s="34" t="str">
        <f>IFERROR(__xludf.DUMMYFUNCTION("""COMPUTED_VALUE"""),"T185")</f>
        <v>T185</v>
      </c>
      <c r="B186" s="35" t="str">
        <f t="array" ref="B186">INDEX(bill_counter!C$2:C$1051,MATCH(A186,bill_counter!$D$2:$D$1051,0))</f>
        <v>05/22/2025 16:49:18</v>
      </c>
      <c r="C186" s="36">
        <f>SUMIF(bill_counter!$D$2:$D$1051,$A186,bill_counter!$I$2:$I$1051)</f>
        <v>2470</v>
      </c>
    </row>
    <row r="187">
      <c r="A187" s="34" t="str">
        <f>IFERROR(__xludf.DUMMYFUNCTION("""COMPUTED_VALUE"""),"T186")</f>
        <v>T186</v>
      </c>
      <c r="B187" s="35" t="str">
        <f t="array" ref="B187">INDEX(bill_counter!C$2:C$1051,MATCH(A187,bill_counter!$D$2:$D$1051,0))</f>
        <v>05/22/2025 17:02:18</v>
      </c>
      <c r="C187" s="36">
        <f>SUMIF(bill_counter!$D$2:$D$1051,$A187,bill_counter!$I$2:$I$1051)</f>
        <v>1110</v>
      </c>
    </row>
    <row r="188">
      <c r="A188" s="34" t="str">
        <f>IFERROR(__xludf.DUMMYFUNCTION("""COMPUTED_VALUE"""),"T187")</f>
        <v>T187</v>
      </c>
      <c r="B188" s="35" t="str">
        <f t="array" ref="B188">INDEX(bill_counter!C$2:C$1051,MATCH(A188,bill_counter!$D$2:$D$1051,0))</f>
        <v>05/22/2025 17:15:18</v>
      </c>
      <c r="C188" s="36">
        <f>SUMIF(bill_counter!$D$2:$D$1051,$A188,bill_counter!$I$2:$I$1051)</f>
        <v>3930</v>
      </c>
    </row>
    <row r="189">
      <c r="A189" s="34" t="str">
        <f>IFERROR(__xludf.DUMMYFUNCTION("""COMPUTED_VALUE"""),"T188")</f>
        <v>T188</v>
      </c>
      <c r="B189" s="35" t="str">
        <f t="array" ref="B189">INDEX(bill_counter!C$2:C$1051,MATCH(A189,bill_counter!$D$2:$D$1051,0))</f>
        <v>05/22/2025 17:29:18</v>
      </c>
      <c r="C189" s="36">
        <f>SUMIF(bill_counter!$D$2:$D$1051,$A189,bill_counter!$I$2:$I$1051)</f>
        <v>3265</v>
      </c>
    </row>
    <row r="190">
      <c r="A190" s="34" t="str">
        <f>IFERROR(__xludf.DUMMYFUNCTION("""COMPUTED_VALUE"""),"T189")</f>
        <v>T189</v>
      </c>
      <c r="B190" s="35" t="str">
        <f t="array" ref="B190">INDEX(bill_counter!C$2:C$1051,MATCH(A190,bill_counter!$D$2:$D$1051,0))</f>
        <v>05/22/2025 17:42:18</v>
      </c>
      <c r="C190" s="36">
        <f>SUMIF(bill_counter!$D$2:$D$1051,$A190,bill_counter!$I$2:$I$1051)</f>
        <v>3240</v>
      </c>
    </row>
    <row r="191">
      <c r="A191" s="34" t="str">
        <f>IFERROR(__xludf.DUMMYFUNCTION("""COMPUTED_VALUE"""),"T190")</f>
        <v>T190</v>
      </c>
      <c r="B191" s="35" t="str">
        <f t="array" ref="B191">INDEX(bill_counter!C$2:C$1051,MATCH(A191,bill_counter!$D$2:$D$1051,0))</f>
        <v>05/22/2025 17:52:18</v>
      </c>
      <c r="C191" s="36">
        <f>SUMIF(bill_counter!$D$2:$D$1051,$A191,bill_counter!$I$2:$I$1051)</f>
        <v>3200</v>
      </c>
    </row>
    <row r="192">
      <c r="A192" s="34" t="str">
        <f>IFERROR(__xludf.DUMMYFUNCTION("""COMPUTED_VALUE"""),"T191")</f>
        <v>T191</v>
      </c>
      <c r="B192" s="35" t="str">
        <f t="array" ref="B192">INDEX(bill_counter!C$2:C$1051,MATCH(A192,bill_counter!$D$2:$D$1051,0))</f>
        <v>05/23/2025 9:04:18</v>
      </c>
      <c r="C192" s="36">
        <f>SUMIF(bill_counter!$D$2:$D$1051,$A192,bill_counter!$I$2:$I$1051)</f>
        <v>870</v>
      </c>
    </row>
    <row r="193">
      <c r="A193" s="34" t="str">
        <f>IFERROR(__xludf.DUMMYFUNCTION("""COMPUTED_VALUE"""),"T192")</f>
        <v>T192</v>
      </c>
      <c r="B193" s="35" t="str">
        <f t="array" ref="B193">INDEX(bill_counter!C$2:C$1051,MATCH(A193,bill_counter!$D$2:$D$1051,0))</f>
        <v>05/23/2025 9:16:19</v>
      </c>
      <c r="C193" s="36">
        <f>SUMIF(bill_counter!$D$2:$D$1051,$A193,bill_counter!$I$2:$I$1051)</f>
        <v>5380</v>
      </c>
    </row>
    <row r="194">
      <c r="A194" s="34" t="str">
        <f>IFERROR(__xludf.DUMMYFUNCTION("""COMPUTED_VALUE"""),"T193")</f>
        <v>T193</v>
      </c>
      <c r="B194" s="35" t="str">
        <f t="array" ref="B194">INDEX(bill_counter!C$2:C$1051,MATCH(A194,bill_counter!$D$2:$D$1051,0))</f>
        <v>05/23/2025 9:41:48</v>
      </c>
      <c r="C194" s="36">
        <f>SUMIF(bill_counter!$D$2:$D$1051,$A194,bill_counter!$I$2:$I$1051)</f>
        <v>950</v>
      </c>
    </row>
    <row r="195">
      <c r="A195" s="34" t="str">
        <f>IFERROR(__xludf.DUMMYFUNCTION("""COMPUTED_VALUE"""),"T194")</f>
        <v>T194</v>
      </c>
      <c r="B195" s="35" t="str">
        <f t="array" ref="B195">INDEX(bill_counter!C$2:C$1051,MATCH(A195,bill_counter!$D$2:$D$1051,0))</f>
        <v>05/23/2025 10:17:38</v>
      </c>
      <c r="C195" s="36">
        <f>SUMIF(bill_counter!$D$2:$D$1051,$A195,bill_counter!$I$2:$I$1051)</f>
        <v>2320</v>
      </c>
    </row>
    <row r="196">
      <c r="A196" s="34" t="str">
        <f>IFERROR(__xludf.DUMMYFUNCTION("""COMPUTED_VALUE"""),"T195")</f>
        <v>T195</v>
      </c>
      <c r="B196" s="35" t="str">
        <f t="array" ref="B196">INDEX(bill_counter!C$2:C$1051,MATCH(A196,bill_counter!$D$2:$D$1051,0))</f>
        <v>05/23/2025 10:39:38</v>
      </c>
      <c r="C196" s="36">
        <f>SUMIF(bill_counter!$D$2:$D$1051,$A196,bill_counter!$I$2:$I$1051)</f>
        <v>3660</v>
      </c>
    </row>
    <row r="197">
      <c r="A197" s="34" t="str">
        <f>IFERROR(__xludf.DUMMYFUNCTION("""COMPUTED_VALUE"""),"T196")</f>
        <v>T196</v>
      </c>
      <c r="B197" s="35" t="str">
        <f t="array" ref="B197">INDEX(bill_counter!C$2:C$1051,MATCH(A197,bill_counter!$D$2:$D$1051,0))</f>
        <v>05/23/2025 10:58:58</v>
      </c>
      <c r="C197" s="36">
        <f>SUMIF(bill_counter!$D$2:$D$1051,$A197,bill_counter!$I$2:$I$1051)</f>
        <v>5090</v>
      </c>
    </row>
    <row r="198">
      <c r="A198" s="34" t="str">
        <f>IFERROR(__xludf.DUMMYFUNCTION("""COMPUTED_VALUE"""),"T197")</f>
        <v>T197</v>
      </c>
      <c r="B198" s="35" t="str">
        <f t="array" ref="B198">INDEX(bill_counter!C$2:C$1051,MATCH(A198,bill_counter!$D$2:$D$1051,0))</f>
        <v>05/23/2025 11:20:20</v>
      </c>
      <c r="C198" s="36">
        <f>SUMIF(bill_counter!$D$2:$D$1051,$A198,bill_counter!$I$2:$I$1051)</f>
        <v>2400</v>
      </c>
    </row>
    <row r="199">
      <c r="A199" s="34" t="str">
        <f>IFERROR(__xludf.DUMMYFUNCTION("""COMPUTED_VALUE"""),"T198")</f>
        <v>T198</v>
      </c>
      <c r="B199" s="35" t="str">
        <f t="array" ref="B199">INDEX(bill_counter!C$2:C$1051,MATCH(A199,bill_counter!$D$2:$D$1051,0))</f>
        <v>05/23/2025 11:30:18</v>
      </c>
      <c r="C199" s="36">
        <f>SUMIF(bill_counter!$D$2:$D$1051,$A199,bill_counter!$I$2:$I$1051)</f>
        <v>1930</v>
      </c>
    </row>
    <row r="200">
      <c r="A200" s="34" t="str">
        <f>IFERROR(__xludf.DUMMYFUNCTION("""COMPUTED_VALUE"""),"T199")</f>
        <v>T199</v>
      </c>
      <c r="B200" s="35" t="str">
        <f t="array" ref="B200">INDEX(bill_counter!C$2:C$1051,MATCH(A200,bill_counter!$D$2:$D$1051,0))</f>
        <v>05/23/2025 11:45:18</v>
      </c>
      <c r="C200" s="36">
        <f>SUMIF(bill_counter!$D$2:$D$1051,$A200,bill_counter!$I$2:$I$1051)</f>
        <v>3105</v>
      </c>
    </row>
    <row r="201">
      <c r="A201" s="34" t="str">
        <f>IFERROR(__xludf.DUMMYFUNCTION("""COMPUTED_VALUE"""),"T200")</f>
        <v>T200</v>
      </c>
      <c r="B201" s="35" t="str">
        <f t="array" ref="B201">INDEX(bill_counter!C$2:C$1051,MATCH(A201,bill_counter!$D$2:$D$1051,0))</f>
        <v>05/23/2025 11:56:18</v>
      </c>
      <c r="C201" s="36">
        <f>SUMIF(bill_counter!$D$2:$D$1051,$A201,bill_counter!$I$2:$I$1051)</f>
        <v>5060</v>
      </c>
    </row>
    <row r="202">
      <c r="A202" s="34" t="str">
        <f>IFERROR(__xludf.DUMMYFUNCTION("""COMPUTED_VALUE"""),"T201")</f>
        <v>T201</v>
      </c>
      <c r="B202" s="35" t="str">
        <f t="array" ref="B202">INDEX(bill_counter!C$2:C$1051,MATCH(A202,bill_counter!$D$2:$D$1051,0))</f>
        <v>05/23/2025 12:10:18</v>
      </c>
      <c r="C202" s="36">
        <f>SUMIF(bill_counter!$D$2:$D$1051,$A202,bill_counter!$I$2:$I$1051)</f>
        <v>3380</v>
      </c>
    </row>
    <row r="203">
      <c r="A203" s="34" t="str">
        <f>IFERROR(__xludf.DUMMYFUNCTION("""COMPUTED_VALUE"""),"T202")</f>
        <v>T202</v>
      </c>
      <c r="B203" s="35" t="str">
        <f t="array" ref="B203">INDEX(bill_counter!C$2:C$1051,MATCH(A203,bill_counter!$D$2:$D$1051,0))</f>
        <v>05/23/2025 12:24:18</v>
      </c>
      <c r="C203" s="36">
        <f>SUMIF(bill_counter!$D$2:$D$1051,$A203,bill_counter!$I$2:$I$1051)</f>
        <v>2660</v>
      </c>
    </row>
    <row r="204">
      <c r="A204" s="34" t="str">
        <f>IFERROR(__xludf.DUMMYFUNCTION("""COMPUTED_VALUE"""),"T203")</f>
        <v>T203</v>
      </c>
      <c r="B204" s="35" t="str">
        <f t="array" ref="B204">INDEX(bill_counter!C$2:C$1051,MATCH(A204,bill_counter!$D$2:$D$1051,0))</f>
        <v>05/23/2025 12:34:18</v>
      </c>
      <c r="C204" s="36">
        <f>SUMIF(bill_counter!$D$2:$D$1051,$A204,bill_counter!$I$2:$I$1051)</f>
        <v>5100</v>
      </c>
    </row>
    <row r="205">
      <c r="A205" s="34" t="str">
        <f>IFERROR(__xludf.DUMMYFUNCTION("""COMPUTED_VALUE"""),"T204")</f>
        <v>T204</v>
      </c>
      <c r="B205" s="35" t="str">
        <f t="array" ref="B205">INDEX(bill_counter!C$2:C$1051,MATCH(A205,bill_counter!$D$2:$D$1051,0))</f>
        <v>05/23/2025 12:47:18</v>
      </c>
      <c r="C205" s="36">
        <f>SUMIF(bill_counter!$D$2:$D$1051,$A205,bill_counter!$I$2:$I$1051)</f>
        <v>3120</v>
      </c>
    </row>
    <row r="206">
      <c r="A206" s="34" t="str">
        <f>IFERROR(__xludf.DUMMYFUNCTION("""COMPUTED_VALUE"""),"T205")</f>
        <v>T205</v>
      </c>
      <c r="B206" s="35" t="str">
        <f t="array" ref="B206">INDEX(bill_counter!C$2:C$1051,MATCH(A206,bill_counter!$D$2:$D$1051,0))</f>
        <v>05/23/2025 12:57:18</v>
      </c>
      <c r="C206" s="36">
        <f>SUMIF(bill_counter!$D$2:$D$1051,$A206,bill_counter!$I$2:$I$1051)</f>
        <v>2710</v>
      </c>
    </row>
    <row r="207">
      <c r="A207" s="34" t="str">
        <f>IFERROR(__xludf.DUMMYFUNCTION("""COMPUTED_VALUE"""),"T206")</f>
        <v>T206</v>
      </c>
      <c r="B207" s="35" t="str">
        <f t="array" ref="B207">INDEX(bill_counter!C$2:C$1051,MATCH(A207,bill_counter!$D$2:$D$1051,0))</f>
        <v>05/23/2025 13:12:18</v>
      </c>
      <c r="C207" s="36">
        <f>SUMIF(bill_counter!$D$2:$D$1051,$A207,bill_counter!$I$2:$I$1051)</f>
        <v>3490</v>
      </c>
    </row>
    <row r="208">
      <c r="A208" s="34" t="str">
        <f>IFERROR(__xludf.DUMMYFUNCTION("""COMPUTED_VALUE"""),"T207")</f>
        <v>T207</v>
      </c>
      <c r="B208" s="35" t="str">
        <f t="array" ref="B208">INDEX(bill_counter!C$2:C$1051,MATCH(A208,bill_counter!$D$2:$D$1051,0))</f>
        <v>05/23/2025 13:25:18</v>
      </c>
      <c r="C208" s="36">
        <f>SUMIF(bill_counter!$D$2:$D$1051,$A208,bill_counter!$I$2:$I$1051)</f>
        <v>1780</v>
      </c>
    </row>
    <row r="209">
      <c r="A209" s="34" t="str">
        <f>IFERROR(__xludf.DUMMYFUNCTION("""COMPUTED_VALUE"""),"T208")</f>
        <v>T208</v>
      </c>
      <c r="B209" s="35" t="str">
        <f t="array" ref="B209">INDEX(bill_counter!C$2:C$1051,MATCH(A209,bill_counter!$D$2:$D$1051,0))</f>
        <v>05/23/2025 13:38:18</v>
      </c>
      <c r="C209" s="36">
        <f>SUMIF(bill_counter!$D$2:$D$1051,$A209,bill_counter!$I$2:$I$1051)</f>
        <v>1390</v>
      </c>
    </row>
    <row r="210">
      <c r="A210" s="34" t="str">
        <f>IFERROR(__xludf.DUMMYFUNCTION("""COMPUTED_VALUE"""),"T209")</f>
        <v>T209</v>
      </c>
      <c r="B210" s="35" t="str">
        <f t="array" ref="B210">INDEX(bill_counter!C$2:C$1051,MATCH(A210,bill_counter!$D$2:$D$1051,0))</f>
        <v>05/23/2025 13:52:18</v>
      </c>
      <c r="C210" s="36">
        <f>SUMIF(bill_counter!$D$2:$D$1051,$A210,bill_counter!$I$2:$I$1051)</f>
        <v>3150</v>
      </c>
    </row>
    <row r="211">
      <c r="A211" s="34" t="str">
        <f>IFERROR(__xludf.DUMMYFUNCTION("""COMPUTED_VALUE"""),"T210")</f>
        <v>T210</v>
      </c>
      <c r="B211" s="35" t="str">
        <f t="array" ref="B211">INDEX(bill_counter!C$2:C$1051,MATCH(A211,bill_counter!$D$2:$D$1051,0))</f>
        <v>05/23/2025 14:06:18</v>
      </c>
      <c r="C211" s="36">
        <f>SUMIF(bill_counter!$D$2:$D$1051,$A211,bill_counter!$I$2:$I$1051)</f>
        <v>4105</v>
      </c>
    </row>
    <row r="212">
      <c r="A212" s="34" t="str">
        <f>IFERROR(__xludf.DUMMYFUNCTION("""COMPUTED_VALUE"""),"T211")</f>
        <v>T211</v>
      </c>
      <c r="B212" s="35" t="str">
        <f t="array" ref="B212">INDEX(bill_counter!C$2:C$1051,MATCH(A212,bill_counter!$D$2:$D$1051,0))</f>
        <v>05/23/2025 14:16:18</v>
      </c>
      <c r="C212" s="36">
        <f>SUMIF(bill_counter!$D$2:$D$1051,$A212,bill_counter!$I$2:$I$1051)</f>
        <v>2700</v>
      </c>
    </row>
    <row r="213">
      <c r="A213" s="34" t="str">
        <f>IFERROR(__xludf.DUMMYFUNCTION("""COMPUTED_VALUE"""),"T212")</f>
        <v>T212</v>
      </c>
      <c r="B213" s="35" t="str">
        <f t="array" ref="B213">INDEX(bill_counter!C$2:C$1051,MATCH(A213,bill_counter!$D$2:$D$1051,0))</f>
        <v>05/23/2025 14:27:18</v>
      </c>
      <c r="C213" s="36">
        <f>SUMIF(bill_counter!$D$2:$D$1051,$A213,bill_counter!$I$2:$I$1051)</f>
        <v>4030</v>
      </c>
    </row>
    <row r="214">
      <c r="A214" s="34" t="str">
        <f>IFERROR(__xludf.DUMMYFUNCTION("""COMPUTED_VALUE"""),"T213")</f>
        <v>T213</v>
      </c>
      <c r="B214" s="35" t="str">
        <f t="array" ref="B214">INDEX(bill_counter!C$2:C$1051,MATCH(A214,bill_counter!$D$2:$D$1051,0))</f>
        <v>05/23/2025 14:42:18</v>
      </c>
      <c r="C214" s="36">
        <f>SUMIF(bill_counter!$D$2:$D$1051,$A214,bill_counter!$I$2:$I$1051)</f>
        <v>3630</v>
      </c>
    </row>
    <row r="215">
      <c r="A215" s="34" t="str">
        <f>IFERROR(__xludf.DUMMYFUNCTION("""COMPUTED_VALUE"""),"T214")</f>
        <v>T214</v>
      </c>
      <c r="B215" s="35" t="str">
        <f t="array" ref="B215">INDEX(bill_counter!C$2:C$1051,MATCH(A215,bill_counter!$D$2:$D$1051,0))</f>
        <v>05/23/2025 14:53:18</v>
      </c>
      <c r="C215" s="36">
        <f>SUMIF(bill_counter!$D$2:$D$1051,$A215,bill_counter!$I$2:$I$1051)</f>
        <v>1120</v>
      </c>
    </row>
    <row r="216">
      <c r="A216" s="34" t="str">
        <f>IFERROR(__xludf.DUMMYFUNCTION("""COMPUTED_VALUE"""),"T215")</f>
        <v>T215</v>
      </c>
      <c r="B216" s="35" t="str">
        <f t="array" ref="B216">INDEX(bill_counter!C$2:C$1051,MATCH(A216,bill_counter!$D$2:$D$1051,0))</f>
        <v>05/23/2025 15:06:18</v>
      </c>
      <c r="C216" s="36">
        <f>SUMIF(bill_counter!$D$2:$D$1051,$A216,bill_counter!$I$2:$I$1051)</f>
        <v>1840</v>
      </c>
    </row>
    <row r="217">
      <c r="A217" s="34" t="str">
        <f>IFERROR(__xludf.DUMMYFUNCTION("""COMPUTED_VALUE"""),"T216")</f>
        <v>T216</v>
      </c>
      <c r="B217" s="35" t="str">
        <f t="array" ref="B217">INDEX(bill_counter!C$2:C$1051,MATCH(A217,bill_counter!$D$2:$D$1051,0))</f>
        <v>05/23/2025 15:18:18</v>
      </c>
      <c r="C217" s="36">
        <f>SUMIF(bill_counter!$D$2:$D$1051,$A217,bill_counter!$I$2:$I$1051)</f>
        <v>4660</v>
      </c>
    </row>
    <row r="218">
      <c r="A218" s="34" t="str">
        <f>IFERROR(__xludf.DUMMYFUNCTION("""COMPUTED_VALUE"""),"T217")</f>
        <v>T217</v>
      </c>
      <c r="B218" s="35" t="str">
        <f t="array" ref="B218">INDEX(bill_counter!C$2:C$1051,MATCH(A218,bill_counter!$D$2:$D$1051,0))</f>
        <v>05/23/2025 15:30:18</v>
      </c>
      <c r="C218" s="36">
        <f>SUMIF(bill_counter!$D$2:$D$1051,$A218,bill_counter!$I$2:$I$1051)</f>
        <v>4060</v>
      </c>
    </row>
    <row r="219">
      <c r="A219" s="34" t="str">
        <f>IFERROR(__xludf.DUMMYFUNCTION("""COMPUTED_VALUE"""),"T218")</f>
        <v>T218</v>
      </c>
      <c r="B219" s="35" t="str">
        <f t="array" ref="B219">INDEX(bill_counter!C$2:C$1051,MATCH(A219,bill_counter!$D$2:$D$1051,0))</f>
        <v>05/23/2025 15:45:18</v>
      </c>
      <c r="C219" s="36">
        <f>SUMIF(bill_counter!$D$2:$D$1051,$A219,bill_counter!$I$2:$I$1051)</f>
        <v>3620</v>
      </c>
    </row>
    <row r="220">
      <c r="A220" s="34" t="str">
        <f>IFERROR(__xludf.DUMMYFUNCTION("""COMPUTED_VALUE"""),"T219")</f>
        <v>T219</v>
      </c>
      <c r="B220" s="35" t="str">
        <f t="array" ref="B220">INDEX(bill_counter!C$2:C$1051,MATCH(A220,bill_counter!$D$2:$D$1051,0))</f>
        <v>05/23/2025 15:58:18</v>
      </c>
      <c r="C220" s="36">
        <f>SUMIF(bill_counter!$D$2:$D$1051,$A220,bill_counter!$I$2:$I$1051)</f>
        <v>3750</v>
      </c>
    </row>
    <row r="221">
      <c r="A221" s="34" t="str">
        <f>IFERROR(__xludf.DUMMYFUNCTION("""COMPUTED_VALUE"""),"T220")</f>
        <v>T220</v>
      </c>
      <c r="B221" s="35" t="str">
        <f t="array" ref="B221">INDEX(bill_counter!C$2:C$1051,MATCH(A221,bill_counter!$D$2:$D$1051,0))</f>
        <v>05/23/2025 16:09:18</v>
      </c>
      <c r="C221" s="36">
        <f>SUMIF(bill_counter!$D$2:$D$1051,$A221,bill_counter!$I$2:$I$1051)</f>
        <v>2620</v>
      </c>
    </row>
    <row r="222">
      <c r="A222" s="34" t="str">
        <f>IFERROR(__xludf.DUMMYFUNCTION("""COMPUTED_VALUE"""),"T221")</f>
        <v>T221</v>
      </c>
      <c r="B222" s="35" t="str">
        <f t="array" ref="B222">INDEX(bill_counter!C$2:C$1051,MATCH(A222,bill_counter!$D$2:$D$1051,0))</f>
        <v>05/23/2025 16:24:18</v>
      </c>
      <c r="C222" s="36">
        <f>SUMIF(bill_counter!$D$2:$D$1051,$A222,bill_counter!$I$2:$I$1051)</f>
        <v>3450</v>
      </c>
    </row>
    <row r="223">
      <c r="A223" s="34" t="str">
        <f>IFERROR(__xludf.DUMMYFUNCTION("""COMPUTED_VALUE"""),"T222")</f>
        <v>T222</v>
      </c>
      <c r="B223" s="35" t="str">
        <f t="array" ref="B223">INDEX(bill_counter!C$2:C$1051,MATCH(A223,bill_counter!$D$2:$D$1051,0))</f>
        <v>05/23/2025 16:35:18</v>
      </c>
      <c r="C223" s="36">
        <f>SUMIF(bill_counter!$D$2:$D$1051,$A223,bill_counter!$I$2:$I$1051)</f>
        <v>7040</v>
      </c>
    </row>
    <row r="224">
      <c r="A224" s="34" t="str">
        <f>IFERROR(__xludf.DUMMYFUNCTION("""COMPUTED_VALUE"""),"T223")</f>
        <v>T223</v>
      </c>
      <c r="B224" s="35" t="str">
        <f t="array" ref="B224">INDEX(bill_counter!C$2:C$1051,MATCH(A224,bill_counter!$D$2:$D$1051,0))</f>
        <v>05/23/2025 16:49:18</v>
      </c>
      <c r="C224" s="36">
        <f>SUMIF(bill_counter!$D$2:$D$1051,$A224,bill_counter!$I$2:$I$1051)</f>
        <v>1730</v>
      </c>
    </row>
    <row r="225">
      <c r="A225" s="34" t="str">
        <f>IFERROR(__xludf.DUMMYFUNCTION("""COMPUTED_VALUE"""),"T224")</f>
        <v>T224</v>
      </c>
      <c r="B225" s="35" t="str">
        <f t="array" ref="B225">INDEX(bill_counter!C$2:C$1051,MATCH(A225,bill_counter!$D$2:$D$1051,0))</f>
        <v>05/23/2025 17:02:18</v>
      </c>
      <c r="C225" s="36">
        <f>SUMIF(bill_counter!$D$2:$D$1051,$A225,bill_counter!$I$2:$I$1051)</f>
        <v>1470</v>
      </c>
    </row>
    <row r="226">
      <c r="A226" s="34" t="str">
        <f>IFERROR(__xludf.DUMMYFUNCTION("""COMPUTED_VALUE"""),"T225")</f>
        <v>T225</v>
      </c>
      <c r="B226" s="35" t="str">
        <f t="array" ref="B226">INDEX(bill_counter!C$2:C$1051,MATCH(A226,bill_counter!$D$2:$D$1051,0))</f>
        <v>05/23/2025 17:15:18</v>
      </c>
      <c r="C226" s="36">
        <f>SUMIF(bill_counter!$D$2:$D$1051,$A226,bill_counter!$I$2:$I$1051)</f>
        <v>2250</v>
      </c>
    </row>
    <row r="227">
      <c r="A227" s="34" t="str">
        <f>IFERROR(__xludf.DUMMYFUNCTION("""COMPUTED_VALUE"""),"T226")</f>
        <v>T226</v>
      </c>
      <c r="B227" s="35" t="str">
        <f t="array" ref="B227">INDEX(bill_counter!C$2:C$1051,MATCH(A227,bill_counter!$D$2:$D$1051,0))</f>
        <v>05/23/2025 17:29:18</v>
      </c>
      <c r="C227" s="36">
        <f>SUMIF(bill_counter!$D$2:$D$1051,$A227,bill_counter!$I$2:$I$1051)</f>
        <v>1970</v>
      </c>
    </row>
    <row r="228">
      <c r="A228" s="34" t="str">
        <f>IFERROR(__xludf.DUMMYFUNCTION("""COMPUTED_VALUE"""),"T227")</f>
        <v>T227</v>
      </c>
      <c r="B228" s="35" t="str">
        <f t="array" ref="B228">INDEX(bill_counter!C$2:C$1051,MATCH(A228,bill_counter!$D$2:$D$1051,0))</f>
        <v>05/23/2025 17:42:18</v>
      </c>
      <c r="C228" s="36">
        <f>SUMIF(bill_counter!$D$2:$D$1051,$A228,bill_counter!$I$2:$I$1051)</f>
        <v>2960</v>
      </c>
    </row>
    <row r="229">
      <c r="A229" s="34" t="str">
        <f>IFERROR(__xludf.DUMMYFUNCTION("""COMPUTED_VALUE"""),"T228")</f>
        <v>T228</v>
      </c>
      <c r="B229" s="35" t="str">
        <f t="array" ref="B229">INDEX(bill_counter!C$2:C$1051,MATCH(A229,bill_counter!$D$2:$D$1051,0))</f>
        <v>05/23/2025 17:52:18</v>
      </c>
      <c r="C229" s="36">
        <f>SUMIF(bill_counter!$D$2:$D$1051,$A229,bill_counter!$I$2:$I$1051)</f>
        <v>3010</v>
      </c>
    </row>
    <row r="230">
      <c r="A230" s="34" t="str">
        <f>IFERROR(__xludf.DUMMYFUNCTION("""COMPUTED_VALUE"""),"T229")</f>
        <v>T229</v>
      </c>
      <c r="B230" s="35" t="str">
        <f t="array" ref="B230">INDEX(bill_counter!C$2:C$1051,MATCH(A230,bill_counter!$D$2:$D$1051,0))</f>
        <v>05/24/2025 9:04:18</v>
      </c>
      <c r="C230" s="36">
        <f>SUMIF(bill_counter!$D$2:$D$1051,$A230,bill_counter!$I$2:$I$1051)</f>
        <v>4760</v>
      </c>
    </row>
    <row r="231">
      <c r="A231" s="34" t="str">
        <f>IFERROR(__xludf.DUMMYFUNCTION("""COMPUTED_VALUE"""),"T230")</f>
        <v>T230</v>
      </c>
      <c r="B231" s="35" t="str">
        <f t="array" ref="B231">INDEX(bill_counter!C$2:C$1051,MATCH(A231,bill_counter!$D$2:$D$1051,0))</f>
        <v>05/24/2025 9:16:19</v>
      </c>
      <c r="C231" s="36">
        <f>SUMIF(bill_counter!$D$2:$D$1051,$A231,bill_counter!$I$2:$I$1051)</f>
        <v>3890</v>
      </c>
    </row>
    <row r="232">
      <c r="A232" s="34" t="str">
        <f>IFERROR(__xludf.DUMMYFUNCTION("""COMPUTED_VALUE"""),"T231")</f>
        <v>T231</v>
      </c>
      <c r="B232" s="35" t="str">
        <f t="array" ref="B232">INDEX(bill_counter!C$2:C$1051,MATCH(A232,bill_counter!$D$2:$D$1051,0))</f>
        <v>05/24/2025 9:41:48</v>
      </c>
      <c r="C232" s="36">
        <f>SUMIF(bill_counter!$D$2:$D$1051,$A232,bill_counter!$I$2:$I$1051)</f>
        <v>720</v>
      </c>
    </row>
    <row r="233">
      <c r="A233" s="34" t="str">
        <f>IFERROR(__xludf.DUMMYFUNCTION("""COMPUTED_VALUE"""),"T232")</f>
        <v>T232</v>
      </c>
      <c r="B233" s="35" t="str">
        <f t="array" ref="B233">INDEX(bill_counter!C$2:C$1051,MATCH(A233,bill_counter!$D$2:$D$1051,0))</f>
        <v>05/24/2025 10:17:38</v>
      </c>
      <c r="C233" s="36">
        <f>SUMIF(bill_counter!$D$2:$D$1051,$A233,bill_counter!$I$2:$I$1051)</f>
        <v>4090</v>
      </c>
    </row>
    <row r="234">
      <c r="A234" s="34" t="str">
        <f>IFERROR(__xludf.DUMMYFUNCTION("""COMPUTED_VALUE"""),"T233")</f>
        <v>T233</v>
      </c>
      <c r="B234" s="35" t="str">
        <f t="array" ref="B234">INDEX(bill_counter!C$2:C$1051,MATCH(A234,bill_counter!$D$2:$D$1051,0))</f>
        <v>05/24/2025 10:39:38</v>
      </c>
      <c r="C234" s="36">
        <f>SUMIF(bill_counter!$D$2:$D$1051,$A234,bill_counter!$I$2:$I$1051)</f>
        <v>4390</v>
      </c>
    </row>
    <row r="235">
      <c r="A235" s="34" t="str">
        <f>IFERROR(__xludf.DUMMYFUNCTION("""COMPUTED_VALUE"""),"T234")</f>
        <v>T234</v>
      </c>
      <c r="B235" s="35" t="str">
        <f t="array" ref="B235">INDEX(bill_counter!C$2:C$1051,MATCH(A235,bill_counter!$D$2:$D$1051,0))</f>
        <v>05/24/2025 10:58:58</v>
      </c>
      <c r="C235" s="36">
        <f>SUMIF(bill_counter!$D$2:$D$1051,$A235,bill_counter!$I$2:$I$1051)</f>
        <v>890</v>
      </c>
    </row>
    <row r="236">
      <c r="A236" s="34" t="str">
        <f>IFERROR(__xludf.DUMMYFUNCTION("""COMPUTED_VALUE"""),"T235")</f>
        <v>T235</v>
      </c>
      <c r="B236" s="35" t="str">
        <f t="array" ref="B236">INDEX(bill_counter!C$2:C$1051,MATCH(A236,bill_counter!$D$2:$D$1051,0))</f>
        <v>05/24/2025 11:20:20</v>
      </c>
      <c r="C236" s="36">
        <f>SUMIF(bill_counter!$D$2:$D$1051,$A236,bill_counter!$I$2:$I$1051)</f>
        <v>540</v>
      </c>
    </row>
    <row r="237">
      <c r="A237" s="34" t="str">
        <f>IFERROR(__xludf.DUMMYFUNCTION("""COMPUTED_VALUE"""),"T236")</f>
        <v>T236</v>
      </c>
      <c r="B237" s="35" t="str">
        <f t="array" ref="B237">INDEX(bill_counter!C$2:C$1051,MATCH(A237,bill_counter!$D$2:$D$1051,0))</f>
        <v>05/24/2025 11:30:18</v>
      </c>
      <c r="C237" s="36">
        <f>SUMIF(bill_counter!$D$2:$D$1051,$A237,bill_counter!$I$2:$I$1051)</f>
        <v>7100</v>
      </c>
    </row>
    <row r="238">
      <c r="A238" s="34" t="str">
        <f>IFERROR(__xludf.DUMMYFUNCTION("""COMPUTED_VALUE"""),"T237")</f>
        <v>T237</v>
      </c>
      <c r="B238" s="35" t="str">
        <f t="array" ref="B238">INDEX(bill_counter!C$2:C$1051,MATCH(A238,bill_counter!$D$2:$D$1051,0))</f>
        <v>05/24/2025 11:45:18</v>
      </c>
      <c r="C238" s="36">
        <f>SUMIF(bill_counter!$D$2:$D$1051,$A238,bill_counter!$I$2:$I$1051)</f>
        <v>2880</v>
      </c>
    </row>
    <row r="239">
      <c r="A239" s="34" t="str">
        <f>IFERROR(__xludf.DUMMYFUNCTION("""COMPUTED_VALUE"""),"T238")</f>
        <v>T238</v>
      </c>
      <c r="B239" s="35" t="str">
        <f t="array" ref="B239">INDEX(bill_counter!C$2:C$1051,MATCH(A239,bill_counter!$D$2:$D$1051,0))</f>
        <v>05/24/2025 11:56:18</v>
      </c>
      <c r="C239" s="36">
        <f>SUMIF(bill_counter!$D$2:$D$1051,$A239,bill_counter!$I$2:$I$1051)</f>
        <v>780</v>
      </c>
    </row>
    <row r="240">
      <c r="A240" s="34" t="str">
        <f>IFERROR(__xludf.DUMMYFUNCTION("""COMPUTED_VALUE"""),"T239")</f>
        <v>T239</v>
      </c>
      <c r="B240" s="35" t="str">
        <f t="array" ref="B240">INDEX(bill_counter!C$2:C$1051,MATCH(A240,bill_counter!$D$2:$D$1051,0))</f>
        <v>05/24/2025 12:10:18</v>
      </c>
      <c r="C240" s="36">
        <f>SUMIF(bill_counter!$D$2:$D$1051,$A240,bill_counter!$I$2:$I$1051)</f>
        <v>1080</v>
      </c>
    </row>
    <row r="241">
      <c r="A241" s="34" t="str">
        <f>IFERROR(__xludf.DUMMYFUNCTION("""COMPUTED_VALUE"""),"T240")</f>
        <v>T240</v>
      </c>
      <c r="B241" s="35" t="str">
        <f t="array" ref="B241">INDEX(bill_counter!C$2:C$1051,MATCH(A241,bill_counter!$D$2:$D$1051,0))</f>
        <v>05/24/2025 12:24:18</v>
      </c>
      <c r="C241" s="36">
        <f>SUMIF(bill_counter!$D$2:$D$1051,$A241,bill_counter!$I$2:$I$1051)</f>
        <v>3050</v>
      </c>
    </row>
    <row r="242">
      <c r="A242" s="34" t="str">
        <f>IFERROR(__xludf.DUMMYFUNCTION("""COMPUTED_VALUE"""),"T241")</f>
        <v>T241</v>
      </c>
      <c r="B242" s="35" t="str">
        <f t="array" ref="B242">INDEX(bill_counter!C$2:C$1051,MATCH(A242,bill_counter!$D$2:$D$1051,0))</f>
        <v>05/24/2025 12:34:18</v>
      </c>
      <c r="C242" s="36">
        <f>SUMIF(bill_counter!$D$2:$D$1051,$A242,bill_counter!$I$2:$I$1051)</f>
        <v>4510</v>
      </c>
    </row>
    <row r="243">
      <c r="A243" s="34" t="str">
        <f>IFERROR(__xludf.DUMMYFUNCTION("""COMPUTED_VALUE"""),"T242")</f>
        <v>T242</v>
      </c>
      <c r="B243" s="35" t="str">
        <f t="array" ref="B243">INDEX(bill_counter!C$2:C$1051,MATCH(A243,bill_counter!$D$2:$D$1051,0))</f>
        <v>05/24/2025 12:47:18</v>
      </c>
      <c r="C243" s="36">
        <f>SUMIF(bill_counter!$D$2:$D$1051,$A243,bill_counter!$I$2:$I$1051)</f>
        <v>2940</v>
      </c>
    </row>
    <row r="244">
      <c r="A244" s="34" t="str">
        <f>IFERROR(__xludf.DUMMYFUNCTION("""COMPUTED_VALUE"""),"T243")</f>
        <v>T243</v>
      </c>
      <c r="B244" s="35" t="str">
        <f t="array" ref="B244">INDEX(bill_counter!C$2:C$1051,MATCH(A244,bill_counter!$D$2:$D$1051,0))</f>
        <v>05/24/2025 12:57:18</v>
      </c>
      <c r="C244" s="36">
        <f>SUMIF(bill_counter!$D$2:$D$1051,$A244,bill_counter!$I$2:$I$1051)</f>
        <v>5065</v>
      </c>
    </row>
    <row r="245">
      <c r="A245" s="34" t="str">
        <f>IFERROR(__xludf.DUMMYFUNCTION("""COMPUTED_VALUE"""),"T244")</f>
        <v>T244</v>
      </c>
      <c r="B245" s="35" t="str">
        <f t="array" ref="B245">INDEX(bill_counter!C$2:C$1051,MATCH(A245,bill_counter!$D$2:$D$1051,0))</f>
        <v>05/24/2025 13:12:18</v>
      </c>
      <c r="C245" s="36">
        <f>SUMIF(bill_counter!$D$2:$D$1051,$A245,bill_counter!$I$2:$I$1051)</f>
        <v>1655</v>
      </c>
    </row>
    <row r="246">
      <c r="A246" s="34" t="str">
        <f>IFERROR(__xludf.DUMMYFUNCTION("""COMPUTED_VALUE"""),"T245")</f>
        <v>T245</v>
      </c>
      <c r="B246" s="35" t="str">
        <f t="array" ref="B246">INDEX(bill_counter!C$2:C$1051,MATCH(A246,bill_counter!$D$2:$D$1051,0))</f>
        <v>05/24/2025 13:25:18</v>
      </c>
      <c r="C246" s="36">
        <f>SUMIF(bill_counter!$D$2:$D$1051,$A246,bill_counter!$I$2:$I$1051)</f>
        <v>990</v>
      </c>
    </row>
    <row r="247">
      <c r="A247" s="34" t="str">
        <f>IFERROR(__xludf.DUMMYFUNCTION("""COMPUTED_VALUE"""),"T246")</f>
        <v>T246</v>
      </c>
      <c r="B247" s="35" t="str">
        <f t="array" ref="B247">INDEX(bill_counter!C$2:C$1051,MATCH(A247,bill_counter!$D$2:$D$1051,0))</f>
        <v>05/24/2025 13:38:18</v>
      </c>
      <c r="C247" s="36">
        <f>SUMIF(bill_counter!$D$2:$D$1051,$A247,bill_counter!$I$2:$I$1051)</f>
        <v>1390</v>
      </c>
    </row>
    <row r="248">
      <c r="A248" s="34" t="str">
        <f>IFERROR(__xludf.DUMMYFUNCTION("""COMPUTED_VALUE"""),"T247")</f>
        <v>T247</v>
      </c>
      <c r="B248" s="35" t="str">
        <f t="array" ref="B248">INDEX(bill_counter!C$2:C$1051,MATCH(A248,bill_counter!$D$2:$D$1051,0))</f>
        <v>05/24/2025 13:52:18</v>
      </c>
      <c r="C248" s="36">
        <f>SUMIF(bill_counter!$D$2:$D$1051,$A248,bill_counter!$I$2:$I$1051)</f>
        <v>8120</v>
      </c>
    </row>
    <row r="249">
      <c r="A249" s="34" t="str">
        <f>IFERROR(__xludf.DUMMYFUNCTION("""COMPUTED_VALUE"""),"T248")</f>
        <v>T248</v>
      </c>
      <c r="B249" s="35" t="str">
        <f t="array" ref="B249">INDEX(bill_counter!C$2:C$1051,MATCH(A249,bill_counter!$D$2:$D$1051,0))</f>
        <v>05/24/2025 14:06:18</v>
      </c>
      <c r="C249" s="36">
        <f>SUMIF(bill_counter!$D$2:$D$1051,$A249,bill_counter!$I$2:$I$1051)</f>
        <v>2180</v>
      </c>
    </row>
    <row r="250">
      <c r="A250" s="34" t="str">
        <f>IFERROR(__xludf.DUMMYFUNCTION("""COMPUTED_VALUE"""),"T249")</f>
        <v>T249</v>
      </c>
      <c r="B250" s="35" t="str">
        <f t="array" ref="B250">INDEX(bill_counter!C$2:C$1051,MATCH(A250,bill_counter!$D$2:$D$1051,0))</f>
        <v>05/24/2025 14:16:18</v>
      </c>
      <c r="C250" s="36">
        <f>SUMIF(bill_counter!$D$2:$D$1051,$A250,bill_counter!$I$2:$I$1051)</f>
        <v>1700</v>
      </c>
    </row>
    <row r="251">
      <c r="A251" s="34" t="str">
        <f>IFERROR(__xludf.DUMMYFUNCTION("""COMPUTED_VALUE"""),"T250")</f>
        <v>T250</v>
      </c>
      <c r="B251" s="35" t="str">
        <f t="array" ref="B251">INDEX(bill_counter!C$2:C$1051,MATCH(A251,bill_counter!$D$2:$D$1051,0))</f>
        <v>05/24/2025 14:27:18</v>
      </c>
      <c r="C251" s="36">
        <f>SUMIF(bill_counter!$D$2:$D$1051,$A251,bill_counter!$I$2:$I$1051)</f>
        <v>3750</v>
      </c>
    </row>
    <row r="252">
      <c r="A252" s="34" t="str">
        <f>IFERROR(__xludf.DUMMYFUNCTION("""COMPUTED_VALUE"""),"T251")</f>
        <v>T251</v>
      </c>
      <c r="B252" s="35" t="str">
        <f t="array" ref="B252">INDEX(bill_counter!C$2:C$1051,MATCH(A252,bill_counter!$D$2:$D$1051,0))</f>
        <v>05/24/2025 14:42:18</v>
      </c>
      <c r="C252" s="36">
        <f>SUMIF(bill_counter!$D$2:$D$1051,$A252,bill_counter!$I$2:$I$1051)</f>
        <v>2930</v>
      </c>
    </row>
    <row r="253">
      <c r="A253" s="34" t="str">
        <f>IFERROR(__xludf.DUMMYFUNCTION("""COMPUTED_VALUE"""),"T252")</f>
        <v>T252</v>
      </c>
      <c r="B253" s="35" t="str">
        <f t="array" ref="B253">INDEX(bill_counter!C$2:C$1051,MATCH(A253,bill_counter!$D$2:$D$1051,0))</f>
        <v>05/24/2025 14:53:18</v>
      </c>
      <c r="C253" s="36">
        <f>SUMIF(bill_counter!$D$2:$D$1051,$A253,bill_counter!$I$2:$I$1051)</f>
        <v>750</v>
      </c>
    </row>
    <row r="254">
      <c r="A254" s="34" t="str">
        <f>IFERROR(__xludf.DUMMYFUNCTION("""COMPUTED_VALUE"""),"T253")</f>
        <v>T253</v>
      </c>
      <c r="B254" s="35" t="str">
        <f t="array" ref="B254">INDEX(bill_counter!C$2:C$1051,MATCH(A254,bill_counter!$D$2:$D$1051,0))</f>
        <v>05/24/2025 15:06:18</v>
      </c>
      <c r="C254" s="36">
        <f>SUMIF(bill_counter!$D$2:$D$1051,$A254,bill_counter!$I$2:$I$1051)</f>
        <v>370</v>
      </c>
    </row>
    <row r="255">
      <c r="A255" s="34" t="str">
        <f>IFERROR(__xludf.DUMMYFUNCTION("""COMPUTED_VALUE"""),"T254")</f>
        <v>T254</v>
      </c>
      <c r="B255" s="35" t="str">
        <f t="array" ref="B255">INDEX(bill_counter!C$2:C$1051,MATCH(A255,bill_counter!$D$2:$D$1051,0))</f>
        <v>05/24/2025 15:18:18</v>
      </c>
      <c r="C255" s="36">
        <f>SUMIF(bill_counter!$D$2:$D$1051,$A255,bill_counter!$I$2:$I$1051)</f>
        <v>720</v>
      </c>
    </row>
    <row r="256">
      <c r="A256" s="34" t="str">
        <f>IFERROR(__xludf.DUMMYFUNCTION("""COMPUTED_VALUE"""),"T255")</f>
        <v>T255</v>
      </c>
      <c r="B256" s="35" t="str">
        <f t="array" ref="B256">INDEX(bill_counter!C$2:C$1051,MATCH(A256,bill_counter!$D$2:$D$1051,0))</f>
        <v>05/24/2025 15:30:18</v>
      </c>
      <c r="C256" s="36">
        <f>SUMIF(bill_counter!$D$2:$D$1051,$A256,bill_counter!$I$2:$I$1051)</f>
        <v>2320</v>
      </c>
    </row>
    <row r="257">
      <c r="A257" s="34" t="str">
        <f>IFERROR(__xludf.DUMMYFUNCTION("""COMPUTED_VALUE"""),"T256")</f>
        <v>T256</v>
      </c>
      <c r="B257" s="35" t="str">
        <f t="array" ref="B257">INDEX(bill_counter!C$2:C$1051,MATCH(A257,bill_counter!$D$2:$D$1051,0))</f>
        <v>05/24/2025 15:45:18</v>
      </c>
      <c r="C257" s="36">
        <f>SUMIF(bill_counter!$D$2:$D$1051,$A257,bill_counter!$I$2:$I$1051)</f>
        <v>1400</v>
      </c>
    </row>
    <row r="258">
      <c r="A258" s="34" t="str">
        <f>IFERROR(__xludf.DUMMYFUNCTION("""COMPUTED_VALUE"""),"T257")</f>
        <v>T257</v>
      </c>
      <c r="B258" s="35" t="str">
        <f t="array" ref="B258">INDEX(bill_counter!C$2:C$1051,MATCH(A258,bill_counter!$D$2:$D$1051,0))</f>
        <v>05/24/2025 15:58:18</v>
      </c>
      <c r="C258" s="36">
        <f>SUMIF(bill_counter!$D$2:$D$1051,$A258,bill_counter!$I$2:$I$1051)</f>
        <v>2150</v>
      </c>
    </row>
    <row r="259">
      <c r="A259" s="34" t="str">
        <f>IFERROR(__xludf.DUMMYFUNCTION("""COMPUTED_VALUE"""),"T258")</f>
        <v>T258</v>
      </c>
      <c r="B259" s="35" t="str">
        <f t="array" ref="B259">INDEX(bill_counter!C$2:C$1051,MATCH(A259,bill_counter!$D$2:$D$1051,0))</f>
        <v>05/24/2025 16:09:18</v>
      </c>
      <c r="C259" s="36">
        <f>SUMIF(bill_counter!$D$2:$D$1051,$A259,bill_counter!$I$2:$I$1051)</f>
        <v>1610</v>
      </c>
    </row>
    <row r="260">
      <c r="A260" s="34" t="str">
        <f>IFERROR(__xludf.DUMMYFUNCTION("""COMPUTED_VALUE"""),"T259")</f>
        <v>T259</v>
      </c>
      <c r="B260" s="35" t="str">
        <f t="array" ref="B260">INDEX(bill_counter!C$2:C$1051,MATCH(A260,bill_counter!$D$2:$D$1051,0))</f>
        <v>05/24/2025 16:24:18</v>
      </c>
      <c r="C260" s="36">
        <f>SUMIF(bill_counter!$D$2:$D$1051,$A260,bill_counter!$I$2:$I$1051)</f>
        <v>2430</v>
      </c>
    </row>
    <row r="261">
      <c r="A261" s="34" t="str">
        <f>IFERROR(__xludf.DUMMYFUNCTION("""COMPUTED_VALUE"""),"T260")</f>
        <v>T260</v>
      </c>
      <c r="B261" s="35" t="str">
        <f t="array" ref="B261">INDEX(bill_counter!C$2:C$1051,MATCH(A261,bill_counter!$D$2:$D$1051,0))</f>
        <v>05/24/2025 16:35:18</v>
      </c>
      <c r="C261" s="36">
        <f>SUMIF(bill_counter!$D$2:$D$1051,$A261,bill_counter!$I$2:$I$1051)</f>
        <v>3860</v>
      </c>
    </row>
    <row r="262">
      <c r="A262" s="34" t="str">
        <f>IFERROR(__xludf.DUMMYFUNCTION("""COMPUTED_VALUE"""),"T261")</f>
        <v>T261</v>
      </c>
      <c r="B262" s="35" t="str">
        <f t="array" ref="B262">INDEX(bill_counter!C$2:C$1051,MATCH(A262,bill_counter!$D$2:$D$1051,0))</f>
        <v>05/24/2025 16:49:18</v>
      </c>
      <c r="C262" s="36">
        <f>SUMIF(bill_counter!$D$2:$D$1051,$A262,bill_counter!$I$2:$I$1051)</f>
        <v>4500</v>
      </c>
    </row>
    <row r="263">
      <c r="A263" s="34" t="str">
        <f>IFERROR(__xludf.DUMMYFUNCTION("""COMPUTED_VALUE"""),"T262")</f>
        <v>T262</v>
      </c>
      <c r="B263" s="35" t="str">
        <f t="array" ref="B263">INDEX(bill_counter!C$2:C$1051,MATCH(A263,bill_counter!$D$2:$D$1051,0))</f>
        <v>05/24/2025 17:02:18</v>
      </c>
      <c r="C263" s="36">
        <f>SUMIF(bill_counter!$D$2:$D$1051,$A263,bill_counter!$I$2:$I$1051)</f>
        <v>1520</v>
      </c>
    </row>
    <row r="264">
      <c r="A264" s="34" t="str">
        <f>IFERROR(__xludf.DUMMYFUNCTION("""COMPUTED_VALUE"""),"T263")</f>
        <v>T263</v>
      </c>
      <c r="B264" s="35" t="str">
        <f t="array" ref="B264">INDEX(bill_counter!C$2:C$1051,MATCH(A264,bill_counter!$D$2:$D$1051,0))</f>
        <v>05/24/2025 17:15:18</v>
      </c>
      <c r="C264" s="36">
        <f>SUMIF(bill_counter!$D$2:$D$1051,$A264,bill_counter!$I$2:$I$1051)</f>
        <v>4600</v>
      </c>
    </row>
    <row r="265">
      <c r="A265" s="34" t="str">
        <f>IFERROR(__xludf.DUMMYFUNCTION("""COMPUTED_VALUE"""),"T264")</f>
        <v>T264</v>
      </c>
      <c r="B265" s="35" t="str">
        <f t="array" ref="B265">INDEX(bill_counter!C$2:C$1051,MATCH(A265,bill_counter!$D$2:$D$1051,0))</f>
        <v>05/24/2025 17:29:18</v>
      </c>
      <c r="C265" s="36">
        <f>SUMIF(bill_counter!$D$2:$D$1051,$A265,bill_counter!$I$2:$I$1051)</f>
        <v>2350</v>
      </c>
    </row>
    <row r="266">
      <c r="A266" s="34" t="str">
        <f>IFERROR(__xludf.DUMMYFUNCTION("""COMPUTED_VALUE"""),"T265")</f>
        <v>T265</v>
      </c>
      <c r="B266" s="35" t="str">
        <f t="array" ref="B266">INDEX(bill_counter!C$2:C$1051,MATCH(A266,bill_counter!$D$2:$D$1051,0))</f>
        <v>05/24/2025 17:42:18</v>
      </c>
      <c r="C266" s="36">
        <f>SUMIF(bill_counter!$D$2:$D$1051,$A266,bill_counter!$I$2:$I$1051)</f>
        <v>2275</v>
      </c>
    </row>
    <row r="267">
      <c r="A267" s="34" t="str">
        <f>IFERROR(__xludf.DUMMYFUNCTION("""COMPUTED_VALUE"""),"T266")</f>
        <v>T266</v>
      </c>
      <c r="B267" s="35" t="str">
        <f t="array" ref="B267">INDEX(bill_counter!C$2:C$1051,MATCH(A267,bill_counter!$D$2:$D$1051,0))</f>
        <v>05/24/2025 17:52:18</v>
      </c>
      <c r="C267" s="36">
        <f>SUMIF(bill_counter!$D$2:$D$1051,$A267,bill_counter!$I$2:$I$1051)</f>
        <v>4530</v>
      </c>
    </row>
    <row r="268">
      <c r="A268" s="34"/>
      <c r="B268" s="34" t="str">
        <f t="array" ref="B268">INDEX(bill_counter!C$2:C$1051,MATCH(A268,bill_counter!$D$2:$D$1051,0))</f>
        <v>#N/A</v>
      </c>
      <c r="C268" s="36">
        <f>SUMIF(bill_counter!$D$2:$D$1051,$A268,bill_counter!$I$2:$I$1051)</f>
        <v>0</v>
      </c>
    </row>
    <row r="269">
      <c r="C269" s="27"/>
    </row>
    <row r="270">
      <c r="C270" s="27"/>
    </row>
    <row r="271">
      <c r="C271" s="27"/>
    </row>
    <row r="272">
      <c r="C272" s="27"/>
    </row>
    <row r="273">
      <c r="C273" s="27"/>
    </row>
    <row r="274">
      <c r="C274" s="27"/>
    </row>
    <row r="275">
      <c r="C275" s="27"/>
    </row>
    <row r="276">
      <c r="C276" s="27"/>
    </row>
    <row r="277">
      <c r="C277" s="27"/>
    </row>
    <row r="278">
      <c r="C278" s="27"/>
    </row>
    <row r="279">
      <c r="C279" s="27"/>
    </row>
    <row r="280">
      <c r="C280" s="27"/>
    </row>
    <row r="281">
      <c r="C281" s="27"/>
    </row>
    <row r="282">
      <c r="C282" s="27"/>
    </row>
    <row r="283">
      <c r="C283" s="27"/>
    </row>
    <row r="284">
      <c r="C284" s="27"/>
    </row>
    <row r="285">
      <c r="C285" s="27"/>
    </row>
    <row r="286">
      <c r="C286" s="27"/>
    </row>
    <row r="287">
      <c r="C287" s="27"/>
    </row>
    <row r="288">
      <c r="C288" s="27"/>
    </row>
    <row r="289">
      <c r="C289" s="27"/>
    </row>
    <row r="290">
      <c r="C290" s="27"/>
    </row>
    <row r="291">
      <c r="C291" s="27"/>
    </row>
    <row r="292">
      <c r="C292" s="27"/>
    </row>
    <row r="293">
      <c r="C293" s="27"/>
    </row>
    <row r="294">
      <c r="C294" s="27"/>
    </row>
    <row r="295">
      <c r="C295" s="27"/>
    </row>
    <row r="296">
      <c r="C296" s="27"/>
    </row>
    <row r="297">
      <c r="C297" s="27"/>
    </row>
    <row r="298">
      <c r="C298" s="27"/>
    </row>
    <row r="299">
      <c r="C299" s="27"/>
    </row>
    <row r="300">
      <c r="C300" s="27"/>
    </row>
    <row r="301">
      <c r="C301" s="27"/>
    </row>
    <row r="302">
      <c r="C302" s="27"/>
    </row>
    <row r="303">
      <c r="C303" s="27"/>
    </row>
    <row r="304">
      <c r="C304" s="27"/>
    </row>
    <row r="305">
      <c r="C305" s="27"/>
    </row>
    <row r="306">
      <c r="C306" s="27"/>
    </row>
    <row r="307">
      <c r="C307" s="27"/>
    </row>
    <row r="308">
      <c r="C308" s="27"/>
    </row>
    <row r="309">
      <c r="C309" s="27"/>
    </row>
    <row r="310">
      <c r="C310" s="27"/>
    </row>
    <row r="311">
      <c r="C311" s="27"/>
    </row>
    <row r="312">
      <c r="C312" s="27"/>
    </row>
    <row r="313">
      <c r="C313" s="27"/>
    </row>
    <row r="314">
      <c r="C314" s="27"/>
    </row>
    <row r="315">
      <c r="C315" s="27"/>
    </row>
    <row r="316">
      <c r="C316" s="27"/>
    </row>
    <row r="317">
      <c r="C317" s="27"/>
    </row>
    <row r="318">
      <c r="C318" s="27"/>
    </row>
    <row r="319">
      <c r="C319" s="27"/>
    </row>
    <row r="320">
      <c r="C320" s="27"/>
    </row>
    <row r="321">
      <c r="C321" s="27"/>
    </row>
    <row r="322">
      <c r="C322" s="27"/>
    </row>
    <row r="323">
      <c r="C323" s="27"/>
    </row>
    <row r="324">
      <c r="C324" s="27"/>
    </row>
    <row r="325">
      <c r="C325" s="27"/>
    </row>
    <row r="326">
      <c r="C326" s="27"/>
    </row>
    <row r="327">
      <c r="C327" s="27"/>
    </row>
    <row r="328">
      <c r="C328" s="27"/>
    </row>
    <row r="329">
      <c r="C329" s="27"/>
    </row>
    <row r="330">
      <c r="C330" s="27"/>
    </row>
    <row r="331">
      <c r="C331" s="27"/>
    </row>
    <row r="332">
      <c r="C332" s="27"/>
    </row>
    <row r="333">
      <c r="C333" s="27"/>
    </row>
    <row r="334">
      <c r="C334" s="27"/>
    </row>
    <row r="335">
      <c r="C335" s="27"/>
    </row>
    <row r="336">
      <c r="C336" s="27"/>
    </row>
    <row r="337">
      <c r="C337" s="27"/>
    </row>
    <row r="338">
      <c r="C338" s="27"/>
    </row>
    <row r="339">
      <c r="C339" s="27"/>
    </row>
    <row r="340">
      <c r="C340" s="27"/>
    </row>
    <row r="341">
      <c r="C341" s="27"/>
    </row>
    <row r="342">
      <c r="C342" s="27"/>
    </row>
    <row r="343">
      <c r="C343" s="27"/>
    </row>
    <row r="344">
      <c r="C344" s="27"/>
    </row>
    <row r="345">
      <c r="C345" s="27"/>
    </row>
    <row r="346">
      <c r="C346" s="27"/>
    </row>
    <row r="347">
      <c r="C347" s="27"/>
    </row>
    <row r="348">
      <c r="C348" s="27"/>
    </row>
    <row r="349">
      <c r="C349" s="27"/>
    </row>
    <row r="350">
      <c r="C350" s="27"/>
    </row>
    <row r="351">
      <c r="C351" s="27"/>
    </row>
    <row r="352">
      <c r="C352" s="27"/>
    </row>
    <row r="353">
      <c r="C353" s="27"/>
    </row>
    <row r="354">
      <c r="C354" s="27"/>
    </row>
    <row r="355">
      <c r="C355" s="27"/>
    </row>
    <row r="356">
      <c r="C356" s="27"/>
    </row>
    <row r="357">
      <c r="C357" s="27"/>
    </row>
    <row r="358">
      <c r="C358" s="27"/>
    </row>
    <row r="359">
      <c r="C359" s="27"/>
    </row>
    <row r="360">
      <c r="C360" s="27"/>
    </row>
    <row r="361">
      <c r="C361" s="27"/>
    </row>
    <row r="362">
      <c r="C362" s="27"/>
    </row>
    <row r="363">
      <c r="C363" s="27"/>
    </row>
    <row r="364">
      <c r="C364" s="27"/>
    </row>
    <row r="365">
      <c r="C365" s="27"/>
    </row>
    <row r="366">
      <c r="C366" s="27"/>
    </row>
    <row r="367">
      <c r="C367" s="27"/>
    </row>
    <row r="368">
      <c r="C368" s="27"/>
    </row>
    <row r="369">
      <c r="C369" s="27"/>
    </row>
    <row r="370">
      <c r="C370" s="27"/>
    </row>
    <row r="371">
      <c r="C371" s="27"/>
    </row>
    <row r="372">
      <c r="C372" s="27"/>
    </row>
    <row r="373">
      <c r="C373" s="27"/>
    </row>
    <row r="374">
      <c r="C374" s="27"/>
    </row>
    <row r="375">
      <c r="C375" s="27"/>
    </row>
    <row r="376">
      <c r="C376" s="27"/>
    </row>
    <row r="377">
      <c r="C377" s="27"/>
    </row>
    <row r="378">
      <c r="C378" s="27"/>
    </row>
    <row r="379">
      <c r="C379" s="27"/>
    </row>
    <row r="380">
      <c r="C380" s="27"/>
    </row>
    <row r="381">
      <c r="C381" s="27"/>
    </row>
    <row r="382">
      <c r="C382" s="27"/>
    </row>
    <row r="383">
      <c r="C383" s="27"/>
    </row>
    <row r="384">
      <c r="C384" s="27"/>
    </row>
    <row r="385">
      <c r="C385" s="27"/>
    </row>
    <row r="386">
      <c r="C386" s="27"/>
    </row>
    <row r="387">
      <c r="C387" s="27"/>
    </row>
    <row r="388">
      <c r="C388" s="27"/>
    </row>
    <row r="389">
      <c r="C389" s="27"/>
    </row>
    <row r="390">
      <c r="C390" s="27"/>
    </row>
    <row r="391">
      <c r="C391" s="27"/>
    </row>
    <row r="392">
      <c r="C392" s="27"/>
    </row>
    <row r="393">
      <c r="C393" s="27"/>
    </row>
    <row r="394">
      <c r="C394" s="27"/>
    </row>
    <row r="395">
      <c r="C395" s="27"/>
    </row>
    <row r="396">
      <c r="C396" s="27"/>
    </row>
    <row r="397">
      <c r="C397" s="27"/>
    </row>
    <row r="398">
      <c r="C398" s="27"/>
    </row>
    <row r="399">
      <c r="C399" s="27"/>
    </row>
    <row r="400">
      <c r="C400" s="27"/>
    </row>
    <row r="401">
      <c r="C401" s="27"/>
    </row>
    <row r="402">
      <c r="C402" s="27"/>
    </row>
    <row r="403">
      <c r="C403" s="27"/>
    </row>
    <row r="404">
      <c r="C404" s="27"/>
    </row>
    <row r="405">
      <c r="C405" s="27"/>
    </row>
    <row r="406">
      <c r="C406" s="27"/>
    </row>
    <row r="407">
      <c r="C407" s="27"/>
    </row>
    <row r="408">
      <c r="C408" s="27"/>
    </row>
    <row r="409">
      <c r="C409" s="27"/>
    </row>
    <row r="410">
      <c r="C410" s="27"/>
    </row>
    <row r="411">
      <c r="C411" s="27"/>
    </row>
    <row r="412">
      <c r="C412" s="27"/>
    </row>
    <row r="413">
      <c r="C413" s="27"/>
    </row>
    <row r="414">
      <c r="C414" s="27"/>
    </row>
    <row r="415">
      <c r="C415" s="27"/>
    </row>
    <row r="416">
      <c r="C416" s="27"/>
    </row>
    <row r="417">
      <c r="C417" s="27"/>
    </row>
    <row r="418">
      <c r="C418" s="27"/>
    </row>
    <row r="419">
      <c r="C419" s="27"/>
    </row>
    <row r="420">
      <c r="C420" s="27"/>
    </row>
    <row r="421">
      <c r="C421" s="27"/>
    </row>
    <row r="422">
      <c r="C422" s="27"/>
    </row>
    <row r="423">
      <c r="C423" s="27"/>
    </row>
    <row r="424">
      <c r="C424" s="27"/>
    </row>
    <row r="425">
      <c r="C425" s="27"/>
    </row>
    <row r="426">
      <c r="C426" s="27"/>
    </row>
    <row r="427">
      <c r="C427" s="27"/>
    </row>
    <row r="428">
      <c r="C428" s="27"/>
    </row>
    <row r="429">
      <c r="C429" s="27"/>
    </row>
    <row r="430">
      <c r="C430" s="27"/>
    </row>
    <row r="431">
      <c r="C431" s="27"/>
    </row>
    <row r="432">
      <c r="C432" s="27"/>
    </row>
    <row r="433">
      <c r="C433" s="27"/>
    </row>
    <row r="434">
      <c r="C434" s="27"/>
    </row>
    <row r="435">
      <c r="C435" s="27"/>
    </row>
    <row r="436">
      <c r="C436" s="27"/>
    </row>
    <row r="437">
      <c r="C437" s="27"/>
    </row>
    <row r="438">
      <c r="C438" s="27"/>
    </row>
    <row r="439">
      <c r="C439" s="27"/>
    </row>
    <row r="440">
      <c r="C440" s="27"/>
    </row>
    <row r="441">
      <c r="C441" s="27"/>
    </row>
    <row r="442">
      <c r="C442" s="27"/>
    </row>
    <row r="443">
      <c r="C443" s="27"/>
    </row>
    <row r="444">
      <c r="C444" s="27"/>
    </row>
    <row r="445">
      <c r="C445" s="27"/>
    </row>
    <row r="446">
      <c r="C446" s="27"/>
    </row>
    <row r="447">
      <c r="C447" s="27"/>
    </row>
    <row r="448">
      <c r="C448" s="27"/>
    </row>
    <row r="449">
      <c r="C449" s="27"/>
    </row>
    <row r="450">
      <c r="C450" s="27"/>
    </row>
    <row r="451">
      <c r="C451" s="27"/>
    </row>
    <row r="452">
      <c r="C452" s="27"/>
    </row>
    <row r="453">
      <c r="C453" s="27"/>
    </row>
    <row r="454">
      <c r="C454" s="27"/>
    </row>
    <row r="455">
      <c r="C455" s="27"/>
    </row>
    <row r="456">
      <c r="C456" s="27"/>
    </row>
    <row r="457">
      <c r="C457" s="27"/>
    </row>
    <row r="458">
      <c r="C458" s="27"/>
    </row>
    <row r="459">
      <c r="C459" s="27"/>
    </row>
    <row r="460">
      <c r="C460" s="27"/>
    </row>
    <row r="461">
      <c r="C461" s="27"/>
    </row>
    <row r="462">
      <c r="C462" s="27"/>
    </row>
    <row r="463">
      <c r="C463" s="27"/>
    </row>
    <row r="464">
      <c r="C464" s="27"/>
    </row>
    <row r="465">
      <c r="C465" s="27"/>
    </row>
    <row r="466">
      <c r="C466" s="27"/>
    </row>
    <row r="467">
      <c r="C467" s="27"/>
    </row>
    <row r="468">
      <c r="C468" s="27"/>
    </row>
    <row r="469">
      <c r="C469" s="27"/>
    </row>
    <row r="470">
      <c r="C470" s="27"/>
    </row>
    <row r="471">
      <c r="C471" s="27"/>
    </row>
    <row r="472">
      <c r="C472" s="27"/>
    </row>
    <row r="473">
      <c r="C473" s="27"/>
    </row>
    <row r="474">
      <c r="C474" s="27"/>
    </row>
    <row r="475">
      <c r="C475" s="27"/>
    </row>
    <row r="476">
      <c r="C476" s="27"/>
    </row>
    <row r="477">
      <c r="C477" s="27"/>
    </row>
    <row r="478">
      <c r="C478" s="27"/>
    </row>
    <row r="479">
      <c r="C479" s="27"/>
    </row>
    <row r="480">
      <c r="C480" s="27"/>
    </row>
    <row r="481">
      <c r="C481" s="27"/>
    </row>
    <row r="482">
      <c r="C482" s="27"/>
    </row>
    <row r="483">
      <c r="C483" s="27"/>
    </row>
    <row r="484">
      <c r="C484" s="27"/>
    </row>
    <row r="485">
      <c r="C485" s="27"/>
    </row>
    <row r="486">
      <c r="C486" s="27"/>
    </row>
    <row r="487">
      <c r="C487" s="27"/>
    </row>
    <row r="488">
      <c r="C488" s="27"/>
    </row>
    <row r="489">
      <c r="C489" s="27"/>
    </row>
    <row r="490">
      <c r="C490" s="27"/>
    </row>
    <row r="491">
      <c r="C491" s="27"/>
    </row>
    <row r="492">
      <c r="C492" s="27"/>
    </row>
    <row r="493">
      <c r="C493" s="27"/>
    </row>
    <row r="494">
      <c r="C494" s="27"/>
    </row>
    <row r="495">
      <c r="C495" s="27"/>
    </row>
    <row r="496">
      <c r="C496" s="27"/>
    </row>
    <row r="497">
      <c r="C497" s="27"/>
    </row>
    <row r="498">
      <c r="C498" s="27"/>
    </row>
    <row r="499">
      <c r="C499" s="27"/>
    </row>
    <row r="500">
      <c r="C500" s="27"/>
    </row>
    <row r="501">
      <c r="C501" s="27"/>
    </row>
    <row r="502">
      <c r="C502" s="27"/>
    </row>
    <row r="503">
      <c r="C503" s="27"/>
    </row>
    <row r="504">
      <c r="C504" s="27"/>
    </row>
    <row r="505">
      <c r="C505" s="27"/>
    </row>
    <row r="506">
      <c r="C506" s="27"/>
    </row>
    <row r="507">
      <c r="C507" s="27"/>
    </row>
    <row r="508">
      <c r="C508" s="27"/>
    </row>
    <row r="509">
      <c r="C509" s="27"/>
    </row>
    <row r="510">
      <c r="C510" s="27"/>
    </row>
    <row r="511">
      <c r="C511" s="27"/>
    </row>
    <row r="512">
      <c r="C512" s="27"/>
    </row>
    <row r="513">
      <c r="C513" s="27"/>
    </row>
    <row r="514">
      <c r="C514" s="27"/>
    </row>
    <row r="515">
      <c r="C515" s="27"/>
    </row>
    <row r="516">
      <c r="C516" s="27"/>
    </row>
    <row r="517">
      <c r="C517" s="27"/>
    </row>
    <row r="518">
      <c r="C518" s="27"/>
    </row>
    <row r="519">
      <c r="C519" s="27"/>
    </row>
    <row r="520">
      <c r="C520" s="27"/>
    </row>
    <row r="521">
      <c r="C521" s="27"/>
    </row>
    <row r="522">
      <c r="C522" s="27"/>
    </row>
    <row r="523">
      <c r="C523" s="27"/>
    </row>
    <row r="524">
      <c r="C524" s="27"/>
    </row>
    <row r="525">
      <c r="C525" s="27"/>
    </row>
    <row r="526">
      <c r="C526" s="27"/>
    </row>
    <row r="527">
      <c r="C527" s="27"/>
    </row>
    <row r="528">
      <c r="C528" s="27"/>
    </row>
    <row r="529">
      <c r="C529" s="27"/>
    </row>
    <row r="530">
      <c r="C530" s="27"/>
    </row>
    <row r="531">
      <c r="C531" s="27"/>
    </row>
    <row r="532">
      <c r="C532" s="27"/>
    </row>
    <row r="533">
      <c r="C533" s="27"/>
    </row>
    <row r="534">
      <c r="C534" s="27"/>
    </row>
    <row r="535">
      <c r="C535" s="27"/>
    </row>
    <row r="536">
      <c r="C536" s="27"/>
    </row>
    <row r="537">
      <c r="C537" s="27"/>
    </row>
    <row r="538">
      <c r="C538" s="27"/>
    </row>
    <row r="539">
      <c r="C539" s="27"/>
    </row>
    <row r="540">
      <c r="C540" s="27"/>
    </row>
    <row r="541">
      <c r="C541" s="27"/>
    </row>
    <row r="542">
      <c r="C542" s="27"/>
    </row>
    <row r="543">
      <c r="C543" s="27"/>
    </row>
    <row r="544">
      <c r="C544" s="27"/>
    </row>
    <row r="545">
      <c r="C545" s="27"/>
    </row>
    <row r="546">
      <c r="C546" s="27"/>
    </row>
    <row r="547">
      <c r="C547" s="27"/>
    </row>
    <row r="548">
      <c r="C548" s="27"/>
    </row>
    <row r="549">
      <c r="C549" s="27"/>
    </row>
    <row r="550">
      <c r="C550" s="27"/>
    </row>
    <row r="551">
      <c r="C551" s="27"/>
    </row>
    <row r="552">
      <c r="C552" s="27"/>
    </row>
    <row r="553">
      <c r="C553" s="27"/>
    </row>
    <row r="554">
      <c r="C554" s="27"/>
    </row>
    <row r="555">
      <c r="C555" s="27"/>
    </row>
    <row r="556">
      <c r="C556" s="27"/>
    </row>
    <row r="557">
      <c r="C557" s="27"/>
    </row>
    <row r="558">
      <c r="C558" s="27"/>
    </row>
    <row r="559">
      <c r="C559" s="27"/>
    </row>
    <row r="560">
      <c r="C560" s="27"/>
    </row>
    <row r="561">
      <c r="C561" s="27"/>
    </row>
    <row r="562">
      <c r="C562" s="27"/>
    </row>
    <row r="563">
      <c r="C563" s="27"/>
    </row>
    <row r="564">
      <c r="C564" s="27"/>
    </row>
    <row r="565">
      <c r="C565" s="27"/>
    </row>
    <row r="566">
      <c r="C566" s="27"/>
    </row>
    <row r="567">
      <c r="C567" s="27"/>
    </row>
    <row r="568">
      <c r="C568" s="27"/>
    </row>
    <row r="569">
      <c r="C569" s="27"/>
    </row>
    <row r="570">
      <c r="C570" s="27"/>
    </row>
    <row r="571">
      <c r="C571" s="27"/>
    </row>
    <row r="572">
      <c r="C572" s="27"/>
    </row>
    <row r="573">
      <c r="C573" s="27"/>
    </row>
    <row r="574">
      <c r="C574" s="27"/>
    </row>
    <row r="575">
      <c r="C575" s="27"/>
    </row>
    <row r="576">
      <c r="C576" s="27"/>
    </row>
    <row r="577">
      <c r="C577" s="27"/>
    </row>
    <row r="578">
      <c r="C578" s="27"/>
    </row>
    <row r="579">
      <c r="C579" s="27"/>
    </row>
    <row r="580">
      <c r="C580" s="27"/>
    </row>
    <row r="581">
      <c r="C581" s="27"/>
    </row>
    <row r="582">
      <c r="C582" s="27"/>
    </row>
    <row r="583">
      <c r="C583" s="27"/>
    </row>
    <row r="584">
      <c r="C584" s="27"/>
    </row>
    <row r="585">
      <c r="C585" s="27"/>
    </row>
    <row r="586">
      <c r="C586" s="27"/>
    </row>
    <row r="587">
      <c r="C587" s="27"/>
    </row>
    <row r="588">
      <c r="C588" s="27"/>
    </row>
    <row r="589">
      <c r="C589" s="27"/>
    </row>
    <row r="590">
      <c r="C590" s="27"/>
    </row>
    <row r="591">
      <c r="C591" s="27"/>
    </row>
    <row r="592">
      <c r="C592" s="27"/>
    </row>
    <row r="593">
      <c r="C593" s="27"/>
    </row>
    <row r="594">
      <c r="C594" s="27"/>
    </row>
    <row r="595">
      <c r="C595" s="27"/>
    </row>
    <row r="596">
      <c r="C596" s="27"/>
    </row>
    <row r="597">
      <c r="C597" s="27"/>
    </row>
    <row r="598">
      <c r="C598" s="27"/>
    </row>
    <row r="599">
      <c r="C599" s="27"/>
    </row>
    <row r="600">
      <c r="C600" s="27"/>
    </row>
    <row r="601">
      <c r="C601" s="27"/>
    </row>
    <row r="602">
      <c r="C602" s="27"/>
    </row>
    <row r="603">
      <c r="C603" s="27"/>
    </row>
    <row r="604">
      <c r="C604" s="27"/>
    </row>
    <row r="605">
      <c r="C605" s="27"/>
    </row>
    <row r="606">
      <c r="C606" s="27"/>
    </row>
    <row r="607">
      <c r="C607" s="27"/>
    </row>
    <row r="608">
      <c r="C608" s="27"/>
    </row>
    <row r="609">
      <c r="C609" s="27"/>
    </row>
    <row r="610">
      <c r="C610" s="27"/>
    </row>
    <row r="611">
      <c r="C611" s="27"/>
    </row>
    <row r="612">
      <c r="C612" s="27"/>
    </row>
    <row r="613">
      <c r="C613" s="27"/>
    </row>
    <row r="614">
      <c r="C614" s="27"/>
    </row>
    <row r="615">
      <c r="C615" s="27"/>
    </row>
    <row r="616">
      <c r="C616" s="27"/>
    </row>
    <row r="617">
      <c r="C617" s="27"/>
    </row>
    <row r="618">
      <c r="C618" s="27"/>
    </row>
    <row r="619">
      <c r="C619" s="27"/>
    </row>
    <row r="620">
      <c r="C620" s="27"/>
    </row>
    <row r="621">
      <c r="C621" s="27"/>
    </row>
    <row r="622">
      <c r="C622" s="27"/>
    </row>
    <row r="623">
      <c r="C623" s="27"/>
    </row>
    <row r="624">
      <c r="C624" s="27"/>
    </row>
    <row r="625">
      <c r="C625" s="27"/>
    </row>
    <row r="626">
      <c r="C626" s="27"/>
    </row>
    <row r="627">
      <c r="C627" s="27"/>
    </row>
    <row r="628">
      <c r="C628" s="27"/>
    </row>
    <row r="629">
      <c r="C629" s="27"/>
    </row>
    <row r="630">
      <c r="C630" s="27"/>
    </row>
    <row r="631">
      <c r="C631" s="27"/>
    </row>
    <row r="632">
      <c r="C632" s="27"/>
    </row>
    <row r="633">
      <c r="C633" s="27"/>
    </row>
    <row r="634">
      <c r="C634" s="27"/>
    </row>
    <row r="635">
      <c r="C635" s="27"/>
    </row>
    <row r="636">
      <c r="C636" s="27"/>
    </row>
    <row r="637">
      <c r="C637" s="27"/>
    </row>
    <row r="638">
      <c r="C638" s="27"/>
    </row>
    <row r="639">
      <c r="C639" s="27"/>
    </row>
    <row r="640">
      <c r="C640" s="27"/>
    </row>
    <row r="641">
      <c r="C641" s="27"/>
    </row>
    <row r="642">
      <c r="C642" s="27"/>
    </row>
    <row r="643">
      <c r="C643" s="27"/>
    </row>
    <row r="644">
      <c r="C644" s="27"/>
    </row>
    <row r="645">
      <c r="C645" s="27"/>
    </row>
    <row r="646">
      <c r="C646" s="27"/>
    </row>
    <row r="647">
      <c r="C647" s="27"/>
    </row>
    <row r="648">
      <c r="C648" s="27"/>
    </row>
    <row r="649">
      <c r="C649" s="27"/>
    </row>
    <row r="650">
      <c r="C650" s="27"/>
    </row>
    <row r="651">
      <c r="C651" s="27"/>
    </row>
    <row r="652">
      <c r="C652" s="27"/>
    </row>
    <row r="653">
      <c r="C653" s="27"/>
    </row>
    <row r="654">
      <c r="C654" s="27"/>
    </row>
    <row r="655">
      <c r="C655" s="27"/>
    </row>
    <row r="656">
      <c r="C656" s="27"/>
    </row>
    <row r="657">
      <c r="C657" s="27"/>
    </row>
    <row r="658">
      <c r="C658" s="27"/>
    </row>
    <row r="659">
      <c r="C659" s="27"/>
    </row>
    <row r="660">
      <c r="C660" s="27"/>
    </row>
    <row r="661">
      <c r="C661" s="27"/>
    </row>
    <row r="662">
      <c r="C662" s="27"/>
    </row>
    <row r="663">
      <c r="C663" s="27"/>
    </row>
    <row r="664">
      <c r="C664" s="27"/>
    </row>
    <row r="665">
      <c r="C665" s="27"/>
    </row>
    <row r="666">
      <c r="C666" s="27"/>
    </row>
    <row r="667">
      <c r="C667" s="27"/>
    </row>
    <row r="668">
      <c r="C668" s="27"/>
    </row>
    <row r="669">
      <c r="C669" s="27"/>
    </row>
    <row r="670">
      <c r="C670" s="27"/>
    </row>
    <row r="671">
      <c r="C671" s="27"/>
    </row>
    <row r="672">
      <c r="C672" s="27"/>
    </row>
    <row r="673">
      <c r="C673" s="27"/>
    </row>
    <row r="674">
      <c r="C674" s="27"/>
    </row>
    <row r="675">
      <c r="C675" s="27"/>
    </row>
    <row r="676">
      <c r="C676" s="27"/>
    </row>
    <row r="677">
      <c r="C677" s="27"/>
    </row>
    <row r="678">
      <c r="C678" s="27"/>
    </row>
    <row r="679">
      <c r="C679" s="27"/>
    </row>
    <row r="680">
      <c r="C680" s="27"/>
    </row>
    <row r="681">
      <c r="C681" s="27"/>
    </row>
    <row r="682">
      <c r="C682" s="27"/>
    </row>
    <row r="683">
      <c r="C683" s="27"/>
    </row>
    <row r="684">
      <c r="C684" s="27"/>
    </row>
    <row r="685">
      <c r="C685" s="27"/>
    </row>
    <row r="686">
      <c r="C686" s="27"/>
    </row>
    <row r="687">
      <c r="C687" s="27"/>
    </row>
    <row r="688">
      <c r="C688" s="27"/>
    </row>
    <row r="689">
      <c r="C689" s="27"/>
    </row>
    <row r="690">
      <c r="C690" s="27"/>
    </row>
    <row r="691">
      <c r="C691" s="27"/>
    </row>
    <row r="692">
      <c r="C692" s="27"/>
    </row>
    <row r="693">
      <c r="C693" s="27"/>
    </row>
    <row r="694">
      <c r="C694" s="27"/>
    </row>
    <row r="695">
      <c r="C695" s="27"/>
    </row>
    <row r="696">
      <c r="C696" s="27"/>
    </row>
    <row r="697">
      <c r="C697" s="27"/>
    </row>
    <row r="698">
      <c r="C698" s="27"/>
    </row>
    <row r="699">
      <c r="C699" s="27"/>
    </row>
    <row r="700">
      <c r="C700" s="27"/>
    </row>
    <row r="701">
      <c r="C701" s="27"/>
    </row>
    <row r="702">
      <c r="C702" s="27"/>
    </row>
    <row r="703">
      <c r="C703" s="27"/>
    </row>
    <row r="704">
      <c r="C704" s="27"/>
    </row>
    <row r="705">
      <c r="C705" s="27"/>
    </row>
    <row r="706">
      <c r="C706" s="27"/>
    </row>
    <row r="707">
      <c r="C707" s="27"/>
    </row>
    <row r="708">
      <c r="C708" s="27"/>
    </row>
    <row r="709">
      <c r="C709" s="27"/>
    </row>
    <row r="710">
      <c r="C710" s="27"/>
    </row>
    <row r="711">
      <c r="C711" s="27"/>
    </row>
    <row r="712">
      <c r="C712" s="27"/>
    </row>
    <row r="713">
      <c r="C713" s="27"/>
    </row>
    <row r="714">
      <c r="C714" s="27"/>
    </row>
    <row r="715">
      <c r="C715" s="27"/>
    </row>
    <row r="716">
      <c r="C716" s="27"/>
    </row>
    <row r="717">
      <c r="C717" s="27"/>
    </row>
    <row r="718">
      <c r="C718" s="27"/>
    </row>
    <row r="719">
      <c r="C719" s="27"/>
    </row>
    <row r="720">
      <c r="C720" s="27"/>
    </row>
    <row r="721">
      <c r="C721" s="27"/>
    </row>
    <row r="722">
      <c r="C722" s="27"/>
    </row>
    <row r="723">
      <c r="C723" s="27"/>
    </row>
    <row r="724">
      <c r="C724" s="27"/>
    </row>
    <row r="725">
      <c r="C725" s="27"/>
    </row>
    <row r="726">
      <c r="C726" s="27"/>
    </row>
    <row r="727">
      <c r="C727" s="27"/>
    </row>
    <row r="728">
      <c r="C728" s="27"/>
    </row>
    <row r="729">
      <c r="C729" s="27"/>
    </row>
    <row r="730">
      <c r="C730" s="27"/>
    </row>
    <row r="731">
      <c r="C731" s="27"/>
    </row>
    <row r="732">
      <c r="C732" s="27"/>
    </row>
    <row r="733">
      <c r="C733" s="27"/>
    </row>
    <row r="734">
      <c r="C734" s="27"/>
    </row>
    <row r="735">
      <c r="C735" s="27"/>
    </row>
    <row r="736">
      <c r="C736" s="27"/>
    </row>
    <row r="737">
      <c r="C737" s="27"/>
    </row>
    <row r="738">
      <c r="C738" s="27"/>
    </row>
    <row r="739">
      <c r="C739" s="27"/>
    </row>
    <row r="740">
      <c r="C740" s="27"/>
    </row>
    <row r="741">
      <c r="C741" s="27"/>
    </row>
    <row r="742">
      <c r="C742" s="27"/>
    </row>
    <row r="743">
      <c r="C743" s="27"/>
    </row>
    <row r="744">
      <c r="C744" s="27"/>
    </row>
    <row r="745">
      <c r="C745" s="27"/>
    </row>
    <row r="746">
      <c r="C746" s="27"/>
    </row>
    <row r="747">
      <c r="C747" s="27"/>
    </row>
    <row r="748">
      <c r="C748" s="27"/>
    </row>
    <row r="749">
      <c r="C749" s="27"/>
    </row>
    <row r="750">
      <c r="C750" s="27"/>
    </row>
    <row r="751">
      <c r="C751" s="27"/>
    </row>
    <row r="752">
      <c r="C752" s="27"/>
    </row>
    <row r="753">
      <c r="C753" s="27"/>
    </row>
    <row r="754">
      <c r="C754" s="27"/>
    </row>
    <row r="755">
      <c r="C755" s="27"/>
    </row>
    <row r="756">
      <c r="C756" s="27"/>
    </row>
    <row r="757">
      <c r="C757" s="27"/>
    </row>
    <row r="758">
      <c r="C758" s="27"/>
    </row>
    <row r="759">
      <c r="C759" s="27"/>
    </row>
    <row r="760">
      <c r="C760" s="27"/>
    </row>
    <row r="761">
      <c r="C761" s="27"/>
    </row>
    <row r="762">
      <c r="C762" s="27"/>
    </row>
    <row r="763">
      <c r="C763" s="27"/>
    </row>
    <row r="764">
      <c r="C764" s="27"/>
    </row>
    <row r="765">
      <c r="C765" s="27"/>
    </row>
    <row r="766">
      <c r="C766" s="27"/>
    </row>
    <row r="767">
      <c r="C767" s="27"/>
    </row>
    <row r="768">
      <c r="C768" s="27"/>
    </row>
    <row r="769">
      <c r="C769" s="27"/>
    </row>
    <row r="770">
      <c r="C770" s="27"/>
    </row>
    <row r="771">
      <c r="C771" s="27"/>
    </row>
    <row r="772">
      <c r="C772" s="27"/>
    </row>
    <row r="773">
      <c r="C773" s="27"/>
    </row>
    <row r="774">
      <c r="C774" s="27"/>
    </row>
    <row r="775">
      <c r="C775" s="27"/>
    </row>
    <row r="776">
      <c r="C776" s="27"/>
    </row>
    <row r="777">
      <c r="C777" s="27"/>
    </row>
    <row r="778">
      <c r="C778" s="27"/>
    </row>
    <row r="779">
      <c r="C779" s="27"/>
    </row>
    <row r="780">
      <c r="C780" s="27"/>
    </row>
    <row r="781">
      <c r="C781" s="27"/>
    </row>
    <row r="782">
      <c r="C782" s="27"/>
    </row>
    <row r="783">
      <c r="C783" s="27"/>
    </row>
    <row r="784">
      <c r="C784" s="27"/>
    </row>
    <row r="785">
      <c r="C785" s="27"/>
    </row>
    <row r="786">
      <c r="C786" s="27"/>
    </row>
    <row r="787">
      <c r="C787" s="27"/>
    </row>
    <row r="788">
      <c r="C788" s="27"/>
    </row>
    <row r="789">
      <c r="C789" s="27"/>
    </row>
    <row r="790">
      <c r="C790" s="27"/>
    </row>
    <row r="791">
      <c r="C791" s="27"/>
    </row>
    <row r="792">
      <c r="C792" s="27"/>
    </row>
    <row r="793">
      <c r="C793" s="27"/>
    </row>
    <row r="794">
      <c r="C794" s="27"/>
    </row>
    <row r="795">
      <c r="C795" s="27"/>
    </row>
    <row r="796">
      <c r="C796" s="27"/>
    </row>
    <row r="797">
      <c r="C797" s="27"/>
    </row>
    <row r="798">
      <c r="C798" s="27"/>
    </row>
    <row r="799">
      <c r="C799" s="27"/>
    </row>
    <row r="800">
      <c r="C800" s="27"/>
    </row>
    <row r="801">
      <c r="C801" s="27"/>
    </row>
    <row r="802">
      <c r="C802" s="27"/>
    </row>
    <row r="803">
      <c r="C803" s="27"/>
    </row>
    <row r="804">
      <c r="C804" s="27"/>
    </row>
    <row r="805">
      <c r="C805" s="27"/>
    </row>
    <row r="806">
      <c r="C806" s="27"/>
    </row>
    <row r="807">
      <c r="C807" s="27"/>
    </row>
    <row r="808">
      <c r="C808" s="27"/>
    </row>
    <row r="809">
      <c r="C809" s="27"/>
    </row>
    <row r="810">
      <c r="C810" s="27"/>
    </row>
    <row r="811">
      <c r="C811" s="27"/>
    </row>
    <row r="812">
      <c r="C812" s="27"/>
    </row>
    <row r="813">
      <c r="C813" s="27"/>
    </row>
    <row r="814">
      <c r="C814" s="27"/>
    </row>
    <row r="815">
      <c r="C815" s="27"/>
    </row>
    <row r="816">
      <c r="C816" s="27"/>
    </row>
    <row r="817">
      <c r="C817" s="27"/>
    </row>
    <row r="818">
      <c r="C818" s="27"/>
    </row>
    <row r="819">
      <c r="C819" s="27"/>
    </row>
    <row r="820">
      <c r="C820" s="27"/>
    </row>
    <row r="821">
      <c r="C821" s="27"/>
    </row>
    <row r="822">
      <c r="C822" s="27"/>
    </row>
    <row r="823">
      <c r="C823" s="27"/>
    </row>
    <row r="824">
      <c r="C824" s="27"/>
    </row>
    <row r="825">
      <c r="C825" s="27"/>
    </row>
    <row r="826">
      <c r="C826" s="27"/>
    </row>
    <row r="827">
      <c r="C827" s="27"/>
    </row>
    <row r="828">
      <c r="C828" s="27"/>
    </row>
    <row r="829">
      <c r="C829" s="27"/>
    </row>
    <row r="830">
      <c r="C830" s="27"/>
    </row>
    <row r="831">
      <c r="C831" s="27"/>
    </row>
    <row r="832">
      <c r="C832" s="27"/>
    </row>
    <row r="833">
      <c r="C833" s="27"/>
    </row>
    <row r="834">
      <c r="C834" s="27"/>
    </row>
    <row r="835">
      <c r="C835" s="27"/>
    </row>
    <row r="836">
      <c r="C836" s="27"/>
    </row>
    <row r="837">
      <c r="C837" s="27"/>
    </row>
    <row r="838">
      <c r="C838" s="27"/>
    </row>
    <row r="839">
      <c r="C839" s="27"/>
    </row>
    <row r="840">
      <c r="C840" s="27"/>
    </row>
    <row r="841">
      <c r="C841" s="27"/>
    </row>
    <row r="842">
      <c r="C842" s="27"/>
    </row>
    <row r="843">
      <c r="C843" s="27"/>
    </row>
    <row r="844">
      <c r="C844" s="27"/>
    </row>
    <row r="845">
      <c r="C845" s="27"/>
    </row>
    <row r="846">
      <c r="C846" s="27"/>
    </row>
    <row r="847">
      <c r="C847" s="27"/>
    </row>
    <row r="848">
      <c r="C848" s="27"/>
    </row>
    <row r="849">
      <c r="C849" s="27"/>
    </row>
    <row r="850">
      <c r="C850" s="27"/>
    </row>
    <row r="851">
      <c r="C851" s="27"/>
    </row>
    <row r="852">
      <c r="C852" s="27"/>
    </row>
    <row r="853">
      <c r="C853" s="27"/>
    </row>
    <row r="854">
      <c r="C854" s="27"/>
    </row>
    <row r="855">
      <c r="C855" s="27"/>
    </row>
    <row r="856">
      <c r="C856" s="27"/>
    </row>
    <row r="857">
      <c r="C857" s="27"/>
    </row>
    <row r="858">
      <c r="C858" s="27"/>
    </row>
    <row r="859">
      <c r="C859" s="27"/>
    </row>
    <row r="860">
      <c r="C860" s="27"/>
    </row>
    <row r="861">
      <c r="C861" s="27"/>
    </row>
    <row r="862">
      <c r="C862" s="27"/>
    </row>
    <row r="863">
      <c r="C863" s="27"/>
    </row>
    <row r="864">
      <c r="C864" s="27"/>
    </row>
    <row r="865">
      <c r="C865" s="27"/>
    </row>
    <row r="866">
      <c r="C866" s="27"/>
    </row>
    <row r="867">
      <c r="C867" s="27"/>
    </row>
    <row r="868">
      <c r="C868" s="27"/>
    </row>
    <row r="869">
      <c r="C869" s="27"/>
    </row>
    <row r="870">
      <c r="C870" s="27"/>
    </row>
    <row r="871">
      <c r="C871" s="27"/>
    </row>
    <row r="872">
      <c r="C872" s="27"/>
    </row>
    <row r="873">
      <c r="C873" s="27"/>
    </row>
    <row r="874">
      <c r="C874" s="27"/>
    </row>
    <row r="875">
      <c r="C875" s="27"/>
    </row>
    <row r="876">
      <c r="C876" s="27"/>
    </row>
    <row r="877">
      <c r="C877" s="27"/>
    </row>
    <row r="878">
      <c r="C878" s="27"/>
    </row>
    <row r="879">
      <c r="C879" s="27"/>
    </row>
    <row r="880">
      <c r="C880" s="27"/>
    </row>
    <row r="881">
      <c r="C881" s="27"/>
    </row>
    <row r="882">
      <c r="C882" s="27"/>
    </row>
    <row r="883">
      <c r="C883" s="27"/>
    </row>
    <row r="884">
      <c r="C884" s="27"/>
    </row>
    <row r="885">
      <c r="C885" s="27"/>
    </row>
    <row r="886">
      <c r="C886" s="27"/>
    </row>
    <row r="887">
      <c r="C887" s="27"/>
    </row>
    <row r="888">
      <c r="C888" s="27"/>
    </row>
    <row r="889">
      <c r="C889" s="27"/>
    </row>
    <row r="890">
      <c r="C890" s="27"/>
    </row>
    <row r="891">
      <c r="C891" s="27"/>
    </row>
    <row r="892">
      <c r="C892" s="27"/>
    </row>
    <row r="893">
      <c r="C893" s="27"/>
    </row>
    <row r="894">
      <c r="C894" s="27"/>
    </row>
    <row r="895">
      <c r="C895" s="27"/>
    </row>
    <row r="896">
      <c r="C896" s="27"/>
    </row>
    <row r="897">
      <c r="C897" s="27"/>
    </row>
    <row r="898">
      <c r="C898" s="27"/>
    </row>
    <row r="899">
      <c r="C899" s="27"/>
    </row>
    <row r="900">
      <c r="C900" s="27"/>
    </row>
    <row r="901">
      <c r="C901" s="27"/>
    </row>
    <row r="902">
      <c r="C902" s="27"/>
    </row>
    <row r="903">
      <c r="C903" s="27"/>
    </row>
    <row r="904">
      <c r="C904" s="27"/>
    </row>
    <row r="905">
      <c r="C905" s="27"/>
    </row>
    <row r="906">
      <c r="C906" s="27"/>
    </row>
    <row r="907">
      <c r="C907" s="27"/>
    </row>
    <row r="908">
      <c r="C908" s="27"/>
    </row>
    <row r="909">
      <c r="C909" s="27"/>
    </row>
    <row r="910">
      <c r="C910" s="27"/>
    </row>
    <row r="911">
      <c r="C911" s="27"/>
    </row>
    <row r="912">
      <c r="C912" s="27"/>
    </row>
    <row r="913">
      <c r="C913" s="27"/>
    </row>
    <row r="914">
      <c r="C914" s="27"/>
    </row>
    <row r="915">
      <c r="C915" s="27"/>
    </row>
    <row r="916">
      <c r="C916" s="27"/>
    </row>
    <row r="917">
      <c r="C917" s="27"/>
    </row>
    <row r="918">
      <c r="C918" s="27"/>
    </row>
    <row r="919">
      <c r="C919" s="27"/>
    </row>
    <row r="920">
      <c r="C920" s="27"/>
    </row>
    <row r="921">
      <c r="C921" s="27"/>
    </row>
    <row r="922">
      <c r="C922" s="27"/>
    </row>
    <row r="923">
      <c r="C923" s="27"/>
    </row>
    <row r="924">
      <c r="C924" s="27"/>
    </row>
    <row r="925">
      <c r="C925" s="27"/>
    </row>
    <row r="926">
      <c r="C926" s="27"/>
    </row>
    <row r="927">
      <c r="C927" s="27"/>
    </row>
    <row r="928">
      <c r="C928" s="27"/>
    </row>
    <row r="929">
      <c r="C929" s="27"/>
    </row>
    <row r="930">
      <c r="C930" s="27"/>
    </row>
    <row r="931">
      <c r="C931" s="27"/>
    </row>
    <row r="932">
      <c r="C932" s="27"/>
    </row>
    <row r="933">
      <c r="C933" s="27"/>
    </row>
    <row r="934">
      <c r="C934" s="27"/>
    </row>
    <row r="935">
      <c r="C935" s="27"/>
    </row>
    <row r="936">
      <c r="C936" s="27"/>
    </row>
    <row r="937">
      <c r="C937" s="27"/>
    </row>
    <row r="938">
      <c r="C938" s="27"/>
    </row>
    <row r="939">
      <c r="C939" s="27"/>
    </row>
    <row r="940">
      <c r="C940" s="27"/>
    </row>
    <row r="941">
      <c r="C941" s="27"/>
    </row>
    <row r="942">
      <c r="C942" s="27"/>
    </row>
    <row r="943">
      <c r="C943" s="27"/>
    </row>
    <row r="944">
      <c r="C944" s="27"/>
    </row>
    <row r="945">
      <c r="C945" s="27"/>
    </row>
    <row r="946">
      <c r="C946" s="27"/>
    </row>
    <row r="947">
      <c r="C947" s="27"/>
    </row>
    <row r="948">
      <c r="C948" s="27"/>
    </row>
    <row r="949">
      <c r="C949" s="27"/>
    </row>
    <row r="950">
      <c r="C950" s="27"/>
    </row>
    <row r="951">
      <c r="C951" s="27"/>
    </row>
    <row r="952">
      <c r="C952" s="27"/>
    </row>
    <row r="953">
      <c r="C953" s="27"/>
    </row>
    <row r="954">
      <c r="C954" s="27"/>
    </row>
    <row r="955">
      <c r="C955" s="27"/>
    </row>
    <row r="956">
      <c r="C956" s="27"/>
    </row>
    <row r="957">
      <c r="C957" s="27"/>
    </row>
    <row r="958">
      <c r="C958" s="27"/>
    </row>
    <row r="959">
      <c r="C959" s="27"/>
    </row>
    <row r="960">
      <c r="C960" s="27"/>
    </row>
    <row r="961">
      <c r="C961" s="27"/>
    </row>
    <row r="962">
      <c r="C962" s="27"/>
    </row>
    <row r="963">
      <c r="C963" s="27"/>
    </row>
    <row r="964">
      <c r="C964" s="27"/>
    </row>
    <row r="965">
      <c r="C965" s="27"/>
    </row>
    <row r="966">
      <c r="C966" s="27"/>
    </row>
    <row r="967">
      <c r="C967" s="27"/>
    </row>
    <row r="968">
      <c r="C968" s="27"/>
    </row>
    <row r="969">
      <c r="C969" s="27"/>
    </row>
    <row r="970">
      <c r="C970" s="27"/>
    </row>
    <row r="971">
      <c r="C971" s="27"/>
    </row>
    <row r="972">
      <c r="C972" s="27"/>
    </row>
    <row r="973">
      <c r="C973" s="27"/>
    </row>
    <row r="974">
      <c r="C974" s="27"/>
    </row>
    <row r="975">
      <c r="C975" s="27"/>
    </row>
    <row r="976">
      <c r="C976" s="27"/>
    </row>
    <row r="977">
      <c r="C977" s="27"/>
    </row>
    <row r="978">
      <c r="C978" s="27"/>
    </row>
    <row r="979">
      <c r="C979" s="27"/>
    </row>
    <row r="980">
      <c r="C980" s="27"/>
    </row>
    <row r="981">
      <c r="C981" s="27"/>
    </row>
    <row r="982">
      <c r="C982" s="27"/>
    </row>
    <row r="983">
      <c r="C983" s="27"/>
    </row>
    <row r="984">
      <c r="C984" s="27"/>
    </row>
    <row r="985">
      <c r="C985" s="27"/>
    </row>
    <row r="986">
      <c r="C986" s="27"/>
    </row>
    <row r="987">
      <c r="C987" s="27"/>
    </row>
    <row r="988">
      <c r="C988" s="27"/>
    </row>
    <row r="989">
      <c r="C989" s="27"/>
    </row>
    <row r="990">
      <c r="C990" s="27"/>
    </row>
    <row r="991">
      <c r="C991" s="27"/>
    </row>
    <row r="992">
      <c r="C992" s="27"/>
    </row>
    <row r="993">
      <c r="C993" s="27"/>
    </row>
    <row r="994">
      <c r="C994" s="27"/>
    </row>
    <row r="995">
      <c r="C995" s="27"/>
    </row>
    <row r="996">
      <c r="C996" s="27"/>
    </row>
    <row r="997">
      <c r="C997" s="27"/>
    </row>
    <row r="998">
      <c r="C998" s="27"/>
    </row>
    <row r="999">
      <c r="C999" s="27"/>
    </row>
    <row r="1000">
      <c r="C1000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4" width="8.71"/>
    <col customWidth="1" min="5" max="5" width="19.29"/>
    <col customWidth="1" min="6" max="14" width="8.71"/>
    <col customWidth="1" min="15" max="15" width="29.0"/>
    <col customWidth="1" min="16" max="16" width="24.29"/>
    <col customWidth="1" min="17" max="18" width="8.71"/>
    <col customWidth="1" min="19" max="19" width="19.29"/>
    <col customWidth="1" min="20" max="25" width="8.71"/>
    <col customWidth="1" min="26" max="26" width="19.29"/>
    <col customWidth="1" min="27" max="27" width="11.29"/>
    <col customWidth="1" min="28" max="28" width="8.71"/>
    <col customWidth="1" min="29" max="29" width="19.29"/>
    <col customWidth="1" min="30" max="31" width="8.71"/>
  </cols>
  <sheetData>
    <row r="1">
      <c r="A1" s="42">
        <f>B1-WEEKDAY(B1,1)+7</f>
        <v>45801</v>
      </c>
      <c r="B1" s="43">
        <v>45795.0</v>
      </c>
      <c r="C1" s="44" t="str">
        <f t="shared" ref="C1:C60" si="1">TEXT(TIME(RANDBETWEEN(9,17),RANDBETWEEN(0,59),RANDBETWEEN(0,59)),"HH:MM:SS")</f>
        <v>16:39:58</v>
      </c>
      <c r="D1" s="45" t="str">
        <f t="array" ref="D1:D60">SORT(C1:C60,1,TRUE)</f>
        <v>09:25:32</v>
      </c>
      <c r="E1" s="46" t="str">
        <f t="shared" ref="E1:E60" si="2">TEXTJOIN(" ",TRUE,TEXT($B1,"mm/dd/yyyy"),$D1)</f>
        <v>05/18/2025 09:25:32</v>
      </c>
      <c r="H1" s="47" t="s">
        <v>1353</v>
      </c>
      <c r="I1" s="38">
        <f t="array" ref="I1:I300">SEQUENCE(300)</f>
        <v>1</v>
      </c>
      <c r="J1" s="38" t="str">
        <f t="shared" ref="J1:J300" si="3">IF(LEN($I1)=3,TEXTJOIN("",TRUE,$H1,$I1),IF(AND(LEN($I1)&lt;3,LEN($I1)&gt;1),TEXTJOIN("",TRUE,$H1,0,$I1),TEXTJOIN("",TRUE,$H1,0,0,$I1)))</f>
        <v>P001</v>
      </c>
      <c r="K1" s="38">
        <f t="shared" ref="K1:K100" si="4">RANDBETWEEN(1,100)</f>
        <v>64</v>
      </c>
      <c r="L1" s="38" t="str">
        <f t="shared" ref="L1:L100" si="5">IF(LEN($K1)=3,TEXTJOIN("",TRUE,$H1,$K1),IF(AND(LEN($K1)&lt;3,LEN($K1)&gt;1),TEXTJOIN("",TRUE,$H1,0,$K1),TEXTJOIN("",TRUE,$H1,0,0,$K1)))</f>
        <v>P064</v>
      </c>
      <c r="O1" s="48" t="s">
        <v>1354</v>
      </c>
      <c r="P1" s="38" t="str">
        <f>IFERROR(__xludf.DUMMYFUNCTION("SPLIT($O1,""-"")"),"Rice 1kg ")</f>
        <v>Rice 1kg </v>
      </c>
      <c r="Q1" s="38" t="str">
        <f>IFERROR(__xludf.DUMMYFUNCTION("""COMPUTED_VALUE""")," ₹60")</f>
        <v> ₹60</v>
      </c>
      <c r="S1" s="39" t="str">
        <f>IFERROR(__xludf.DUMMYFUNCTION("UNIQUE(bill_counter!$C$902:$C$1152)"),"05/24/2025 9:04:18")</f>
        <v>05/24/2025 9:04:18</v>
      </c>
      <c r="T1" s="38" t="s">
        <v>637</v>
      </c>
      <c r="X1" s="49" t="s">
        <v>225</v>
      </c>
      <c r="Z1" s="39" t="s">
        <v>211</v>
      </c>
      <c r="AA1" s="50">
        <v>45801.0</v>
      </c>
      <c r="AB1" s="51">
        <v>0.37798611111111113</v>
      </c>
      <c r="AC1" s="38" t="str">
        <f t="shared" ref="AC1:AC150" si="6">TEXTJOIN(" ",TRUE,$AA1,$AB1)</f>
        <v>05/24/2025 9:04:18</v>
      </c>
    </row>
    <row r="2">
      <c r="B2" s="43">
        <v>45795.0</v>
      </c>
      <c r="C2" s="44" t="str">
        <f t="shared" si="1"/>
        <v>14:49:21</v>
      </c>
      <c r="D2" s="45" t="s">
        <v>1355</v>
      </c>
      <c r="E2" s="46" t="str">
        <f t="shared" si="2"/>
        <v>05/18/2025 09:28:20</v>
      </c>
      <c r="H2" s="47" t="s">
        <v>1353</v>
      </c>
      <c r="I2" s="38">
        <v>2.0</v>
      </c>
      <c r="J2" s="38" t="str">
        <f t="shared" si="3"/>
        <v>P002</v>
      </c>
      <c r="K2" s="38">
        <f t="shared" si="4"/>
        <v>8</v>
      </c>
      <c r="L2" s="38" t="str">
        <f t="shared" si="5"/>
        <v>P008</v>
      </c>
      <c r="O2" s="48" t="s">
        <v>1356</v>
      </c>
      <c r="P2" s="38" t="str">
        <f>IFERROR(__xludf.DUMMYFUNCTION("SPLIT($O2,""-"")"),"Dal (Lentils) 1kg ")</f>
        <v>Dal (Lentils) 1kg </v>
      </c>
      <c r="Q2" s="38" t="str">
        <f>IFERROR(__xludf.DUMMYFUNCTION("""COMPUTED_VALUE""")," ₹100")</f>
        <v> ₹100</v>
      </c>
      <c r="S2" s="39" t="str">
        <f>IFERROR(__xludf.DUMMYFUNCTION("""COMPUTED_VALUE"""),"05/24/2025 9:16:19")</f>
        <v>05/24/2025 9:16:19</v>
      </c>
      <c r="T2" s="38" t="s">
        <v>639</v>
      </c>
      <c r="X2" s="49" t="s">
        <v>225</v>
      </c>
      <c r="Z2" s="39" t="s">
        <v>211</v>
      </c>
      <c r="AA2" s="50">
        <v>45801.0</v>
      </c>
      <c r="AB2" s="51">
        <v>0.37798611111111113</v>
      </c>
      <c r="AC2" s="38" t="str">
        <f t="shared" si="6"/>
        <v>05/24/2025 9:04:18</v>
      </c>
    </row>
    <row r="3">
      <c r="B3" s="43">
        <v>45795.0</v>
      </c>
      <c r="C3" s="44" t="str">
        <f t="shared" si="1"/>
        <v>09:44:40</v>
      </c>
      <c r="D3" s="45" t="s">
        <v>1357</v>
      </c>
      <c r="E3" s="46" t="str">
        <f t="shared" si="2"/>
        <v>05/18/2025 09:31:35</v>
      </c>
      <c r="H3" s="47" t="s">
        <v>1353</v>
      </c>
      <c r="I3" s="38">
        <v>3.0</v>
      </c>
      <c r="J3" s="38" t="str">
        <f t="shared" si="3"/>
        <v>P003</v>
      </c>
      <c r="K3" s="38">
        <f t="shared" si="4"/>
        <v>84</v>
      </c>
      <c r="L3" s="38" t="str">
        <f t="shared" si="5"/>
        <v>P084</v>
      </c>
      <c r="O3" s="48" t="s">
        <v>1358</v>
      </c>
      <c r="P3" s="38" t="str">
        <f>IFERROR(__xludf.DUMMYFUNCTION("SPLIT($O3,""-"")"),"Sugar 1kg ")</f>
        <v>Sugar 1kg </v>
      </c>
      <c r="Q3" s="38" t="str">
        <f>IFERROR(__xludf.DUMMYFUNCTION("""COMPUTED_VALUE""")," ₹45")</f>
        <v> ₹45</v>
      </c>
      <c r="S3" s="39" t="str">
        <f>IFERROR(__xludf.DUMMYFUNCTION("""COMPUTED_VALUE"""),"05/24/2025 9:41:48")</f>
        <v>05/24/2025 9:41:48</v>
      </c>
      <c r="T3" s="38" t="s">
        <v>641</v>
      </c>
      <c r="X3" s="49" t="s">
        <v>225</v>
      </c>
      <c r="Z3" s="39" t="s">
        <v>211</v>
      </c>
      <c r="AA3" s="50">
        <v>45801.0</v>
      </c>
      <c r="AB3" s="51">
        <v>0.37798611111111113</v>
      </c>
      <c r="AC3" s="38" t="str">
        <f t="shared" si="6"/>
        <v>05/24/2025 9:04:18</v>
      </c>
    </row>
    <row r="4">
      <c r="B4" s="43">
        <v>45795.0</v>
      </c>
      <c r="C4" s="44" t="str">
        <f t="shared" si="1"/>
        <v>09:49:41</v>
      </c>
      <c r="D4" s="45" t="s">
        <v>1359</v>
      </c>
      <c r="E4" s="46" t="str">
        <f t="shared" si="2"/>
        <v>05/18/2025 09:43:27</v>
      </c>
      <c r="H4" s="47" t="s">
        <v>1353</v>
      </c>
      <c r="I4" s="38">
        <v>4.0</v>
      </c>
      <c r="J4" s="38" t="str">
        <f t="shared" si="3"/>
        <v>P004</v>
      </c>
      <c r="K4" s="38">
        <f t="shared" si="4"/>
        <v>23</v>
      </c>
      <c r="L4" s="38" t="str">
        <f t="shared" si="5"/>
        <v>P023</v>
      </c>
      <c r="O4" s="48" t="s">
        <v>1360</v>
      </c>
      <c r="P4" s="38" t="str">
        <f>IFERROR(__xludf.DUMMYFUNCTION("SPLIT($O4,""-"")"),"Aata (Wheat Flour) 1kg ")</f>
        <v>Aata (Wheat Flour) 1kg </v>
      </c>
      <c r="Q4" s="38" t="str">
        <f>IFERROR(__xludf.DUMMYFUNCTION("""COMPUTED_VALUE""")," ₹40")</f>
        <v> ₹40</v>
      </c>
      <c r="S4" s="39" t="str">
        <f>IFERROR(__xludf.DUMMYFUNCTION("""COMPUTED_VALUE"""),"05/24/2025 10:17:38")</f>
        <v>05/24/2025 10:17:38</v>
      </c>
      <c r="T4" s="38" t="s">
        <v>643</v>
      </c>
      <c r="X4" s="49" t="s">
        <v>225</v>
      </c>
      <c r="Z4" s="39" t="s">
        <v>213</v>
      </c>
      <c r="AA4" s="50">
        <v>45801.0</v>
      </c>
      <c r="AB4" s="51">
        <v>0.38633101851851853</v>
      </c>
      <c r="AC4" s="38" t="str">
        <f t="shared" si="6"/>
        <v>05/24/2025 9:16:19</v>
      </c>
    </row>
    <row r="5">
      <c r="B5" s="43">
        <v>45795.0</v>
      </c>
      <c r="C5" s="44" t="str">
        <f t="shared" si="1"/>
        <v>17:20:43</v>
      </c>
      <c r="D5" s="45" t="s">
        <v>1361</v>
      </c>
      <c r="E5" s="46" t="str">
        <f t="shared" si="2"/>
        <v>05/18/2025 09:44:40</v>
      </c>
      <c r="H5" s="47" t="s">
        <v>1353</v>
      </c>
      <c r="I5" s="38">
        <v>5.0</v>
      </c>
      <c r="J5" s="38" t="str">
        <f t="shared" si="3"/>
        <v>P005</v>
      </c>
      <c r="K5" s="38">
        <f t="shared" si="4"/>
        <v>68</v>
      </c>
      <c r="L5" s="38" t="str">
        <f t="shared" si="5"/>
        <v>P068</v>
      </c>
      <c r="O5" s="48" t="s">
        <v>1362</v>
      </c>
      <c r="P5" s="38" t="str">
        <f>IFERROR(__xludf.DUMMYFUNCTION("SPLIT($O5,""-"")"),"Turmeric 100g ")</f>
        <v>Turmeric 100g </v>
      </c>
      <c r="Q5" s="38" t="str">
        <f>IFERROR(__xludf.DUMMYFUNCTION("""COMPUTED_VALUE""")," ₹200")</f>
        <v> ₹200</v>
      </c>
      <c r="S5" s="39" t="str">
        <f>IFERROR(__xludf.DUMMYFUNCTION("""COMPUTED_VALUE"""),"05/24/2025 10:39:38")</f>
        <v>05/24/2025 10:39:38</v>
      </c>
      <c r="T5" s="38" t="s">
        <v>645</v>
      </c>
      <c r="X5" s="49" t="s">
        <v>225</v>
      </c>
      <c r="Z5" s="39" t="s">
        <v>213</v>
      </c>
      <c r="AA5" s="50">
        <v>45801.0</v>
      </c>
      <c r="AB5" s="51">
        <v>0.38633101851851853</v>
      </c>
      <c r="AC5" s="38" t="str">
        <f t="shared" si="6"/>
        <v>05/24/2025 9:16:19</v>
      </c>
    </row>
    <row r="6">
      <c r="B6" s="43">
        <v>45795.0</v>
      </c>
      <c r="C6" s="44" t="str">
        <f t="shared" si="1"/>
        <v>13:06:00</v>
      </c>
      <c r="D6" s="45" t="s">
        <v>1363</v>
      </c>
      <c r="E6" s="46" t="str">
        <f t="shared" si="2"/>
        <v>05/18/2025 09:48:18</v>
      </c>
      <c r="H6" s="47" t="s">
        <v>1353</v>
      </c>
      <c r="I6" s="38">
        <v>6.0</v>
      </c>
      <c r="J6" s="38" t="str">
        <f t="shared" si="3"/>
        <v>P006</v>
      </c>
      <c r="K6" s="38">
        <f t="shared" si="4"/>
        <v>67</v>
      </c>
      <c r="L6" s="38" t="str">
        <f t="shared" si="5"/>
        <v>P067</v>
      </c>
      <c r="O6" s="48" t="s">
        <v>1364</v>
      </c>
      <c r="P6" s="38" t="str">
        <f>IFERROR(__xludf.DUMMYFUNCTION("SPLIT($O6,""-"")"),"Coffee 100g ")</f>
        <v>Coffee 100g </v>
      </c>
      <c r="Q6" s="38" t="str">
        <f>IFERROR(__xludf.DUMMYFUNCTION("""COMPUTED_VALUE""")," ₹250")</f>
        <v> ₹250</v>
      </c>
      <c r="S6" s="39" t="str">
        <f>IFERROR(__xludf.DUMMYFUNCTION("""COMPUTED_VALUE"""),"05/24/2025 10:58:58")</f>
        <v>05/24/2025 10:58:58</v>
      </c>
      <c r="T6" s="38" t="s">
        <v>647</v>
      </c>
      <c r="X6" s="49" t="s">
        <v>226</v>
      </c>
      <c r="Z6" s="39" t="s">
        <v>213</v>
      </c>
      <c r="AA6" s="50">
        <v>45801.0</v>
      </c>
      <c r="AB6" s="51">
        <v>0.38633101851851853</v>
      </c>
      <c r="AC6" s="38" t="str">
        <f t="shared" si="6"/>
        <v>05/24/2025 9:16:19</v>
      </c>
    </row>
    <row r="7">
      <c r="B7" s="43">
        <v>45795.0</v>
      </c>
      <c r="C7" s="44" t="str">
        <f t="shared" si="1"/>
        <v>10:39:48</v>
      </c>
      <c r="D7" s="45" t="s">
        <v>1365</v>
      </c>
      <c r="E7" s="46" t="str">
        <f t="shared" si="2"/>
        <v>05/18/2025 09:49:41</v>
      </c>
      <c r="H7" s="47" t="s">
        <v>1353</v>
      </c>
      <c r="I7" s="38">
        <v>7.0</v>
      </c>
      <c r="J7" s="38" t="str">
        <f t="shared" si="3"/>
        <v>P007</v>
      </c>
      <c r="K7" s="38">
        <f t="shared" si="4"/>
        <v>61</v>
      </c>
      <c r="L7" s="38" t="str">
        <f t="shared" si="5"/>
        <v>P061</v>
      </c>
      <c r="O7" s="48" t="s">
        <v>1366</v>
      </c>
      <c r="P7" s="38" t="str">
        <f>IFERROR(__xludf.DUMMYFUNCTION("SPLIT($O7,""-"")"),"Tea 250g ")</f>
        <v>Tea 250g </v>
      </c>
      <c r="Q7" s="38" t="str">
        <f>IFERROR(__xludf.DUMMYFUNCTION("""COMPUTED_VALUE""")," ₹155")</f>
        <v> ₹155</v>
      </c>
      <c r="S7" s="39" t="str">
        <f>IFERROR(__xludf.DUMMYFUNCTION("""COMPUTED_VALUE"""),"05/24/2025 11:20:20")</f>
        <v>05/24/2025 11:20:20</v>
      </c>
      <c r="T7" s="38" t="s">
        <v>649</v>
      </c>
      <c r="X7" s="49" t="s">
        <v>226</v>
      </c>
      <c r="Z7" s="39" t="s">
        <v>213</v>
      </c>
      <c r="AA7" s="50">
        <v>45801.0</v>
      </c>
      <c r="AB7" s="51">
        <v>0.38633101851851853</v>
      </c>
      <c r="AC7" s="38" t="str">
        <f t="shared" si="6"/>
        <v>05/24/2025 9:16:19</v>
      </c>
    </row>
    <row r="8">
      <c r="B8" s="43">
        <v>45795.0</v>
      </c>
      <c r="C8" s="44" t="str">
        <f t="shared" si="1"/>
        <v>09:50:06</v>
      </c>
      <c r="D8" s="45" t="s">
        <v>1367</v>
      </c>
      <c r="E8" s="46" t="str">
        <f t="shared" si="2"/>
        <v>05/18/2025 09:50:06</v>
      </c>
      <c r="H8" s="47" t="s">
        <v>1353</v>
      </c>
      <c r="I8" s="38">
        <v>8.0</v>
      </c>
      <c r="J8" s="38" t="str">
        <f t="shared" si="3"/>
        <v>P008</v>
      </c>
      <c r="K8" s="38">
        <f t="shared" si="4"/>
        <v>10</v>
      </c>
      <c r="L8" s="38" t="str">
        <f t="shared" si="5"/>
        <v>P010</v>
      </c>
      <c r="O8" s="48" t="s">
        <v>1368</v>
      </c>
      <c r="P8" s="38" t="str">
        <f>IFERROR(__xludf.DUMMYFUNCTION("SPLIT($O8,""-"")"),"Dry Fruits Mix 1kg ")</f>
        <v>Dry Fruits Mix 1kg </v>
      </c>
      <c r="Q8" s="38" t="str">
        <f>IFERROR(__xludf.DUMMYFUNCTION("""COMPUTED_VALUE""")," ₹850")</f>
        <v> ₹850</v>
      </c>
      <c r="S8" s="39" t="str">
        <f>IFERROR(__xludf.DUMMYFUNCTION("""COMPUTED_VALUE"""),"05/24/2025 11:30:18")</f>
        <v>05/24/2025 11:30:18</v>
      </c>
      <c r="T8" s="38" t="s">
        <v>651</v>
      </c>
      <c r="X8" s="49" t="s">
        <v>226</v>
      </c>
      <c r="Z8" s="39" t="s">
        <v>213</v>
      </c>
      <c r="AA8" s="50">
        <v>45801.0</v>
      </c>
      <c r="AB8" s="51">
        <v>0.38633101851851853</v>
      </c>
      <c r="AC8" s="38" t="str">
        <f t="shared" si="6"/>
        <v>05/24/2025 9:16:19</v>
      </c>
    </row>
    <row r="9">
      <c r="B9" s="43">
        <v>45795.0</v>
      </c>
      <c r="C9" s="44" t="str">
        <f t="shared" si="1"/>
        <v>12:29:50</v>
      </c>
      <c r="D9" s="45" t="s">
        <v>1369</v>
      </c>
      <c r="E9" s="46" t="str">
        <f t="shared" si="2"/>
        <v>05/18/2025 09:53:09</v>
      </c>
      <c r="H9" s="47" t="s">
        <v>1353</v>
      </c>
      <c r="I9" s="38">
        <v>9.0</v>
      </c>
      <c r="J9" s="38" t="str">
        <f t="shared" si="3"/>
        <v>P009</v>
      </c>
      <c r="K9" s="38">
        <f t="shared" si="4"/>
        <v>43</v>
      </c>
      <c r="L9" s="38" t="str">
        <f t="shared" si="5"/>
        <v>P043</v>
      </c>
      <c r="O9" s="48" t="s">
        <v>1370</v>
      </c>
      <c r="P9" s="38" t="str">
        <f>IFERROR(__xludf.DUMMYFUNCTION("SPLIT($O9,""-"")"),"Green Peas 1kg ")</f>
        <v>Green Peas 1kg </v>
      </c>
      <c r="Q9" s="38" t="str">
        <f>IFERROR(__xludf.DUMMYFUNCTION("""COMPUTED_VALUE""")," ₹120")</f>
        <v> ₹120</v>
      </c>
      <c r="S9" s="39" t="str">
        <f>IFERROR(__xludf.DUMMYFUNCTION("""COMPUTED_VALUE"""),"05/24/2025 11:45:18")</f>
        <v>05/24/2025 11:45:18</v>
      </c>
      <c r="T9" s="38" t="s">
        <v>653</v>
      </c>
      <c r="X9" s="49" t="s">
        <v>226</v>
      </c>
      <c r="Z9" s="39" t="s">
        <v>215</v>
      </c>
      <c r="AA9" s="50">
        <v>45801.0</v>
      </c>
      <c r="AB9" s="51">
        <v>0.40402777777777776</v>
      </c>
      <c r="AC9" s="38" t="str">
        <f t="shared" si="6"/>
        <v>05/24/2025 9:41:48</v>
      </c>
    </row>
    <row r="10">
      <c r="B10" s="43">
        <v>45795.0</v>
      </c>
      <c r="C10" s="44" t="str">
        <f t="shared" si="1"/>
        <v>15:42:54</v>
      </c>
      <c r="D10" s="45" t="s">
        <v>1371</v>
      </c>
      <c r="E10" s="46" t="str">
        <f t="shared" si="2"/>
        <v>05/18/2025 10:20:44</v>
      </c>
      <c r="H10" s="47" t="s">
        <v>1353</v>
      </c>
      <c r="I10" s="38">
        <v>10.0</v>
      </c>
      <c r="J10" s="38" t="str">
        <f t="shared" si="3"/>
        <v>P010</v>
      </c>
      <c r="K10" s="38">
        <f t="shared" si="4"/>
        <v>79</v>
      </c>
      <c r="L10" s="38" t="str">
        <f t="shared" si="5"/>
        <v>P079</v>
      </c>
      <c r="O10" s="48" t="s">
        <v>1372</v>
      </c>
      <c r="P10" s="38" t="str">
        <f>IFERROR(__xludf.DUMMYFUNCTION("SPLIT($O10,""-"")"),"Salt 1kg ")</f>
        <v>Salt 1kg </v>
      </c>
      <c r="Q10" s="38" t="str">
        <f>IFERROR(__xludf.DUMMYFUNCTION("""COMPUTED_VALUE""")," ₹20")</f>
        <v> ₹20</v>
      </c>
      <c r="S10" s="39" t="str">
        <f>IFERROR(__xludf.DUMMYFUNCTION("""COMPUTED_VALUE"""),"05/24/2025 11:56:18")</f>
        <v>05/24/2025 11:56:18</v>
      </c>
      <c r="T10" s="38" t="s">
        <v>655</v>
      </c>
      <c r="X10" s="49" t="s">
        <v>226</v>
      </c>
      <c r="Z10" s="39" t="s">
        <v>215</v>
      </c>
      <c r="AA10" s="50">
        <v>45801.0</v>
      </c>
      <c r="AB10" s="51">
        <v>0.40402777777777776</v>
      </c>
      <c r="AC10" s="38" t="str">
        <f t="shared" si="6"/>
        <v>05/24/2025 9:41:48</v>
      </c>
    </row>
    <row r="11">
      <c r="B11" s="43">
        <v>45795.0</v>
      </c>
      <c r="C11" s="44" t="str">
        <f t="shared" si="1"/>
        <v>11:39:24</v>
      </c>
      <c r="D11" s="45" t="s">
        <v>1373</v>
      </c>
      <c r="E11" s="46" t="str">
        <f t="shared" si="2"/>
        <v>05/18/2025 10:22:55</v>
      </c>
      <c r="H11" s="47" t="s">
        <v>1353</v>
      </c>
      <c r="I11" s="38">
        <v>11.0</v>
      </c>
      <c r="J11" s="38" t="str">
        <f t="shared" si="3"/>
        <v>P011</v>
      </c>
      <c r="K11" s="38">
        <f t="shared" si="4"/>
        <v>80</v>
      </c>
      <c r="L11" s="38" t="str">
        <f t="shared" si="5"/>
        <v>P080</v>
      </c>
      <c r="O11" s="48" t="s">
        <v>1374</v>
      </c>
      <c r="P11" s="38" t="str">
        <f>IFERROR(__xludf.DUMMYFUNCTION("SPLIT($O11,""-"")"),"Milk 1 litre ")</f>
        <v>Milk 1 litre </v>
      </c>
      <c r="Q11" s="38" t="str">
        <f>IFERROR(__xludf.DUMMYFUNCTION("""COMPUTED_VALUE""")," ₹60")</f>
        <v> ₹60</v>
      </c>
      <c r="S11" s="39" t="str">
        <f>IFERROR(__xludf.DUMMYFUNCTION("""COMPUTED_VALUE"""),"05/24/2025 12:10:18")</f>
        <v>05/24/2025 12:10:18</v>
      </c>
      <c r="T11" s="38" t="s">
        <v>657</v>
      </c>
      <c r="X11" s="49" t="s">
        <v>227</v>
      </c>
      <c r="Z11" s="39" t="s">
        <v>217</v>
      </c>
      <c r="AA11" s="50">
        <v>45801.0</v>
      </c>
      <c r="AB11" s="51">
        <v>0.42891203703703706</v>
      </c>
      <c r="AC11" s="38" t="str">
        <f t="shared" si="6"/>
        <v>05/24/2025 10:17:38</v>
      </c>
    </row>
    <row r="12">
      <c r="B12" s="43">
        <v>45795.0</v>
      </c>
      <c r="C12" s="44" t="str">
        <f t="shared" si="1"/>
        <v>17:48:29</v>
      </c>
      <c r="D12" s="45" t="s">
        <v>1375</v>
      </c>
      <c r="E12" s="46" t="str">
        <f t="shared" si="2"/>
        <v>05/18/2025 10:23:35</v>
      </c>
      <c r="H12" s="47" t="s">
        <v>1353</v>
      </c>
      <c r="I12" s="38">
        <v>12.0</v>
      </c>
      <c r="J12" s="38" t="str">
        <f t="shared" si="3"/>
        <v>P012</v>
      </c>
      <c r="K12" s="38">
        <f t="shared" si="4"/>
        <v>52</v>
      </c>
      <c r="L12" s="38" t="str">
        <f t="shared" si="5"/>
        <v>P052</v>
      </c>
      <c r="O12" s="48" t="s">
        <v>1376</v>
      </c>
      <c r="P12" s="38" t="str">
        <f>IFERROR(__xludf.DUMMYFUNCTION("SPLIT($O12,""-"")"),"Bread 500g ")</f>
        <v>Bread 500g </v>
      </c>
      <c r="Q12" s="38" t="str">
        <f>IFERROR(__xludf.DUMMYFUNCTION("""COMPUTED_VALUE""")," ₹40")</f>
        <v> ₹40</v>
      </c>
      <c r="S12" s="39" t="str">
        <f>IFERROR(__xludf.DUMMYFUNCTION("""COMPUTED_VALUE"""),"05/24/2025 12:24:18")</f>
        <v>05/24/2025 12:24:18</v>
      </c>
      <c r="T12" s="38" t="s">
        <v>659</v>
      </c>
      <c r="X12" s="49" t="s">
        <v>227</v>
      </c>
      <c r="Z12" s="39" t="s">
        <v>217</v>
      </c>
      <c r="AA12" s="50">
        <v>45801.0</v>
      </c>
      <c r="AB12" s="51">
        <v>0.42891203703703706</v>
      </c>
      <c r="AC12" s="38" t="str">
        <f t="shared" si="6"/>
        <v>05/24/2025 10:17:38</v>
      </c>
    </row>
    <row r="13">
      <c r="B13" s="43">
        <v>45795.0</v>
      </c>
      <c r="C13" s="44" t="str">
        <f t="shared" si="1"/>
        <v>12:31:05</v>
      </c>
      <c r="D13" s="45" t="s">
        <v>1377</v>
      </c>
      <c r="E13" s="46" t="str">
        <f t="shared" si="2"/>
        <v>05/18/2025 10:35:53</v>
      </c>
      <c r="H13" s="47" t="s">
        <v>1353</v>
      </c>
      <c r="I13" s="38">
        <v>13.0</v>
      </c>
      <c r="J13" s="38" t="str">
        <f t="shared" si="3"/>
        <v>P013</v>
      </c>
      <c r="K13" s="38">
        <f t="shared" si="4"/>
        <v>2</v>
      </c>
      <c r="L13" s="38" t="str">
        <f t="shared" si="5"/>
        <v>P002</v>
      </c>
      <c r="O13" s="48" t="s">
        <v>1378</v>
      </c>
      <c r="P13" s="38" t="str">
        <f>IFERROR(__xludf.DUMMYFUNCTION("SPLIT($O13,""-"")"),"Butter 500g ")</f>
        <v>Butter 500g </v>
      </c>
      <c r="Q13" s="38" t="str">
        <f>IFERROR(__xludf.DUMMYFUNCTION("""COMPUTED_VALUE""")," ₹250")</f>
        <v> ₹250</v>
      </c>
      <c r="S13" s="39" t="str">
        <f>IFERROR(__xludf.DUMMYFUNCTION("""COMPUTED_VALUE"""),"05/24/2025 12:34:18")</f>
        <v>05/24/2025 12:34:18</v>
      </c>
      <c r="T13" s="38" t="s">
        <v>661</v>
      </c>
      <c r="X13" s="49" t="s">
        <v>227</v>
      </c>
      <c r="Z13" s="39" t="s">
        <v>217</v>
      </c>
      <c r="AA13" s="50">
        <v>45801.0</v>
      </c>
      <c r="AB13" s="51">
        <v>0.42891203703703706</v>
      </c>
      <c r="AC13" s="38" t="str">
        <f t="shared" si="6"/>
        <v>05/24/2025 10:17:38</v>
      </c>
    </row>
    <row r="14">
      <c r="B14" s="43">
        <v>45795.0</v>
      </c>
      <c r="C14" s="44" t="str">
        <f t="shared" si="1"/>
        <v>09:48:18</v>
      </c>
      <c r="D14" s="45" t="s">
        <v>1379</v>
      </c>
      <c r="E14" s="46" t="str">
        <f t="shared" si="2"/>
        <v>05/18/2025 10:39:48</v>
      </c>
      <c r="H14" s="47" t="s">
        <v>1353</v>
      </c>
      <c r="I14" s="38">
        <v>14.0</v>
      </c>
      <c r="J14" s="38" t="str">
        <f t="shared" si="3"/>
        <v>P014</v>
      </c>
      <c r="K14" s="38">
        <f t="shared" si="4"/>
        <v>74</v>
      </c>
      <c r="L14" s="38" t="str">
        <f t="shared" si="5"/>
        <v>P074</v>
      </c>
      <c r="O14" s="48" t="s">
        <v>1380</v>
      </c>
      <c r="P14" s="38" t="str">
        <f>IFERROR(__xludf.DUMMYFUNCTION("SPLIT($O14,""-"")"),"Cheese 200g ")</f>
        <v>Cheese 200g </v>
      </c>
      <c r="Q14" s="38" t="str">
        <f>IFERROR(__xludf.DUMMYFUNCTION("""COMPUTED_VALUE""")," ₹150")</f>
        <v> ₹150</v>
      </c>
      <c r="S14" s="39" t="str">
        <f>IFERROR(__xludf.DUMMYFUNCTION("""COMPUTED_VALUE"""),"05/24/2025 12:47:18")</f>
        <v>05/24/2025 12:47:18</v>
      </c>
      <c r="T14" s="38" t="s">
        <v>663</v>
      </c>
      <c r="X14" s="49" t="s">
        <v>228</v>
      </c>
      <c r="Z14" s="39" t="s">
        <v>217</v>
      </c>
      <c r="AA14" s="50">
        <v>45801.0</v>
      </c>
      <c r="AB14" s="51">
        <v>0.42891203703703706</v>
      </c>
      <c r="AC14" s="38" t="str">
        <f t="shared" si="6"/>
        <v>05/24/2025 10:17:38</v>
      </c>
    </row>
    <row r="15">
      <c r="B15" s="43">
        <v>45795.0</v>
      </c>
      <c r="C15" s="44" t="str">
        <f t="shared" si="1"/>
        <v>16:28:09</v>
      </c>
      <c r="D15" s="45" t="s">
        <v>1381</v>
      </c>
      <c r="E15" s="46" t="str">
        <f t="shared" si="2"/>
        <v>05/18/2025 10:57:00</v>
      </c>
      <c r="H15" s="47" t="s">
        <v>1353</v>
      </c>
      <c r="I15" s="38">
        <v>15.0</v>
      </c>
      <c r="J15" s="38" t="str">
        <f t="shared" si="3"/>
        <v>P015</v>
      </c>
      <c r="K15" s="38">
        <f t="shared" si="4"/>
        <v>74</v>
      </c>
      <c r="L15" s="38" t="str">
        <f t="shared" si="5"/>
        <v>P074</v>
      </c>
      <c r="O15" s="48" t="s">
        <v>1382</v>
      </c>
      <c r="P15" s="38" t="str">
        <f>IFERROR(__xludf.DUMMYFUNCTION("SPLIT($O15,""-"")"),"Eggs 12 pcs ")</f>
        <v>Eggs 12 pcs </v>
      </c>
      <c r="Q15" s="38" t="str">
        <f>IFERROR(__xludf.DUMMYFUNCTION("""COMPUTED_VALUE""")," ₹80")</f>
        <v> ₹80</v>
      </c>
      <c r="S15" s="39" t="str">
        <f>IFERROR(__xludf.DUMMYFUNCTION("""COMPUTED_VALUE"""),"05/24/2025 12:57:18")</f>
        <v>05/24/2025 12:57:18</v>
      </c>
      <c r="T15" s="38" t="s">
        <v>665</v>
      </c>
      <c r="X15" s="49" t="s">
        <v>228</v>
      </c>
      <c r="Z15" s="39" t="s">
        <v>217</v>
      </c>
      <c r="AA15" s="50">
        <v>45801.0</v>
      </c>
      <c r="AB15" s="51">
        <v>0.42891203703703706</v>
      </c>
      <c r="AC15" s="38" t="str">
        <f t="shared" si="6"/>
        <v>05/24/2025 10:17:38</v>
      </c>
    </row>
    <row r="16">
      <c r="B16" s="43">
        <v>45795.0</v>
      </c>
      <c r="C16" s="44" t="str">
        <f t="shared" si="1"/>
        <v>09:43:27</v>
      </c>
      <c r="D16" s="45" t="s">
        <v>1383</v>
      </c>
      <c r="E16" s="46" t="str">
        <f t="shared" si="2"/>
        <v>05/18/2025 11:04:20</v>
      </c>
      <c r="H16" s="47" t="s">
        <v>1353</v>
      </c>
      <c r="I16" s="38">
        <v>16.0</v>
      </c>
      <c r="J16" s="38" t="str">
        <f t="shared" si="3"/>
        <v>P016</v>
      </c>
      <c r="K16" s="38">
        <f t="shared" si="4"/>
        <v>97</v>
      </c>
      <c r="L16" s="38" t="str">
        <f t="shared" si="5"/>
        <v>P097</v>
      </c>
      <c r="O16" s="48" t="s">
        <v>1384</v>
      </c>
      <c r="P16" s="38" t="str">
        <f>IFERROR(__xludf.DUMMYFUNCTION("SPLIT($O16,""-"")"),"Chicken 1kg ")</f>
        <v>Chicken 1kg </v>
      </c>
      <c r="Q16" s="38" t="str">
        <f>IFERROR(__xludf.DUMMYFUNCTION("""COMPUTED_VALUE""")," ₹250")</f>
        <v> ₹250</v>
      </c>
      <c r="S16" s="39" t="str">
        <f>IFERROR(__xludf.DUMMYFUNCTION("""COMPUTED_VALUE"""),"05/24/2025 13:12:18")</f>
        <v>05/24/2025 13:12:18</v>
      </c>
      <c r="T16" s="38" t="s">
        <v>667</v>
      </c>
      <c r="X16" s="49" t="s">
        <v>228</v>
      </c>
      <c r="Z16" s="39" t="s">
        <v>219</v>
      </c>
      <c r="AA16" s="50">
        <v>45801.0</v>
      </c>
      <c r="AB16" s="51">
        <v>0.4441898148148148</v>
      </c>
      <c r="AC16" s="38" t="str">
        <f t="shared" si="6"/>
        <v>05/24/2025 10:39:38</v>
      </c>
    </row>
    <row r="17">
      <c r="B17" s="43">
        <v>45795.0</v>
      </c>
      <c r="C17" s="44" t="str">
        <f t="shared" si="1"/>
        <v>12:29:29</v>
      </c>
      <c r="D17" s="45" t="s">
        <v>1385</v>
      </c>
      <c r="E17" s="46" t="str">
        <f t="shared" si="2"/>
        <v>05/18/2025 11:30:54</v>
      </c>
      <c r="H17" s="47" t="s">
        <v>1353</v>
      </c>
      <c r="I17" s="38">
        <v>17.0</v>
      </c>
      <c r="J17" s="38" t="str">
        <f t="shared" si="3"/>
        <v>P017</v>
      </c>
      <c r="K17" s="38">
        <f t="shared" si="4"/>
        <v>81</v>
      </c>
      <c r="L17" s="38" t="str">
        <f t="shared" si="5"/>
        <v>P081</v>
      </c>
      <c r="O17" s="48" t="s">
        <v>1386</v>
      </c>
      <c r="P17" s="38" t="str">
        <f>IFERROR(__xludf.DUMMYFUNCTION("SPLIT($O17,""-"")"),"Fish 1kg ")</f>
        <v>Fish 1kg </v>
      </c>
      <c r="Q17" s="38" t="str">
        <f>IFERROR(__xludf.DUMMYFUNCTION("""COMPUTED_VALUE""")," ₹300")</f>
        <v> ₹300</v>
      </c>
      <c r="S17" s="39" t="str">
        <f>IFERROR(__xludf.DUMMYFUNCTION("""COMPUTED_VALUE"""),"05/24/2025 13:25:18")</f>
        <v>05/24/2025 13:25:18</v>
      </c>
      <c r="T17" s="38" t="s">
        <v>669</v>
      </c>
      <c r="X17" s="49" t="s">
        <v>229</v>
      </c>
      <c r="Z17" s="39" t="s">
        <v>219</v>
      </c>
      <c r="AA17" s="50">
        <v>45801.0</v>
      </c>
      <c r="AB17" s="51">
        <v>0.4441898148148148</v>
      </c>
      <c r="AC17" s="38" t="str">
        <f t="shared" si="6"/>
        <v>05/24/2025 10:39:38</v>
      </c>
    </row>
    <row r="18">
      <c r="B18" s="43">
        <v>45795.0</v>
      </c>
      <c r="C18" s="44" t="str">
        <f t="shared" si="1"/>
        <v>12:16:33</v>
      </c>
      <c r="D18" s="45" t="s">
        <v>1387</v>
      </c>
      <c r="E18" s="46" t="str">
        <f t="shared" si="2"/>
        <v>05/18/2025 11:33:57</v>
      </c>
      <c r="H18" s="47" t="s">
        <v>1353</v>
      </c>
      <c r="I18" s="38">
        <v>18.0</v>
      </c>
      <c r="J18" s="38" t="str">
        <f t="shared" si="3"/>
        <v>P018</v>
      </c>
      <c r="K18" s="38">
        <f t="shared" si="4"/>
        <v>51</v>
      </c>
      <c r="L18" s="38" t="str">
        <f t="shared" si="5"/>
        <v>P051</v>
      </c>
      <c r="O18" s="48" t="s">
        <v>1388</v>
      </c>
      <c r="P18" s="38" t="str">
        <f>IFERROR(__xludf.DUMMYFUNCTION("SPLIT($O18,""-"")"),"Apples 1kg ")</f>
        <v>Apples 1kg </v>
      </c>
      <c r="Q18" s="38" t="str">
        <f>IFERROR(__xludf.DUMMYFUNCTION("""COMPUTED_VALUE""")," ₹200")</f>
        <v> ₹200</v>
      </c>
      <c r="S18" s="39" t="str">
        <f>IFERROR(__xludf.DUMMYFUNCTION("""COMPUTED_VALUE"""),"05/24/2025 13:38:18")</f>
        <v>05/24/2025 13:38:18</v>
      </c>
      <c r="T18" s="38" t="s">
        <v>671</v>
      </c>
      <c r="X18" s="49" t="s">
        <v>229</v>
      </c>
      <c r="Z18" s="39" t="s">
        <v>219</v>
      </c>
      <c r="AA18" s="50">
        <v>45801.0</v>
      </c>
      <c r="AB18" s="51">
        <v>0.4441898148148148</v>
      </c>
      <c r="AC18" s="38" t="str">
        <f t="shared" si="6"/>
        <v>05/24/2025 10:39:38</v>
      </c>
    </row>
    <row r="19">
      <c r="B19" s="43">
        <v>45795.0</v>
      </c>
      <c r="C19" s="44" t="str">
        <f t="shared" si="1"/>
        <v>14:34:19</v>
      </c>
      <c r="D19" s="45" t="s">
        <v>1389</v>
      </c>
      <c r="E19" s="46" t="str">
        <f t="shared" si="2"/>
        <v>05/18/2025 11:37:13</v>
      </c>
      <c r="H19" s="47" t="s">
        <v>1353</v>
      </c>
      <c r="I19" s="38">
        <v>19.0</v>
      </c>
      <c r="J19" s="38" t="str">
        <f t="shared" si="3"/>
        <v>P019</v>
      </c>
      <c r="K19" s="38">
        <f t="shared" si="4"/>
        <v>77</v>
      </c>
      <c r="L19" s="38" t="str">
        <f t="shared" si="5"/>
        <v>P077</v>
      </c>
      <c r="O19" s="48" t="s">
        <v>1390</v>
      </c>
      <c r="P19" s="38" t="str">
        <f>IFERROR(__xludf.DUMMYFUNCTION("SPLIT($O19,""-"")"),"Bananas 1 dozen ")</f>
        <v>Bananas 1 dozen </v>
      </c>
      <c r="Q19" s="38" t="str">
        <f>IFERROR(__xludf.DUMMYFUNCTION("""COMPUTED_VALUE""")," ₹60")</f>
        <v> ₹60</v>
      </c>
      <c r="S19" s="39" t="str">
        <f>IFERROR(__xludf.DUMMYFUNCTION("""COMPUTED_VALUE"""),"05/24/2025 13:52:18")</f>
        <v>05/24/2025 13:52:18</v>
      </c>
      <c r="T19" s="38" t="s">
        <v>673</v>
      </c>
      <c r="X19" s="49" t="s">
        <v>229</v>
      </c>
      <c r="Z19" s="39" t="s">
        <v>219</v>
      </c>
      <c r="AA19" s="50">
        <v>45801.0</v>
      </c>
      <c r="AB19" s="51">
        <v>0.4441898148148148</v>
      </c>
      <c r="AC19" s="38" t="str">
        <f t="shared" si="6"/>
        <v>05/24/2025 10:39:38</v>
      </c>
    </row>
    <row r="20">
      <c r="B20" s="43">
        <v>45795.0</v>
      </c>
      <c r="C20" s="44" t="str">
        <f t="shared" si="1"/>
        <v>09:28:20</v>
      </c>
      <c r="D20" s="45" t="s">
        <v>1391</v>
      </c>
      <c r="E20" s="46" t="str">
        <f t="shared" si="2"/>
        <v>05/18/2025 11:39:24</v>
      </c>
      <c r="H20" s="47" t="s">
        <v>1353</v>
      </c>
      <c r="I20" s="38">
        <v>20.0</v>
      </c>
      <c r="J20" s="38" t="str">
        <f t="shared" si="3"/>
        <v>P020</v>
      </c>
      <c r="K20" s="38">
        <f t="shared" si="4"/>
        <v>20</v>
      </c>
      <c r="L20" s="38" t="str">
        <f t="shared" si="5"/>
        <v>P020</v>
      </c>
      <c r="O20" s="48" t="s">
        <v>1392</v>
      </c>
      <c r="P20" s="38" t="str">
        <f>IFERROR(__xludf.DUMMYFUNCTION("SPLIT($O20,""-"")"),"Oranges 1kg ")</f>
        <v>Oranges 1kg </v>
      </c>
      <c r="Q20" s="38" t="str">
        <f>IFERROR(__xludf.DUMMYFUNCTION("""COMPUTED_VALUE""")," ₹100")</f>
        <v> ₹100</v>
      </c>
      <c r="S20" s="39" t="str">
        <f>IFERROR(__xludf.DUMMYFUNCTION("""COMPUTED_VALUE"""),"05/24/2025 14:06:18")</f>
        <v>05/24/2025 14:06:18</v>
      </c>
      <c r="T20" s="38" t="s">
        <v>675</v>
      </c>
      <c r="X20" s="49" t="s">
        <v>229</v>
      </c>
      <c r="Z20" s="39" t="s">
        <v>219</v>
      </c>
      <c r="AA20" s="50">
        <v>45801.0</v>
      </c>
      <c r="AB20" s="51">
        <v>0.4441898148148148</v>
      </c>
      <c r="AC20" s="38" t="str">
        <f t="shared" si="6"/>
        <v>05/24/2025 10:39:38</v>
      </c>
    </row>
    <row r="21" ht="15.75" customHeight="1">
      <c r="B21" s="43">
        <v>45795.0</v>
      </c>
      <c r="C21" s="44" t="str">
        <f t="shared" si="1"/>
        <v>11:30:54</v>
      </c>
      <c r="D21" s="45" t="s">
        <v>1393</v>
      </c>
      <c r="E21" s="46" t="str">
        <f t="shared" si="2"/>
        <v>05/18/2025 11:46:25</v>
      </c>
      <c r="H21" s="47" t="s">
        <v>1353</v>
      </c>
      <c r="I21" s="38">
        <v>21.0</v>
      </c>
      <c r="J21" s="38" t="str">
        <f t="shared" si="3"/>
        <v>P021</v>
      </c>
      <c r="K21" s="38">
        <f t="shared" si="4"/>
        <v>22</v>
      </c>
      <c r="L21" s="38" t="str">
        <f t="shared" si="5"/>
        <v>P022</v>
      </c>
      <c r="O21" s="48" t="s">
        <v>1394</v>
      </c>
      <c r="P21" s="38" t="str">
        <f>IFERROR(__xludf.DUMMYFUNCTION("SPLIT($O21,""-"")"),"Potatoes 1kg ")</f>
        <v>Potatoes 1kg </v>
      </c>
      <c r="Q21" s="38" t="str">
        <f>IFERROR(__xludf.DUMMYFUNCTION("""COMPUTED_VALUE""")," ₹30")</f>
        <v> ₹30</v>
      </c>
      <c r="S21" s="39" t="str">
        <f>IFERROR(__xludf.DUMMYFUNCTION("""COMPUTED_VALUE"""),"05/24/2025 14:16:18")</f>
        <v>05/24/2025 14:16:18</v>
      </c>
      <c r="T21" s="38" t="s">
        <v>677</v>
      </c>
      <c r="X21" s="49" t="s">
        <v>230</v>
      </c>
      <c r="Z21" s="39" t="s">
        <v>219</v>
      </c>
      <c r="AA21" s="50">
        <v>45801.0</v>
      </c>
      <c r="AB21" s="51">
        <v>0.4441898148148148</v>
      </c>
      <c r="AC21" s="38" t="str">
        <f t="shared" si="6"/>
        <v>05/24/2025 10:39:38</v>
      </c>
    </row>
    <row r="22" ht="15.75" customHeight="1">
      <c r="B22" s="43">
        <v>45795.0</v>
      </c>
      <c r="C22" s="44" t="str">
        <f t="shared" si="1"/>
        <v>10:22:55</v>
      </c>
      <c r="D22" s="45" t="s">
        <v>1395</v>
      </c>
      <c r="E22" s="46" t="str">
        <f t="shared" si="2"/>
        <v>05/18/2025 12:16:33</v>
      </c>
      <c r="H22" s="47" t="s">
        <v>1353</v>
      </c>
      <c r="I22" s="38">
        <v>22.0</v>
      </c>
      <c r="J22" s="38" t="str">
        <f t="shared" si="3"/>
        <v>P022</v>
      </c>
      <c r="K22" s="38">
        <f t="shared" si="4"/>
        <v>10</v>
      </c>
      <c r="L22" s="38" t="str">
        <f t="shared" si="5"/>
        <v>P010</v>
      </c>
      <c r="O22" s="48" t="s">
        <v>1396</v>
      </c>
      <c r="P22" s="38" t="str">
        <f>IFERROR(__xludf.DUMMYFUNCTION("SPLIT($O22,""-"")"),"Onions 1kg ")</f>
        <v>Onions 1kg </v>
      </c>
      <c r="Q22" s="38" t="str">
        <f>IFERROR(__xludf.DUMMYFUNCTION("""COMPUTED_VALUE""")," ₹40")</f>
        <v> ₹40</v>
      </c>
      <c r="S22" s="39" t="str">
        <f>IFERROR(__xludf.DUMMYFUNCTION("""COMPUTED_VALUE"""),"05/24/2025 14:27:18")</f>
        <v>05/24/2025 14:27:18</v>
      </c>
      <c r="T22" s="38" t="s">
        <v>679</v>
      </c>
      <c r="X22" s="49" t="s">
        <v>230</v>
      </c>
      <c r="Z22" s="39" t="s">
        <v>221</v>
      </c>
      <c r="AA22" s="50">
        <v>45801.0</v>
      </c>
      <c r="AB22" s="51">
        <v>0.45761574074074074</v>
      </c>
      <c r="AC22" s="38" t="str">
        <f t="shared" si="6"/>
        <v>05/24/2025 10:58:58</v>
      </c>
    </row>
    <row r="23" ht="15.75" customHeight="1">
      <c r="B23" s="43">
        <v>45795.0</v>
      </c>
      <c r="C23" s="44" t="str">
        <f t="shared" si="1"/>
        <v>17:57:43</v>
      </c>
      <c r="D23" s="45" t="s">
        <v>1397</v>
      </c>
      <c r="E23" s="46" t="str">
        <f t="shared" si="2"/>
        <v>05/18/2025 12:20:07</v>
      </c>
      <c r="H23" s="47" t="s">
        <v>1353</v>
      </c>
      <c r="I23" s="38">
        <v>23.0</v>
      </c>
      <c r="J23" s="38" t="str">
        <f t="shared" si="3"/>
        <v>P023</v>
      </c>
      <c r="K23" s="38">
        <f t="shared" si="4"/>
        <v>36</v>
      </c>
      <c r="L23" s="38" t="str">
        <f t="shared" si="5"/>
        <v>P036</v>
      </c>
      <c r="O23" s="48" t="s">
        <v>1398</v>
      </c>
      <c r="P23" s="38" t="str">
        <f>IFERROR(__xludf.DUMMYFUNCTION("SPLIT($O23,""-"")"),"Tomatoes 1kg ")</f>
        <v>Tomatoes 1kg </v>
      </c>
      <c r="Q23" s="38" t="str">
        <f>IFERROR(__xludf.DUMMYFUNCTION("""COMPUTED_VALUE""")," ₹50")</f>
        <v> ₹50</v>
      </c>
      <c r="S23" s="39" t="str">
        <f>IFERROR(__xludf.DUMMYFUNCTION("""COMPUTED_VALUE"""),"05/24/2025 14:42:18")</f>
        <v>05/24/2025 14:42:18</v>
      </c>
      <c r="T23" s="38" t="s">
        <v>681</v>
      </c>
      <c r="X23" s="49" t="s">
        <v>230</v>
      </c>
      <c r="Z23" s="39" t="s">
        <v>221</v>
      </c>
      <c r="AA23" s="50">
        <v>45801.0</v>
      </c>
      <c r="AB23" s="51">
        <v>0.45761574074074074</v>
      </c>
      <c r="AC23" s="38" t="str">
        <f t="shared" si="6"/>
        <v>05/24/2025 10:58:58</v>
      </c>
    </row>
    <row r="24" ht="15.75" customHeight="1">
      <c r="B24" s="43">
        <v>45795.0</v>
      </c>
      <c r="C24" s="44" t="str">
        <f t="shared" si="1"/>
        <v>17:26:43</v>
      </c>
      <c r="D24" s="45" t="s">
        <v>1399</v>
      </c>
      <c r="E24" s="46" t="str">
        <f t="shared" si="2"/>
        <v>05/18/2025 12:29:29</v>
      </c>
      <c r="H24" s="47" t="s">
        <v>1353</v>
      </c>
      <c r="I24" s="38">
        <v>24.0</v>
      </c>
      <c r="J24" s="38" t="str">
        <f t="shared" si="3"/>
        <v>P024</v>
      </c>
      <c r="K24" s="38">
        <f t="shared" si="4"/>
        <v>32</v>
      </c>
      <c r="L24" s="38" t="str">
        <f t="shared" si="5"/>
        <v>P032</v>
      </c>
      <c r="O24" s="48" t="s">
        <v>1400</v>
      </c>
      <c r="P24" s="38" t="str">
        <f>IFERROR(__xludf.DUMMYFUNCTION("SPLIT($O24,""-"")"),"Green Chillies 250g ")</f>
        <v>Green Chillies 250g </v>
      </c>
      <c r="Q24" s="38" t="str">
        <f>IFERROR(__xludf.DUMMYFUNCTION("""COMPUTED_VALUE""")," ₹20")</f>
        <v> ₹20</v>
      </c>
      <c r="S24" s="39" t="str">
        <f>IFERROR(__xludf.DUMMYFUNCTION("""COMPUTED_VALUE"""),"05/24/2025 14:53:18")</f>
        <v>05/24/2025 14:53:18</v>
      </c>
      <c r="T24" s="38" t="s">
        <v>683</v>
      </c>
      <c r="X24" s="49" t="s">
        <v>230</v>
      </c>
      <c r="Z24" s="39" t="s">
        <v>221</v>
      </c>
      <c r="AA24" s="50">
        <v>45801.0</v>
      </c>
      <c r="AB24" s="51">
        <v>0.45761574074074074</v>
      </c>
      <c r="AC24" s="38" t="str">
        <f t="shared" si="6"/>
        <v>05/24/2025 10:58:58</v>
      </c>
    </row>
    <row r="25" ht="15.75" customHeight="1">
      <c r="B25" s="43">
        <v>45795.0</v>
      </c>
      <c r="C25" s="44" t="str">
        <f t="shared" si="1"/>
        <v>16:46:04</v>
      </c>
      <c r="D25" s="45" t="s">
        <v>1401</v>
      </c>
      <c r="E25" s="46" t="str">
        <f t="shared" si="2"/>
        <v>05/18/2025 12:29:50</v>
      </c>
      <c r="H25" s="47" t="s">
        <v>1353</v>
      </c>
      <c r="I25" s="38">
        <v>25.0</v>
      </c>
      <c r="J25" s="38" t="str">
        <f t="shared" si="3"/>
        <v>P025</v>
      </c>
      <c r="K25" s="38">
        <f t="shared" si="4"/>
        <v>35</v>
      </c>
      <c r="L25" s="38" t="str">
        <f t="shared" si="5"/>
        <v>P035</v>
      </c>
      <c r="O25" s="48" t="s">
        <v>1402</v>
      </c>
      <c r="P25" s="38" t="str">
        <f>IFERROR(__xludf.DUMMYFUNCTION("SPLIT($O25,""-"")"),"Garlic 250g ")</f>
        <v>Garlic 250g </v>
      </c>
      <c r="Q25" s="38" t="str">
        <f>IFERROR(__xludf.DUMMYFUNCTION("""COMPUTED_VALUE""")," ₹50")</f>
        <v> ₹50</v>
      </c>
      <c r="S25" s="39" t="str">
        <f>IFERROR(__xludf.DUMMYFUNCTION("""COMPUTED_VALUE"""),"05/24/2025 15:06:18")</f>
        <v>05/24/2025 15:06:18</v>
      </c>
      <c r="T25" s="38" t="s">
        <v>685</v>
      </c>
      <c r="X25" s="49" t="s">
        <v>231</v>
      </c>
      <c r="Z25" s="39" t="s">
        <v>221</v>
      </c>
      <c r="AA25" s="50">
        <v>45801.0</v>
      </c>
      <c r="AB25" s="51">
        <v>0.45761574074074074</v>
      </c>
      <c r="AC25" s="38" t="str">
        <f t="shared" si="6"/>
        <v>05/24/2025 10:58:58</v>
      </c>
    </row>
    <row r="26" ht="15.75" customHeight="1">
      <c r="B26" s="43">
        <v>45795.0</v>
      </c>
      <c r="C26" s="44" t="str">
        <f t="shared" si="1"/>
        <v>13:10:40</v>
      </c>
      <c r="D26" s="45" t="s">
        <v>1403</v>
      </c>
      <c r="E26" s="46" t="str">
        <f t="shared" si="2"/>
        <v>05/18/2025 12:31:05</v>
      </c>
      <c r="H26" s="47" t="s">
        <v>1353</v>
      </c>
      <c r="I26" s="38">
        <v>26.0</v>
      </c>
      <c r="J26" s="38" t="str">
        <f t="shared" si="3"/>
        <v>P026</v>
      </c>
      <c r="K26" s="38">
        <f t="shared" si="4"/>
        <v>35</v>
      </c>
      <c r="L26" s="38" t="str">
        <f t="shared" si="5"/>
        <v>P035</v>
      </c>
      <c r="O26" s="48" t="s">
        <v>1404</v>
      </c>
      <c r="P26" s="38" t="str">
        <f>IFERROR(__xludf.DUMMYFUNCTION("SPLIT($O26,""-"")"),"Ginger 250g ")</f>
        <v>Ginger 250g </v>
      </c>
      <c r="Q26" s="38" t="str">
        <f>IFERROR(__xludf.DUMMYFUNCTION("""COMPUTED_VALUE""")," ₹40")</f>
        <v> ₹40</v>
      </c>
      <c r="S26" s="39" t="str">
        <f>IFERROR(__xludf.DUMMYFUNCTION("""COMPUTED_VALUE"""),"05/24/2025 15:18:18")</f>
        <v>05/24/2025 15:18:18</v>
      </c>
      <c r="T26" s="38" t="s">
        <v>687</v>
      </c>
      <c r="X26" s="49" t="s">
        <v>231</v>
      </c>
      <c r="Z26" s="39" t="s">
        <v>223</v>
      </c>
      <c r="AA26" s="50">
        <v>45801.0</v>
      </c>
      <c r="AB26" s="51">
        <v>0.4724537037037037</v>
      </c>
      <c r="AC26" s="38" t="str">
        <f t="shared" si="6"/>
        <v>05/24/2025 11:20:20</v>
      </c>
    </row>
    <row r="27" ht="15.75" customHeight="1">
      <c r="B27" s="43">
        <v>45795.0</v>
      </c>
      <c r="C27" s="44" t="str">
        <f t="shared" si="1"/>
        <v>17:22:54</v>
      </c>
      <c r="D27" s="45" t="s">
        <v>1405</v>
      </c>
      <c r="E27" s="46" t="str">
        <f t="shared" si="2"/>
        <v>05/18/2025 12:45:44</v>
      </c>
      <c r="H27" s="47" t="s">
        <v>1353</v>
      </c>
      <c r="I27" s="38">
        <v>27.0</v>
      </c>
      <c r="J27" s="38" t="str">
        <f t="shared" si="3"/>
        <v>P027</v>
      </c>
      <c r="K27" s="38">
        <f t="shared" si="4"/>
        <v>54</v>
      </c>
      <c r="L27" s="38" t="str">
        <f t="shared" si="5"/>
        <v>P054</v>
      </c>
      <c r="O27" s="48" t="s">
        <v>1406</v>
      </c>
      <c r="P27" s="38" t="str">
        <f>IFERROR(__xludf.DUMMYFUNCTION("SPLIT($O27,""-"")"),"Biscuits 1 pack ")</f>
        <v>Biscuits 1 pack </v>
      </c>
      <c r="Q27" s="38" t="str">
        <f>IFERROR(__xludf.DUMMYFUNCTION("""COMPUTED_VALUE""")," ₹30")</f>
        <v> ₹30</v>
      </c>
      <c r="S27" s="39" t="str">
        <f>IFERROR(__xludf.DUMMYFUNCTION("""COMPUTED_VALUE"""),"05/24/2025 15:30:18")</f>
        <v>05/24/2025 15:30:18</v>
      </c>
      <c r="T27" s="38" t="s">
        <v>689</v>
      </c>
      <c r="X27" s="49" t="s">
        <v>231</v>
      </c>
      <c r="Z27" s="39" t="s">
        <v>223</v>
      </c>
      <c r="AA27" s="50">
        <v>45801.0</v>
      </c>
      <c r="AB27" s="51">
        <v>0.4724537037037037</v>
      </c>
      <c r="AC27" s="38" t="str">
        <f t="shared" si="6"/>
        <v>05/24/2025 11:20:20</v>
      </c>
    </row>
    <row r="28" ht="15.75" customHeight="1">
      <c r="B28" s="43">
        <v>45795.0</v>
      </c>
      <c r="C28" s="44" t="str">
        <f t="shared" si="1"/>
        <v>12:45:44</v>
      </c>
      <c r="D28" s="45" t="s">
        <v>1407</v>
      </c>
      <c r="E28" s="46" t="str">
        <f t="shared" si="2"/>
        <v>05/18/2025 13:00:32</v>
      </c>
      <c r="H28" s="47" t="s">
        <v>1353</v>
      </c>
      <c r="I28" s="38">
        <v>28.0</v>
      </c>
      <c r="J28" s="38" t="str">
        <f t="shared" si="3"/>
        <v>P028</v>
      </c>
      <c r="K28" s="38">
        <f t="shared" si="4"/>
        <v>76</v>
      </c>
      <c r="L28" s="38" t="str">
        <f t="shared" si="5"/>
        <v>P076</v>
      </c>
      <c r="O28" s="48" t="s">
        <v>1408</v>
      </c>
      <c r="P28" s="38" t="str">
        <f>IFERROR(__xludf.DUMMYFUNCTION("SPLIT($O28,""-"")"),"Chocolates 1 bar ")</f>
        <v>Chocolates 1 bar </v>
      </c>
      <c r="Q28" s="38" t="str">
        <f>IFERROR(__xludf.DUMMYFUNCTION("""COMPUTED_VALUE""")," ₹100")</f>
        <v> ₹100</v>
      </c>
      <c r="S28" s="39" t="str">
        <f>IFERROR(__xludf.DUMMYFUNCTION("""COMPUTED_VALUE"""),"05/24/2025 15:45:18")</f>
        <v>05/24/2025 15:45:18</v>
      </c>
      <c r="T28" s="38" t="s">
        <v>691</v>
      </c>
      <c r="X28" s="49" t="s">
        <v>232</v>
      </c>
      <c r="Z28" s="39" t="s">
        <v>223</v>
      </c>
      <c r="AA28" s="50">
        <v>45801.0</v>
      </c>
      <c r="AB28" s="51">
        <v>0.4724537037037037</v>
      </c>
      <c r="AC28" s="38" t="str">
        <f t="shared" si="6"/>
        <v>05/24/2025 11:20:20</v>
      </c>
    </row>
    <row r="29" ht="15.75" customHeight="1">
      <c r="B29" s="43">
        <v>45795.0</v>
      </c>
      <c r="C29" s="44" t="str">
        <f t="shared" si="1"/>
        <v>14:53:39</v>
      </c>
      <c r="D29" s="45" t="s">
        <v>1409</v>
      </c>
      <c r="E29" s="46" t="str">
        <f t="shared" si="2"/>
        <v>05/18/2025 13:00:53</v>
      </c>
      <c r="H29" s="47" t="s">
        <v>1353</v>
      </c>
      <c r="I29" s="38">
        <v>29.0</v>
      </c>
      <c r="J29" s="38" t="str">
        <f t="shared" si="3"/>
        <v>P029</v>
      </c>
      <c r="K29" s="38">
        <f t="shared" si="4"/>
        <v>77</v>
      </c>
      <c r="L29" s="38" t="str">
        <f t="shared" si="5"/>
        <v>P077</v>
      </c>
      <c r="O29" s="48" t="s">
        <v>1410</v>
      </c>
      <c r="P29" s="38" t="str">
        <f>IFERROR(__xludf.DUMMYFUNCTION("SPLIT($O29,""-"")"),"Cold Drink 1 litre ")</f>
        <v>Cold Drink 1 litre </v>
      </c>
      <c r="Q29" s="38" t="str">
        <f>IFERROR(__xludf.DUMMYFUNCTION("""COMPUTED_VALUE""")," ₹100")</f>
        <v> ₹100</v>
      </c>
      <c r="S29" s="39" t="str">
        <f>IFERROR(__xludf.DUMMYFUNCTION("""COMPUTED_VALUE"""),"05/24/2025 15:58:18")</f>
        <v>05/24/2025 15:58:18</v>
      </c>
      <c r="T29" s="38" t="s">
        <v>693</v>
      </c>
      <c r="X29" s="49" t="s">
        <v>232</v>
      </c>
      <c r="Z29" s="52">
        <v>45795.479375</v>
      </c>
      <c r="AA29" s="50">
        <v>45801.0</v>
      </c>
      <c r="AB29" s="51">
        <v>0.479375</v>
      </c>
      <c r="AC29" s="38" t="str">
        <f t="shared" si="6"/>
        <v>05/24/2025 11:30:18</v>
      </c>
    </row>
    <row r="30" ht="15.75" customHeight="1">
      <c r="B30" s="43">
        <v>45795.0</v>
      </c>
      <c r="C30" s="44" t="str">
        <f t="shared" si="1"/>
        <v>13:07:03</v>
      </c>
      <c r="D30" s="45" t="s">
        <v>1411</v>
      </c>
      <c r="E30" s="46" t="str">
        <f t="shared" si="2"/>
        <v>05/18/2025 13:06:00</v>
      </c>
      <c r="H30" s="47" t="s">
        <v>1353</v>
      </c>
      <c r="I30" s="38">
        <v>30.0</v>
      </c>
      <c r="J30" s="38" t="str">
        <f t="shared" si="3"/>
        <v>P030</v>
      </c>
      <c r="K30" s="38">
        <f t="shared" si="4"/>
        <v>63</v>
      </c>
      <c r="L30" s="38" t="str">
        <f t="shared" si="5"/>
        <v>P063</v>
      </c>
      <c r="O30" s="48" t="s">
        <v>1412</v>
      </c>
      <c r="P30" s="38" t="str">
        <f>IFERROR(__xludf.DUMMYFUNCTION("SPLIT($O30,""-"")"),"Ice Cream 1 litre ")</f>
        <v>Ice Cream 1 litre </v>
      </c>
      <c r="Q30" s="38" t="str">
        <f>IFERROR(__xludf.DUMMYFUNCTION("""COMPUTED_VALUE""")," ₹300")</f>
        <v> ₹300</v>
      </c>
      <c r="S30" s="39" t="str">
        <f>IFERROR(__xludf.DUMMYFUNCTION("""COMPUTED_VALUE"""),"05/24/2025 16:09:18")</f>
        <v>05/24/2025 16:09:18</v>
      </c>
      <c r="T30" s="38" t="s">
        <v>695</v>
      </c>
      <c r="X30" s="49" t="s">
        <v>232</v>
      </c>
      <c r="Z30" s="52">
        <v>45795.479375</v>
      </c>
      <c r="AA30" s="50">
        <v>45801.0</v>
      </c>
      <c r="AB30" s="51">
        <v>0.479375</v>
      </c>
      <c r="AC30" s="38" t="str">
        <f t="shared" si="6"/>
        <v>05/24/2025 11:30:18</v>
      </c>
    </row>
    <row r="31" ht="15.75" customHeight="1">
      <c r="B31" s="43">
        <v>45795.0</v>
      </c>
      <c r="C31" s="44" t="str">
        <f t="shared" si="1"/>
        <v>11:37:13</v>
      </c>
      <c r="D31" s="45" t="s">
        <v>1413</v>
      </c>
      <c r="E31" s="46" t="str">
        <f t="shared" si="2"/>
        <v>05/18/2025 13:06:43</v>
      </c>
      <c r="H31" s="47" t="s">
        <v>1353</v>
      </c>
      <c r="I31" s="38">
        <v>31.0</v>
      </c>
      <c r="J31" s="38" t="str">
        <f t="shared" si="3"/>
        <v>P031</v>
      </c>
      <c r="K31" s="38">
        <f t="shared" si="4"/>
        <v>93</v>
      </c>
      <c r="L31" s="38" t="str">
        <f t="shared" si="5"/>
        <v>P093</v>
      </c>
      <c r="O31" s="48" t="s">
        <v>1414</v>
      </c>
      <c r="P31" s="38" t="str">
        <f>IFERROR(__xludf.DUMMYFUNCTION("SPLIT($O31,""-"")"),"Shampoo 1 bottle ")</f>
        <v>Shampoo 1 bottle </v>
      </c>
      <c r="Q31" s="38" t="str">
        <f>IFERROR(__xludf.DUMMYFUNCTION("""COMPUTED_VALUE""")," ₹200")</f>
        <v> ₹200</v>
      </c>
      <c r="S31" s="39" t="str">
        <f>IFERROR(__xludf.DUMMYFUNCTION("""COMPUTED_VALUE"""),"05/24/2025 16:24:18")</f>
        <v>05/24/2025 16:24:18</v>
      </c>
      <c r="T31" s="38" t="s">
        <v>697</v>
      </c>
      <c r="X31" s="49" t="s">
        <v>232</v>
      </c>
      <c r="Z31" s="52">
        <v>45795.479375</v>
      </c>
      <c r="AA31" s="50">
        <v>45801.0</v>
      </c>
      <c r="AB31" s="51">
        <v>0.479375</v>
      </c>
      <c r="AC31" s="38" t="str">
        <f t="shared" si="6"/>
        <v>05/24/2025 11:30:18</v>
      </c>
    </row>
    <row r="32" ht="15.75" customHeight="1">
      <c r="B32" s="43">
        <v>45795.0</v>
      </c>
      <c r="C32" s="44" t="str">
        <f t="shared" si="1"/>
        <v>09:53:09</v>
      </c>
      <c r="D32" s="45" t="s">
        <v>1415</v>
      </c>
      <c r="E32" s="46" t="str">
        <f t="shared" si="2"/>
        <v>05/18/2025 13:07:03</v>
      </c>
      <c r="H32" s="47" t="s">
        <v>1353</v>
      </c>
      <c r="I32" s="38">
        <v>32.0</v>
      </c>
      <c r="J32" s="38" t="str">
        <f t="shared" si="3"/>
        <v>P032</v>
      </c>
      <c r="K32" s="38">
        <f t="shared" si="4"/>
        <v>57</v>
      </c>
      <c r="L32" s="38" t="str">
        <f t="shared" si="5"/>
        <v>P057</v>
      </c>
      <c r="O32" s="48" t="s">
        <v>1416</v>
      </c>
      <c r="P32" s="38" t="str">
        <f>IFERROR(__xludf.DUMMYFUNCTION("SPLIT($O32,""-"")"),"Soap 1 bar ")</f>
        <v>Soap 1 bar </v>
      </c>
      <c r="Q32" s="38" t="str">
        <f>IFERROR(__xludf.DUMMYFUNCTION("""COMPUTED_VALUE""")," ₹40")</f>
        <v> ₹40</v>
      </c>
      <c r="S32" s="39" t="str">
        <f>IFERROR(__xludf.DUMMYFUNCTION("""COMPUTED_VALUE"""),"05/24/2025 16:35:18")</f>
        <v>05/24/2025 16:35:18</v>
      </c>
      <c r="T32" s="38" t="s">
        <v>699</v>
      </c>
      <c r="X32" s="49" t="s">
        <v>232</v>
      </c>
      <c r="Z32" s="52">
        <v>45795.479375</v>
      </c>
      <c r="AA32" s="50">
        <v>45801.0</v>
      </c>
      <c r="AB32" s="51">
        <v>0.479375</v>
      </c>
      <c r="AC32" s="38" t="str">
        <f t="shared" si="6"/>
        <v>05/24/2025 11:30:18</v>
      </c>
    </row>
    <row r="33" ht="15.75" customHeight="1">
      <c r="B33" s="43">
        <v>45795.0</v>
      </c>
      <c r="C33" s="44" t="str">
        <f t="shared" si="1"/>
        <v>17:26:54</v>
      </c>
      <c r="D33" s="45" t="s">
        <v>1417</v>
      </c>
      <c r="E33" s="46" t="str">
        <f t="shared" si="2"/>
        <v>05/18/2025 13:10:12</v>
      </c>
      <c r="H33" s="47" t="s">
        <v>1353</v>
      </c>
      <c r="I33" s="38">
        <v>33.0</v>
      </c>
      <c r="J33" s="38" t="str">
        <f t="shared" si="3"/>
        <v>P033</v>
      </c>
      <c r="K33" s="38">
        <f t="shared" si="4"/>
        <v>9</v>
      </c>
      <c r="L33" s="38" t="str">
        <f t="shared" si="5"/>
        <v>P009</v>
      </c>
      <c r="O33" s="48" t="s">
        <v>1418</v>
      </c>
      <c r="P33" s="38" t="str">
        <f>IFERROR(__xludf.DUMMYFUNCTION("SPLIT($O33,""-"")"),"Toothpaste 1 tube ")</f>
        <v>Toothpaste 1 tube </v>
      </c>
      <c r="Q33" s="38" t="str">
        <f>IFERROR(__xludf.DUMMYFUNCTION("""COMPUTED_VALUE""")," ₹80")</f>
        <v> ₹80</v>
      </c>
      <c r="S33" s="39" t="str">
        <f>IFERROR(__xludf.DUMMYFUNCTION("""COMPUTED_VALUE"""),"05/24/2025 16:49:18")</f>
        <v>05/24/2025 16:49:18</v>
      </c>
      <c r="T33" s="38" t="s">
        <v>701</v>
      </c>
      <c r="X33" s="49" t="s">
        <v>233</v>
      </c>
      <c r="Z33" s="52">
        <v>45795.479375</v>
      </c>
      <c r="AA33" s="50">
        <v>45801.0</v>
      </c>
      <c r="AB33" s="51">
        <v>0.479375</v>
      </c>
      <c r="AC33" s="38" t="str">
        <f t="shared" si="6"/>
        <v>05/24/2025 11:30:18</v>
      </c>
    </row>
    <row r="34" ht="15.75" customHeight="1">
      <c r="B34" s="43">
        <v>45795.0</v>
      </c>
      <c r="C34" s="44" t="str">
        <f t="shared" si="1"/>
        <v>10:57:00</v>
      </c>
      <c r="D34" s="45" t="s">
        <v>1419</v>
      </c>
      <c r="E34" s="46" t="str">
        <f t="shared" si="2"/>
        <v>05/18/2025 13:10:40</v>
      </c>
      <c r="H34" s="47" t="s">
        <v>1353</v>
      </c>
      <c r="I34" s="38">
        <v>34.0</v>
      </c>
      <c r="J34" s="38" t="str">
        <f t="shared" si="3"/>
        <v>P034</v>
      </c>
      <c r="K34" s="38">
        <f t="shared" si="4"/>
        <v>2</v>
      </c>
      <c r="L34" s="38" t="str">
        <f t="shared" si="5"/>
        <v>P002</v>
      </c>
      <c r="O34" s="48" t="s">
        <v>1420</v>
      </c>
      <c r="P34" s="38" t="str">
        <f>IFERROR(__xludf.DUMMYFUNCTION("SPLIT($O34,""-"")"),"Detergent Powder 1kg ")</f>
        <v>Detergent Powder 1kg </v>
      </c>
      <c r="Q34" s="38" t="str">
        <f>IFERROR(__xludf.DUMMYFUNCTION("""COMPUTED_VALUE""")," ₹150")</f>
        <v> ₹150</v>
      </c>
      <c r="S34" s="39" t="str">
        <f>IFERROR(__xludf.DUMMYFUNCTION("""COMPUTED_VALUE"""),"05/24/2025 17:02:18")</f>
        <v>05/24/2025 17:02:18</v>
      </c>
      <c r="T34" s="38" t="s">
        <v>703</v>
      </c>
      <c r="X34" s="49" t="s">
        <v>233</v>
      </c>
      <c r="Z34" s="52">
        <v>45795.48979166667</v>
      </c>
      <c r="AA34" s="50">
        <v>45801.0</v>
      </c>
      <c r="AB34" s="51">
        <v>0.4897916666666667</v>
      </c>
      <c r="AC34" s="38" t="str">
        <f t="shared" si="6"/>
        <v>05/24/2025 11:45:18</v>
      </c>
    </row>
    <row r="35" ht="15.75" customHeight="1">
      <c r="B35" s="43">
        <v>45795.0</v>
      </c>
      <c r="C35" s="44" t="str">
        <f t="shared" si="1"/>
        <v>17:20:29</v>
      </c>
      <c r="D35" s="45" t="s">
        <v>1421</v>
      </c>
      <c r="E35" s="46" t="str">
        <f t="shared" si="2"/>
        <v>05/18/2025 13:14:18</v>
      </c>
      <c r="H35" s="47" t="s">
        <v>1353</v>
      </c>
      <c r="I35" s="38">
        <v>35.0</v>
      </c>
      <c r="J35" s="38" t="str">
        <f t="shared" si="3"/>
        <v>P035</v>
      </c>
      <c r="K35" s="38">
        <f t="shared" si="4"/>
        <v>92</v>
      </c>
      <c r="L35" s="38" t="str">
        <f t="shared" si="5"/>
        <v>P092</v>
      </c>
      <c r="O35" s="48" t="s">
        <v>1422</v>
      </c>
      <c r="P35" s="38" t="str">
        <f>IFERROR(__xludf.DUMMYFUNCTION("SPLIT($O35,""-"")"),"Dishwashing Liquid 500ml ")</f>
        <v>Dishwashing Liquid 500ml </v>
      </c>
      <c r="Q35" s="38" t="str">
        <f>IFERROR(__xludf.DUMMYFUNCTION("""COMPUTED_VALUE""")," ₹100")</f>
        <v> ₹100</v>
      </c>
      <c r="S35" s="39" t="str">
        <f>IFERROR(__xludf.DUMMYFUNCTION("""COMPUTED_VALUE"""),"05/24/2025 17:15:18")</f>
        <v>05/24/2025 17:15:18</v>
      </c>
      <c r="T35" s="38" t="s">
        <v>705</v>
      </c>
      <c r="X35" s="49" t="s">
        <v>233</v>
      </c>
      <c r="Z35" s="52">
        <v>45795.48979166667</v>
      </c>
      <c r="AA35" s="50">
        <v>45801.0</v>
      </c>
      <c r="AB35" s="51">
        <v>0.4897916666666667</v>
      </c>
      <c r="AC35" s="38" t="str">
        <f t="shared" si="6"/>
        <v>05/24/2025 11:45:18</v>
      </c>
    </row>
    <row r="36" ht="15.75" customHeight="1">
      <c r="B36" s="43">
        <v>45795.0</v>
      </c>
      <c r="C36" s="44" t="str">
        <f t="shared" si="1"/>
        <v>13:14:18</v>
      </c>
      <c r="D36" s="45" t="s">
        <v>1423</v>
      </c>
      <c r="E36" s="46" t="str">
        <f t="shared" si="2"/>
        <v>05/18/2025 13:22:43</v>
      </c>
      <c r="H36" s="47" t="s">
        <v>1353</v>
      </c>
      <c r="I36" s="38">
        <v>36.0</v>
      </c>
      <c r="J36" s="38" t="str">
        <f t="shared" si="3"/>
        <v>P036</v>
      </c>
      <c r="K36" s="38">
        <f t="shared" si="4"/>
        <v>69</v>
      </c>
      <c r="L36" s="38" t="str">
        <f t="shared" si="5"/>
        <v>P069</v>
      </c>
      <c r="O36" s="48" t="s">
        <v>1424</v>
      </c>
      <c r="P36" s="38" t="str">
        <f>IFERROR(__xludf.DUMMYFUNCTION("SPLIT($O36,""-"")"),"Floor Cleaner 1 litre ")</f>
        <v>Floor Cleaner 1 litre </v>
      </c>
      <c r="Q36" s="38" t="str">
        <f>IFERROR(__xludf.DUMMYFUNCTION("""COMPUTED_VALUE""")," ₹150")</f>
        <v> ₹150</v>
      </c>
      <c r="S36" s="39" t="str">
        <f>IFERROR(__xludf.DUMMYFUNCTION("""COMPUTED_VALUE"""),"05/24/2025 17:29:18")</f>
        <v>05/24/2025 17:29:18</v>
      </c>
      <c r="T36" s="38" t="s">
        <v>707</v>
      </c>
      <c r="X36" s="49" t="s">
        <v>233</v>
      </c>
      <c r="Z36" s="52">
        <v>45795.48979166667</v>
      </c>
      <c r="AA36" s="50">
        <v>45801.0</v>
      </c>
      <c r="AB36" s="51">
        <v>0.4897916666666667</v>
      </c>
      <c r="AC36" s="38" t="str">
        <f t="shared" si="6"/>
        <v>05/24/2025 11:45:18</v>
      </c>
    </row>
    <row r="37" ht="15.75" customHeight="1">
      <c r="B37" s="43">
        <v>45795.0</v>
      </c>
      <c r="C37" s="44" t="str">
        <f t="shared" si="1"/>
        <v>16:00:19</v>
      </c>
      <c r="D37" s="45" t="s">
        <v>1425</v>
      </c>
      <c r="E37" s="46" t="str">
        <f t="shared" si="2"/>
        <v>05/18/2025 13:51:03</v>
      </c>
      <c r="H37" s="47" t="s">
        <v>1353</v>
      </c>
      <c r="I37" s="38">
        <v>37.0</v>
      </c>
      <c r="J37" s="38" t="str">
        <f t="shared" si="3"/>
        <v>P037</v>
      </c>
      <c r="K37" s="38">
        <f t="shared" si="4"/>
        <v>12</v>
      </c>
      <c r="L37" s="38" t="str">
        <f t="shared" si="5"/>
        <v>P012</v>
      </c>
      <c r="O37" s="48" t="s">
        <v>1426</v>
      </c>
      <c r="P37" s="38" t="str">
        <f>IFERROR(__xludf.DUMMYFUNCTION("SPLIT($O37,""-"")"),"Toilet Cleaner 1 litre ")</f>
        <v>Toilet Cleaner 1 litre </v>
      </c>
      <c r="Q37" s="38" t="str">
        <f>IFERROR(__xludf.DUMMYFUNCTION("""COMPUTED_VALUE""")," ₹120")</f>
        <v> ₹120</v>
      </c>
      <c r="S37" s="39" t="str">
        <f>IFERROR(__xludf.DUMMYFUNCTION("""COMPUTED_VALUE"""),"05/24/2025 17:42:18")</f>
        <v>05/24/2025 17:42:18</v>
      </c>
      <c r="T37" s="38" t="s">
        <v>709</v>
      </c>
      <c r="X37" s="49" t="s">
        <v>234</v>
      </c>
      <c r="Z37" s="52">
        <v>45795.48979166667</v>
      </c>
      <c r="AA37" s="50">
        <v>45801.0</v>
      </c>
      <c r="AB37" s="51">
        <v>0.4897916666666667</v>
      </c>
      <c r="AC37" s="38" t="str">
        <f t="shared" si="6"/>
        <v>05/24/2025 11:45:18</v>
      </c>
    </row>
    <row r="38" ht="15.75" customHeight="1">
      <c r="B38" s="43">
        <v>45795.0</v>
      </c>
      <c r="C38" s="44" t="str">
        <f t="shared" si="1"/>
        <v>09:31:35</v>
      </c>
      <c r="D38" s="45" t="s">
        <v>1427</v>
      </c>
      <c r="E38" s="46" t="str">
        <f t="shared" si="2"/>
        <v>05/18/2025 14:01:33</v>
      </c>
      <c r="H38" s="47" t="s">
        <v>1353</v>
      </c>
      <c r="I38" s="38">
        <v>38.0</v>
      </c>
      <c r="J38" s="38" t="str">
        <f t="shared" si="3"/>
        <v>P038</v>
      </c>
      <c r="K38" s="38">
        <f t="shared" si="4"/>
        <v>40</v>
      </c>
      <c r="L38" s="38" t="str">
        <f t="shared" si="5"/>
        <v>P040</v>
      </c>
      <c r="O38" s="48" t="s">
        <v>1428</v>
      </c>
      <c r="P38" s="38" t="str">
        <f>IFERROR(__xludf.DUMMYFUNCTION("SPLIT($O38,""-"")"),"Mosquito Repellent 1 pack ")</f>
        <v>Mosquito Repellent 1 pack </v>
      </c>
      <c r="Q38" s="38" t="str">
        <f>IFERROR(__xludf.DUMMYFUNCTION("""COMPUTED_VALUE""")," ₹90")</f>
        <v> ₹90</v>
      </c>
      <c r="S38" s="39" t="str">
        <f>IFERROR(__xludf.DUMMYFUNCTION("""COMPUTED_VALUE"""),"05/24/2025 17:52:18")</f>
        <v>05/24/2025 17:52:18</v>
      </c>
      <c r="T38" s="38" t="s">
        <v>711</v>
      </c>
      <c r="X38" s="49" t="s">
        <v>234</v>
      </c>
      <c r="Z38" s="52">
        <v>45795.48979166667</v>
      </c>
      <c r="AA38" s="50">
        <v>45801.0</v>
      </c>
      <c r="AB38" s="51">
        <v>0.4897916666666667</v>
      </c>
      <c r="AC38" s="38" t="str">
        <f t="shared" si="6"/>
        <v>05/24/2025 11:45:18</v>
      </c>
    </row>
    <row r="39" ht="15.75" customHeight="1">
      <c r="B39" s="43">
        <v>45795.0</v>
      </c>
      <c r="C39" s="44" t="str">
        <f t="shared" si="1"/>
        <v>14:38:00</v>
      </c>
      <c r="D39" s="45" t="s">
        <v>1429</v>
      </c>
      <c r="E39" s="46" t="str">
        <f t="shared" si="2"/>
        <v>05/18/2025 14:08:03</v>
      </c>
      <c r="H39" s="47" t="s">
        <v>1353</v>
      </c>
      <c r="I39" s="38">
        <v>39.0</v>
      </c>
      <c r="J39" s="38" t="str">
        <f t="shared" si="3"/>
        <v>P039</v>
      </c>
      <c r="K39" s="38">
        <f t="shared" si="4"/>
        <v>17</v>
      </c>
      <c r="L39" s="38" t="str">
        <f t="shared" si="5"/>
        <v>P017</v>
      </c>
      <c r="O39" s="48" t="s">
        <v>1430</v>
      </c>
      <c r="P39" s="38" t="str">
        <f>IFERROR(__xludf.DUMMYFUNCTION("SPLIT($O39,""-"")"),"Tissue Roll 1 pack ")</f>
        <v>Tissue Roll 1 pack </v>
      </c>
      <c r="Q39" s="38" t="str">
        <f>IFERROR(__xludf.DUMMYFUNCTION("""COMPUTED_VALUE""")," ₹60")</f>
        <v> ₹60</v>
      </c>
      <c r="S39" s="39"/>
      <c r="T39" s="38" t="s">
        <v>1431</v>
      </c>
      <c r="X39" s="49" t="s">
        <v>234</v>
      </c>
      <c r="Z39" s="52">
        <v>45795.49743055556</v>
      </c>
      <c r="AA39" s="50">
        <v>45801.0</v>
      </c>
      <c r="AB39" s="51">
        <v>0.49743055555555554</v>
      </c>
      <c r="AC39" s="38" t="str">
        <f t="shared" si="6"/>
        <v>05/24/2025 11:56:18</v>
      </c>
    </row>
    <row r="40" ht="15.75" customHeight="1">
      <c r="B40" s="43">
        <v>45795.0</v>
      </c>
      <c r="C40" s="44" t="str">
        <f t="shared" si="1"/>
        <v>17:44:47</v>
      </c>
      <c r="D40" s="45" t="s">
        <v>1432</v>
      </c>
      <c r="E40" s="46" t="str">
        <f t="shared" si="2"/>
        <v>05/18/2025 14:34:19</v>
      </c>
      <c r="H40" s="47" t="s">
        <v>1353</v>
      </c>
      <c r="I40" s="38">
        <v>40.0</v>
      </c>
      <c r="J40" s="38" t="str">
        <f t="shared" si="3"/>
        <v>P040</v>
      </c>
      <c r="K40" s="38">
        <f t="shared" si="4"/>
        <v>36</v>
      </c>
      <c r="L40" s="38" t="str">
        <f t="shared" si="5"/>
        <v>P036</v>
      </c>
      <c r="O40" s="48" t="s">
        <v>1433</v>
      </c>
      <c r="P40" s="38" t="str">
        <f>IFERROR(__xludf.DUMMYFUNCTION("SPLIT($O40,""-"")"),"Cooking Oil 1 litre ")</f>
        <v>Cooking Oil 1 litre </v>
      </c>
      <c r="Q40" s="38" t="str">
        <f>IFERROR(__xludf.DUMMYFUNCTION("""COMPUTED_VALUE""")," ₹120")</f>
        <v> ₹120</v>
      </c>
      <c r="T40" s="38" t="s">
        <v>1434</v>
      </c>
      <c r="X40" s="49" t="s">
        <v>234</v>
      </c>
      <c r="Z40" s="52">
        <v>45795.49743055556</v>
      </c>
      <c r="AA40" s="50">
        <v>45801.0</v>
      </c>
      <c r="AB40" s="51">
        <v>0.49743055555555554</v>
      </c>
      <c r="AC40" s="38" t="str">
        <f t="shared" si="6"/>
        <v>05/24/2025 11:56:18</v>
      </c>
    </row>
    <row r="41" ht="15.75" customHeight="1">
      <c r="B41" s="43">
        <v>45795.0</v>
      </c>
      <c r="C41" s="44" t="str">
        <f t="shared" si="1"/>
        <v>14:01:33</v>
      </c>
      <c r="D41" s="45" t="s">
        <v>1435</v>
      </c>
      <c r="E41" s="46" t="str">
        <f t="shared" si="2"/>
        <v>05/18/2025 14:38:00</v>
      </c>
      <c r="H41" s="47" t="s">
        <v>1353</v>
      </c>
      <c r="I41" s="38">
        <v>41.0</v>
      </c>
      <c r="J41" s="38" t="str">
        <f t="shared" si="3"/>
        <v>P041</v>
      </c>
      <c r="K41" s="38">
        <f t="shared" si="4"/>
        <v>10</v>
      </c>
      <c r="L41" s="38" t="str">
        <f t="shared" si="5"/>
        <v>P010</v>
      </c>
      <c r="O41" s="48" t="s">
        <v>1436</v>
      </c>
      <c r="P41" s="38" t="str">
        <f>IFERROR(__xludf.DUMMYFUNCTION("SPLIT($O41,""-"")"),"Mustard Seeds 100g ")</f>
        <v>Mustard Seeds 100g </v>
      </c>
      <c r="Q41" s="38" t="str">
        <f>IFERROR(__xludf.DUMMYFUNCTION("""COMPUTED_VALUE""")," ₹30")</f>
        <v> ₹30</v>
      </c>
      <c r="T41" s="38" t="s">
        <v>1437</v>
      </c>
      <c r="X41" s="49" t="s">
        <v>235</v>
      </c>
      <c r="Z41" s="52">
        <v>45795.49743055556</v>
      </c>
      <c r="AA41" s="50">
        <v>45801.0</v>
      </c>
      <c r="AB41" s="51">
        <v>0.49743055555555554</v>
      </c>
      <c r="AC41" s="38" t="str">
        <f t="shared" si="6"/>
        <v>05/24/2025 11:56:18</v>
      </c>
    </row>
    <row r="42" ht="15.75" customHeight="1">
      <c r="B42" s="43">
        <v>45795.0</v>
      </c>
      <c r="C42" s="44" t="str">
        <f t="shared" si="1"/>
        <v>10:20:44</v>
      </c>
      <c r="D42" s="45" t="s">
        <v>1438</v>
      </c>
      <c r="E42" s="46" t="str">
        <f t="shared" si="2"/>
        <v>05/18/2025 14:49:21</v>
      </c>
      <c r="H42" s="47" t="s">
        <v>1353</v>
      </c>
      <c r="I42" s="38">
        <v>42.0</v>
      </c>
      <c r="J42" s="38" t="str">
        <f t="shared" si="3"/>
        <v>P042</v>
      </c>
      <c r="K42" s="38">
        <f t="shared" si="4"/>
        <v>29</v>
      </c>
      <c r="L42" s="38" t="str">
        <f t="shared" si="5"/>
        <v>P029</v>
      </c>
      <c r="O42" s="48" t="s">
        <v>1439</v>
      </c>
      <c r="P42" s="38" t="str">
        <f>IFERROR(__xludf.DUMMYFUNCTION("SPLIT($O42,""-"")"),"Cumin Seeds 100g ")</f>
        <v>Cumin Seeds 100g </v>
      </c>
      <c r="Q42" s="38" t="str">
        <f>IFERROR(__xludf.DUMMYFUNCTION("""COMPUTED_VALUE""")," ₹40")</f>
        <v> ₹40</v>
      </c>
      <c r="T42" s="38" t="s">
        <v>1440</v>
      </c>
      <c r="X42" s="49" t="s">
        <v>235</v>
      </c>
      <c r="Z42" s="52">
        <v>45795.507152777776</v>
      </c>
      <c r="AA42" s="50">
        <v>45801.0</v>
      </c>
      <c r="AB42" s="51">
        <v>0.5071527777777778</v>
      </c>
      <c r="AC42" s="38" t="str">
        <f t="shared" si="6"/>
        <v>05/24/2025 12:10:18</v>
      </c>
    </row>
    <row r="43" ht="15.75" customHeight="1">
      <c r="B43" s="43">
        <v>45795.0</v>
      </c>
      <c r="C43" s="44" t="str">
        <f t="shared" si="1"/>
        <v>15:47:51</v>
      </c>
      <c r="D43" s="45" t="s">
        <v>1441</v>
      </c>
      <c r="E43" s="46" t="str">
        <f t="shared" si="2"/>
        <v>05/18/2025 14:53:39</v>
      </c>
      <c r="H43" s="47" t="s">
        <v>1353</v>
      </c>
      <c r="I43" s="38">
        <v>43.0</v>
      </c>
      <c r="J43" s="38" t="str">
        <f t="shared" si="3"/>
        <v>P043</v>
      </c>
      <c r="K43" s="38">
        <f t="shared" si="4"/>
        <v>43</v>
      </c>
      <c r="L43" s="38" t="str">
        <f t="shared" si="5"/>
        <v>P043</v>
      </c>
      <c r="O43" s="48" t="s">
        <v>1442</v>
      </c>
      <c r="P43" s="38" t="str">
        <f>IFERROR(__xludf.DUMMYFUNCTION("SPLIT($O43,""-"")"),"Coriander Powder 100g ")</f>
        <v>Coriander Powder 100g </v>
      </c>
      <c r="Q43" s="38" t="str">
        <f>IFERROR(__xludf.DUMMYFUNCTION("""COMPUTED_VALUE""")," ₹50")</f>
        <v> ₹50</v>
      </c>
      <c r="T43" s="38" t="s">
        <v>1443</v>
      </c>
      <c r="X43" s="49" t="s">
        <v>235</v>
      </c>
      <c r="Z43" s="52">
        <v>45795.507152777776</v>
      </c>
      <c r="AA43" s="50">
        <v>45801.0</v>
      </c>
      <c r="AB43" s="51">
        <v>0.5071527777777778</v>
      </c>
      <c r="AC43" s="38" t="str">
        <f t="shared" si="6"/>
        <v>05/24/2025 12:10:18</v>
      </c>
    </row>
    <row r="44" ht="15.75" customHeight="1">
      <c r="B44" s="43">
        <v>45795.0</v>
      </c>
      <c r="C44" s="44" t="str">
        <f t="shared" si="1"/>
        <v>09:25:32</v>
      </c>
      <c r="D44" s="45" t="s">
        <v>1444</v>
      </c>
      <c r="E44" s="46" t="str">
        <f t="shared" si="2"/>
        <v>05/18/2025 15:42:54</v>
      </c>
      <c r="H44" s="47" t="s">
        <v>1353</v>
      </c>
      <c r="I44" s="38">
        <v>44.0</v>
      </c>
      <c r="J44" s="38" t="str">
        <f t="shared" si="3"/>
        <v>P044</v>
      </c>
      <c r="K44" s="38">
        <f t="shared" si="4"/>
        <v>75</v>
      </c>
      <c r="L44" s="38" t="str">
        <f t="shared" si="5"/>
        <v>P075</v>
      </c>
      <c r="O44" s="48" t="s">
        <v>1445</v>
      </c>
      <c r="P44" s="38" t="str">
        <f>IFERROR(__xludf.DUMMYFUNCTION("SPLIT($O44,""-"")"),"Chili Powder 100g ")</f>
        <v>Chili Powder 100g </v>
      </c>
      <c r="Q44" s="38" t="str">
        <f>IFERROR(__xludf.DUMMYFUNCTION("""COMPUTED_VALUE""")," ₹60")</f>
        <v> ₹60</v>
      </c>
      <c r="T44" s="38" t="s">
        <v>1446</v>
      </c>
      <c r="X44" s="49" t="s">
        <v>235</v>
      </c>
      <c r="Z44" s="52">
        <v>45795.507152777776</v>
      </c>
      <c r="AA44" s="50">
        <v>45801.0</v>
      </c>
      <c r="AB44" s="51">
        <v>0.5071527777777778</v>
      </c>
      <c r="AC44" s="38" t="str">
        <f t="shared" si="6"/>
        <v>05/24/2025 12:10:18</v>
      </c>
    </row>
    <row r="45" ht="15.75" customHeight="1">
      <c r="B45" s="43">
        <v>45795.0</v>
      </c>
      <c r="C45" s="44" t="str">
        <f t="shared" si="1"/>
        <v>11:33:57</v>
      </c>
      <c r="D45" s="45" t="s">
        <v>1447</v>
      </c>
      <c r="E45" s="46" t="str">
        <f t="shared" si="2"/>
        <v>05/18/2025 15:47:51</v>
      </c>
      <c r="H45" s="47" t="s">
        <v>1353</v>
      </c>
      <c r="I45" s="38">
        <v>45.0</v>
      </c>
      <c r="J45" s="38" t="str">
        <f t="shared" si="3"/>
        <v>P045</v>
      </c>
      <c r="K45" s="38">
        <f t="shared" si="4"/>
        <v>37</v>
      </c>
      <c r="L45" s="38" t="str">
        <f t="shared" si="5"/>
        <v>P037</v>
      </c>
      <c r="O45" s="48" t="s">
        <v>1448</v>
      </c>
      <c r="P45" s="38" t="str">
        <f>IFERROR(__xludf.DUMMYFUNCTION("SPLIT($O45,""-"")"),"Vinegar 500ml ")</f>
        <v>Vinegar 500ml </v>
      </c>
      <c r="Q45" s="38" t="str">
        <f>IFERROR(__xludf.DUMMYFUNCTION("""COMPUTED_VALUE""")," ₹90")</f>
        <v> ₹90</v>
      </c>
      <c r="T45" s="38" t="s">
        <v>1449</v>
      </c>
      <c r="X45" s="49" t="s">
        <v>236</v>
      </c>
      <c r="Z45" s="52">
        <v>45795.516875</v>
      </c>
      <c r="AA45" s="50">
        <v>45801.0</v>
      </c>
      <c r="AB45" s="51">
        <v>0.516875</v>
      </c>
      <c r="AC45" s="38" t="str">
        <f t="shared" si="6"/>
        <v>05/24/2025 12:24:18</v>
      </c>
    </row>
    <row r="46" ht="15.75" customHeight="1">
      <c r="B46" s="43">
        <v>45795.0</v>
      </c>
      <c r="C46" s="44" t="str">
        <f t="shared" si="1"/>
        <v>13:22:43</v>
      </c>
      <c r="D46" s="45" t="s">
        <v>1450</v>
      </c>
      <c r="E46" s="46" t="str">
        <f t="shared" si="2"/>
        <v>05/18/2025 16:00:19</v>
      </c>
      <c r="H46" s="47" t="s">
        <v>1353</v>
      </c>
      <c r="I46" s="38">
        <v>46.0</v>
      </c>
      <c r="J46" s="38" t="str">
        <f t="shared" si="3"/>
        <v>P046</v>
      </c>
      <c r="K46" s="38">
        <f t="shared" si="4"/>
        <v>65</v>
      </c>
      <c r="L46" s="38" t="str">
        <f t="shared" si="5"/>
        <v>P065</v>
      </c>
      <c r="O46" s="48" t="s">
        <v>1451</v>
      </c>
      <c r="P46" s="38" t="str">
        <f>IFERROR(__xludf.DUMMYFUNCTION("SPLIT($O46,""-"")"),"Soy Sauce 500ml ")</f>
        <v>Soy Sauce 500ml </v>
      </c>
      <c r="Q46" s="38" t="str">
        <f>IFERROR(__xludf.DUMMYFUNCTION("""COMPUTED_VALUE""")," ₹120")</f>
        <v> ₹120</v>
      </c>
      <c r="T46" s="38" t="s">
        <v>1452</v>
      </c>
      <c r="X46" s="49" t="s">
        <v>236</v>
      </c>
      <c r="Z46" s="52">
        <v>45795.516875</v>
      </c>
      <c r="AA46" s="50">
        <v>45801.0</v>
      </c>
      <c r="AB46" s="51">
        <v>0.516875</v>
      </c>
      <c r="AC46" s="38" t="str">
        <f t="shared" si="6"/>
        <v>05/24/2025 12:24:18</v>
      </c>
    </row>
    <row r="47" ht="15.75" customHeight="1">
      <c r="B47" s="43">
        <v>45795.0</v>
      </c>
      <c r="C47" s="44" t="str">
        <f t="shared" si="1"/>
        <v>13:00:53</v>
      </c>
      <c r="D47" s="45" t="s">
        <v>1453</v>
      </c>
      <c r="E47" s="46" t="str">
        <f t="shared" si="2"/>
        <v>05/18/2025 16:16:50</v>
      </c>
      <c r="H47" s="47" t="s">
        <v>1353</v>
      </c>
      <c r="I47" s="38">
        <v>47.0</v>
      </c>
      <c r="J47" s="38" t="str">
        <f t="shared" si="3"/>
        <v>P047</v>
      </c>
      <c r="K47" s="38">
        <f t="shared" si="4"/>
        <v>5</v>
      </c>
      <c r="L47" s="38" t="str">
        <f t="shared" si="5"/>
        <v>P005</v>
      </c>
      <c r="O47" s="48" t="s">
        <v>1454</v>
      </c>
      <c r="P47" s="38" t="str">
        <f>IFERROR(__xludf.DUMMYFUNCTION("SPLIT($O47,""-"")"),"Pasta 500g ")</f>
        <v>Pasta 500g </v>
      </c>
      <c r="Q47" s="38" t="str">
        <f>IFERROR(__xludf.DUMMYFUNCTION("""COMPUTED_VALUE""")," ₹150")</f>
        <v> ₹150</v>
      </c>
      <c r="T47" s="38" t="s">
        <v>1455</v>
      </c>
      <c r="X47" s="49" t="s">
        <v>236</v>
      </c>
      <c r="Z47" s="52">
        <v>45795.516875</v>
      </c>
      <c r="AA47" s="50">
        <v>45801.0</v>
      </c>
      <c r="AB47" s="51">
        <v>0.516875</v>
      </c>
      <c r="AC47" s="38" t="str">
        <f t="shared" si="6"/>
        <v>05/24/2025 12:24:18</v>
      </c>
    </row>
    <row r="48" ht="15.75" customHeight="1">
      <c r="B48" s="43">
        <v>45795.0</v>
      </c>
      <c r="C48" s="44" t="str">
        <f t="shared" si="1"/>
        <v>17:19:17</v>
      </c>
      <c r="D48" s="45" t="s">
        <v>1456</v>
      </c>
      <c r="E48" s="46" t="str">
        <f t="shared" si="2"/>
        <v>05/18/2025 16:28:09</v>
      </c>
      <c r="H48" s="47" t="s">
        <v>1353</v>
      </c>
      <c r="I48" s="38">
        <v>48.0</v>
      </c>
      <c r="J48" s="38" t="str">
        <f t="shared" si="3"/>
        <v>P048</v>
      </c>
      <c r="K48" s="38">
        <f t="shared" si="4"/>
        <v>20</v>
      </c>
      <c r="L48" s="38" t="str">
        <f t="shared" si="5"/>
        <v>P020</v>
      </c>
      <c r="O48" s="48" t="s">
        <v>1457</v>
      </c>
      <c r="P48" s="38" t="str">
        <f>IFERROR(__xludf.DUMMYFUNCTION("SPLIT($O48,""-"")"),"Noodles 500g ")</f>
        <v>Noodles 500g </v>
      </c>
      <c r="Q48" s="38" t="str">
        <f>IFERROR(__xludf.DUMMYFUNCTION("""COMPUTED_VALUE""")," ₹100")</f>
        <v> ₹100</v>
      </c>
      <c r="T48" s="38" t="s">
        <v>1458</v>
      </c>
      <c r="X48" s="49" t="s">
        <v>236</v>
      </c>
      <c r="Z48" s="52">
        <v>45795.516875</v>
      </c>
      <c r="AA48" s="50">
        <v>45801.0</v>
      </c>
      <c r="AB48" s="51">
        <v>0.516875</v>
      </c>
      <c r="AC48" s="38" t="str">
        <f t="shared" si="6"/>
        <v>05/24/2025 12:24:18</v>
      </c>
    </row>
    <row r="49" ht="15.75" customHeight="1">
      <c r="B49" s="43">
        <v>45795.0</v>
      </c>
      <c r="C49" s="44" t="str">
        <f t="shared" si="1"/>
        <v>13:06:43</v>
      </c>
      <c r="D49" s="45" t="s">
        <v>1459</v>
      </c>
      <c r="E49" s="46" t="str">
        <f t="shared" si="2"/>
        <v>05/18/2025 16:39:58</v>
      </c>
      <c r="H49" s="47" t="s">
        <v>1353</v>
      </c>
      <c r="I49" s="38">
        <v>49.0</v>
      </c>
      <c r="J49" s="38" t="str">
        <f t="shared" si="3"/>
        <v>P049</v>
      </c>
      <c r="K49" s="38">
        <f t="shared" si="4"/>
        <v>74</v>
      </c>
      <c r="L49" s="38" t="str">
        <f t="shared" si="5"/>
        <v>P074</v>
      </c>
      <c r="O49" s="48" t="s">
        <v>1460</v>
      </c>
      <c r="P49" s="38" t="str">
        <f>IFERROR(__xludf.DUMMYFUNCTION("SPLIT($O49,""-"")"),"Oats 1kg ")</f>
        <v>Oats 1kg </v>
      </c>
      <c r="Q49" s="38" t="str">
        <f>IFERROR(__xludf.DUMMYFUNCTION("""COMPUTED_VALUE""")," ₹250")</f>
        <v> ₹250</v>
      </c>
      <c r="T49" s="38" t="s">
        <v>1461</v>
      </c>
      <c r="X49" s="49" t="s">
        <v>237</v>
      </c>
      <c r="Z49" s="52">
        <v>45795.52381944445</v>
      </c>
      <c r="AA49" s="50">
        <v>45801.0</v>
      </c>
      <c r="AB49" s="51">
        <v>0.5238194444444444</v>
      </c>
      <c r="AC49" s="38" t="str">
        <f t="shared" si="6"/>
        <v>05/24/2025 12:34:18</v>
      </c>
    </row>
    <row r="50" ht="15.75" customHeight="1">
      <c r="B50" s="43">
        <v>45795.0</v>
      </c>
      <c r="C50" s="44" t="str">
        <f t="shared" si="1"/>
        <v>12:20:07</v>
      </c>
      <c r="D50" s="45" t="s">
        <v>1462</v>
      </c>
      <c r="E50" s="46" t="str">
        <f t="shared" si="2"/>
        <v>05/18/2025 16:46:04</v>
      </c>
      <c r="H50" s="47" t="s">
        <v>1353</v>
      </c>
      <c r="I50" s="38">
        <v>50.0</v>
      </c>
      <c r="J50" s="38" t="str">
        <f t="shared" si="3"/>
        <v>P050</v>
      </c>
      <c r="K50" s="38">
        <f t="shared" si="4"/>
        <v>14</v>
      </c>
      <c r="L50" s="38" t="str">
        <f t="shared" si="5"/>
        <v>P014</v>
      </c>
      <c r="O50" s="48" t="s">
        <v>1463</v>
      </c>
      <c r="P50" s="38" t="str">
        <f>IFERROR(__xludf.DUMMYFUNCTION("SPLIT($O50,""-"")"),"Cornflakes 500g ")</f>
        <v>Cornflakes 500g </v>
      </c>
      <c r="Q50" s="38" t="str">
        <f>IFERROR(__xludf.DUMMYFUNCTION("""COMPUTED_VALUE""")," ₹200")</f>
        <v> ₹200</v>
      </c>
      <c r="T50" s="38" t="s">
        <v>1464</v>
      </c>
      <c r="X50" s="49" t="s">
        <v>237</v>
      </c>
      <c r="Z50" s="52">
        <v>45795.52381944445</v>
      </c>
      <c r="AA50" s="50">
        <v>45801.0</v>
      </c>
      <c r="AB50" s="51">
        <v>0.5238194444444444</v>
      </c>
      <c r="AC50" s="38" t="str">
        <f t="shared" si="6"/>
        <v>05/24/2025 12:34:18</v>
      </c>
    </row>
    <row r="51" ht="15.75" customHeight="1">
      <c r="B51" s="43">
        <v>45795.0</v>
      </c>
      <c r="C51" s="44" t="str">
        <f t="shared" si="1"/>
        <v>11:46:25</v>
      </c>
      <c r="D51" s="45" t="s">
        <v>1465</v>
      </c>
      <c r="E51" s="46" t="str">
        <f t="shared" si="2"/>
        <v>05/18/2025 17:16:56</v>
      </c>
      <c r="H51" s="47" t="s">
        <v>1353</v>
      </c>
      <c r="I51" s="38">
        <v>51.0</v>
      </c>
      <c r="J51" s="38" t="str">
        <f t="shared" si="3"/>
        <v>P051</v>
      </c>
      <c r="K51" s="38">
        <f t="shared" si="4"/>
        <v>5</v>
      </c>
      <c r="L51" s="38" t="str">
        <f t="shared" si="5"/>
        <v>P005</v>
      </c>
      <c r="O51" s="48" t="s">
        <v>1466</v>
      </c>
      <c r="P51" s="38" t="str">
        <f>IFERROR(__xludf.DUMMYFUNCTION("SPLIT($O51,""-"")"),"Honey 500g ")</f>
        <v>Honey 500g </v>
      </c>
      <c r="Q51" s="38" t="str">
        <f>IFERROR(__xludf.DUMMYFUNCTION("""COMPUTED_VALUE""")," ₹300")</f>
        <v> ₹300</v>
      </c>
      <c r="T51" s="38" t="s">
        <v>1467</v>
      </c>
      <c r="X51" s="49" t="s">
        <v>237</v>
      </c>
      <c r="Z51" s="52">
        <v>45795.52381944445</v>
      </c>
      <c r="AA51" s="50">
        <v>45801.0</v>
      </c>
      <c r="AB51" s="51">
        <v>0.5238194444444444</v>
      </c>
      <c r="AC51" s="38" t="str">
        <f t="shared" si="6"/>
        <v>05/24/2025 12:34:18</v>
      </c>
    </row>
    <row r="52" ht="15.75" customHeight="1">
      <c r="B52" s="43">
        <v>45795.0</v>
      </c>
      <c r="C52" s="44" t="str">
        <f t="shared" si="1"/>
        <v>14:08:03</v>
      </c>
      <c r="D52" s="45" t="s">
        <v>1468</v>
      </c>
      <c r="E52" s="46" t="str">
        <f t="shared" si="2"/>
        <v>05/18/2025 17:19:17</v>
      </c>
      <c r="H52" s="47" t="s">
        <v>1353</v>
      </c>
      <c r="I52" s="38">
        <v>52.0</v>
      </c>
      <c r="J52" s="38" t="str">
        <f t="shared" si="3"/>
        <v>P052</v>
      </c>
      <c r="K52" s="38">
        <f t="shared" si="4"/>
        <v>19</v>
      </c>
      <c r="L52" s="38" t="str">
        <f t="shared" si="5"/>
        <v>P019</v>
      </c>
      <c r="O52" s="48" t="s">
        <v>1469</v>
      </c>
      <c r="P52" s="38" t="str">
        <f>IFERROR(__xludf.DUMMYFUNCTION("SPLIT($O52,""-"")"),"Jam 500g ")</f>
        <v>Jam 500g </v>
      </c>
      <c r="Q52" s="38" t="str">
        <f>IFERROR(__xludf.DUMMYFUNCTION("""COMPUTED_VALUE""")," ₹150")</f>
        <v> ₹150</v>
      </c>
      <c r="T52" s="38" t="s">
        <v>1470</v>
      </c>
      <c r="X52" s="49" t="s">
        <v>237</v>
      </c>
      <c r="Z52" s="52">
        <v>45795.52381944445</v>
      </c>
      <c r="AA52" s="50">
        <v>45801.0</v>
      </c>
      <c r="AB52" s="51">
        <v>0.5238194444444444</v>
      </c>
      <c r="AC52" s="38" t="str">
        <f t="shared" si="6"/>
        <v>05/24/2025 12:34:18</v>
      </c>
    </row>
    <row r="53" ht="15.75" customHeight="1">
      <c r="B53" s="43">
        <v>45795.0</v>
      </c>
      <c r="C53" s="44" t="str">
        <f t="shared" si="1"/>
        <v>10:23:35</v>
      </c>
      <c r="D53" s="45" t="s">
        <v>1471</v>
      </c>
      <c r="E53" s="46" t="str">
        <f t="shared" si="2"/>
        <v>05/18/2025 17:20:29</v>
      </c>
      <c r="H53" s="47" t="s">
        <v>1353</v>
      </c>
      <c r="I53" s="38">
        <v>53.0</v>
      </c>
      <c r="J53" s="38" t="str">
        <f t="shared" si="3"/>
        <v>P053</v>
      </c>
      <c r="K53" s="38">
        <f t="shared" si="4"/>
        <v>48</v>
      </c>
      <c r="L53" s="38" t="str">
        <f t="shared" si="5"/>
        <v>P048</v>
      </c>
      <c r="O53" s="48" t="s">
        <v>1472</v>
      </c>
      <c r="P53" s="38" t="str">
        <f>IFERROR(__xludf.DUMMYFUNCTION("SPLIT($O53,""-"")"),"Peanut Butter 500g ")</f>
        <v>Peanut Butter 500g </v>
      </c>
      <c r="Q53" s="38" t="str">
        <f>IFERROR(__xludf.DUMMYFUNCTION("""COMPUTED_VALUE""")," ₹250")</f>
        <v> ₹250</v>
      </c>
      <c r="T53" s="38" t="s">
        <v>1473</v>
      </c>
      <c r="X53" s="49" t="s">
        <v>237</v>
      </c>
      <c r="Z53" s="52">
        <v>45795.532847222225</v>
      </c>
      <c r="AA53" s="50">
        <v>45801.0</v>
      </c>
      <c r="AB53" s="51">
        <v>0.5328472222222222</v>
      </c>
      <c r="AC53" s="38" t="str">
        <f t="shared" si="6"/>
        <v>05/24/2025 12:47:18</v>
      </c>
    </row>
    <row r="54" ht="15.75" customHeight="1">
      <c r="B54" s="43">
        <v>45795.0</v>
      </c>
      <c r="C54" s="44" t="str">
        <f t="shared" si="1"/>
        <v>10:35:53</v>
      </c>
      <c r="D54" s="45" t="s">
        <v>1474</v>
      </c>
      <c r="E54" s="46" t="str">
        <f t="shared" si="2"/>
        <v>05/18/2025 17:20:43</v>
      </c>
      <c r="H54" s="47" t="s">
        <v>1353</v>
      </c>
      <c r="I54" s="38">
        <v>54.0</v>
      </c>
      <c r="J54" s="38" t="str">
        <f t="shared" si="3"/>
        <v>P054</v>
      </c>
      <c r="K54" s="38">
        <f t="shared" si="4"/>
        <v>14</v>
      </c>
      <c r="L54" s="38" t="str">
        <f t="shared" si="5"/>
        <v>P014</v>
      </c>
      <c r="O54" s="48" t="s">
        <v>1475</v>
      </c>
      <c r="P54" s="38" t="str">
        <f>IFERROR(__xludf.DUMMYFUNCTION("SPLIT($O54,""-"")"),"Cashews 500g ")</f>
        <v>Cashews 500g </v>
      </c>
      <c r="Q54" s="38" t="str">
        <f>IFERROR(__xludf.DUMMYFUNCTION("""COMPUTED_VALUE""")," ₹600")</f>
        <v> ₹600</v>
      </c>
      <c r="T54" s="38" t="s">
        <v>1476</v>
      </c>
      <c r="X54" s="49" t="s">
        <v>238</v>
      </c>
      <c r="Z54" s="52">
        <v>45795.532847222225</v>
      </c>
      <c r="AA54" s="50">
        <v>45801.0</v>
      </c>
      <c r="AB54" s="51">
        <v>0.5328472222222222</v>
      </c>
      <c r="AC54" s="38" t="str">
        <f t="shared" si="6"/>
        <v>05/24/2025 12:47:18</v>
      </c>
    </row>
    <row r="55" ht="15.75" customHeight="1">
      <c r="B55" s="43">
        <v>45795.0</v>
      </c>
      <c r="C55" s="44" t="str">
        <f t="shared" si="1"/>
        <v>13:00:32</v>
      </c>
      <c r="D55" s="45" t="s">
        <v>1477</v>
      </c>
      <c r="E55" s="46" t="str">
        <f t="shared" si="2"/>
        <v>05/18/2025 17:22:54</v>
      </c>
      <c r="H55" s="47" t="s">
        <v>1353</v>
      </c>
      <c r="I55" s="38">
        <v>55.0</v>
      </c>
      <c r="J55" s="38" t="str">
        <f t="shared" si="3"/>
        <v>P055</v>
      </c>
      <c r="K55" s="38">
        <f t="shared" si="4"/>
        <v>32</v>
      </c>
      <c r="L55" s="38" t="str">
        <f t="shared" si="5"/>
        <v>P032</v>
      </c>
      <c r="O55" s="48" t="s">
        <v>1478</v>
      </c>
      <c r="P55" s="38" t="str">
        <f>IFERROR(__xludf.DUMMYFUNCTION("SPLIT($O55,""-"")"),"Almonds 500g ")</f>
        <v>Almonds 500g </v>
      </c>
      <c r="Q55" s="38" t="str">
        <f>IFERROR(__xludf.DUMMYFUNCTION("""COMPUTED_VALUE""")," ₹500")</f>
        <v> ₹500</v>
      </c>
      <c r="T55" s="38" t="s">
        <v>1479</v>
      </c>
      <c r="X55" s="49" t="s">
        <v>238</v>
      </c>
      <c r="Z55" s="52">
        <v>45795.532847222225</v>
      </c>
      <c r="AA55" s="50">
        <v>45801.0</v>
      </c>
      <c r="AB55" s="51">
        <v>0.5328472222222222</v>
      </c>
      <c r="AC55" s="38" t="str">
        <f t="shared" si="6"/>
        <v>05/24/2025 12:47:18</v>
      </c>
    </row>
    <row r="56" ht="15.75" customHeight="1">
      <c r="B56" s="43">
        <v>45795.0</v>
      </c>
      <c r="C56" s="44" t="str">
        <f t="shared" si="1"/>
        <v>13:10:12</v>
      </c>
      <c r="D56" s="45" t="s">
        <v>1480</v>
      </c>
      <c r="E56" s="46" t="str">
        <f t="shared" si="2"/>
        <v>05/18/2025 17:26:43</v>
      </c>
      <c r="H56" s="47" t="s">
        <v>1353</v>
      </c>
      <c r="I56" s="38">
        <v>56.0</v>
      </c>
      <c r="J56" s="38" t="str">
        <f t="shared" si="3"/>
        <v>P056</v>
      </c>
      <c r="K56" s="38">
        <f t="shared" si="4"/>
        <v>98</v>
      </c>
      <c r="L56" s="38" t="str">
        <f t="shared" si="5"/>
        <v>P098</v>
      </c>
      <c r="O56" s="48" t="s">
        <v>1481</v>
      </c>
      <c r="P56" s="38" t="str">
        <f>IFERROR(__xludf.DUMMYFUNCTION("SPLIT($O56,""-"")"),"Walnuts 500g ")</f>
        <v>Walnuts 500g </v>
      </c>
      <c r="Q56" s="38" t="str">
        <f>IFERROR(__xludf.DUMMYFUNCTION("""COMPUTED_VALUE""")," ₹700")</f>
        <v> ₹700</v>
      </c>
      <c r="T56" s="38" t="s">
        <v>1482</v>
      </c>
      <c r="X56" s="49" t="s">
        <v>238</v>
      </c>
      <c r="Z56" s="52">
        <v>45795.53979166667</v>
      </c>
      <c r="AA56" s="50">
        <v>45801.0</v>
      </c>
      <c r="AB56" s="51">
        <v>0.5397916666666667</v>
      </c>
      <c r="AC56" s="38" t="str">
        <f t="shared" si="6"/>
        <v>05/24/2025 12:57:18</v>
      </c>
    </row>
    <row r="57" ht="15.75" customHeight="1">
      <c r="B57" s="43">
        <v>45795.0</v>
      </c>
      <c r="C57" s="44" t="str">
        <f t="shared" si="1"/>
        <v>11:04:20</v>
      </c>
      <c r="D57" s="45" t="s">
        <v>1483</v>
      </c>
      <c r="E57" s="46" t="str">
        <f t="shared" si="2"/>
        <v>05/18/2025 17:26:54</v>
      </c>
      <c r="H57" s="47" t="s">
        <v>1353</v>
      </c>
      <c r="I57" s="38">
        <v>57.0</v>
      </c>
      <c r="J57" s="38" t="str">
        <f t="shared" si="3"/>
        <v>P057</v>
      </c>
      <c r="K57" s="38">
        <f t="shared" si="4"/>
        <v>77</v>
      </c>
      <c r="L57" s="38" t="str">
        <f t="shared" si="5"/>
        <v>P077</v>
      </c>
      <c r="O57" s="48" t="s">
        <v>1484</v>
      </c>
      <c r="P57" s="38" t="str">
        <f>IFERROR(__xludf.DUMMYFUNCTION("SPLIT($O57,""-"")"),"Raisins 500g ")</f>
        <v>Raisins 500g </v>
      </c>
      <c r="Q57" s="38" t="str">
        <f>IFERROR(__xludf.DUMMYFUNCTION("""COMPUTED_VALUE""")," ₹400")</f>
        <v> ₹400</v>
      </c>
      <c r="T57" s="38" t="s">
        <v>1485</v>
      </c>
      <c r="X57" s="49" t="s">
        <v>239</v>
      </c>
      <c r="Z57" s="52">
        <v>45795.53979166667</v>
      </c>
      <c r="AA57" s="50">
        <v>45801.0</v>
      </c>
      <c r="AB57" s="51">
        <v>0.5397916666666667</v>
      </c>
      <c r="AC57" s="38" t="str">
        <f t="shared" si="6"/>
        <v>05/24/2025 12:57:18</v>
      </c>
    </row>
    <row r="58" ht="15.75" customHeight="1">
      <c r="B58" s="43">
        <v>45795.0</v>
      </c>
      <c r="C58" s="44" t="str">
        <f t="shared" si="1"/>
        <v>16:16:50</v>
      </c>
      <c r="D58" s="45" t="s">
        <v>1486</v>
      </c>
      <c r="E58" s="46" t="str">
        <f t="shared" si="2"/>
        <v>05/18/2025 17:44:47</v>
      </c>
      <c r="H58" s="47" t="s">
        <v>1353</v>
      </c>
      <c r="I58" s="38">
        <v>58.0</v>
      </c>
      <c r="J58" s="38" t="str">
        <f t="shared" si="3"/>
        <v>P058</v>
      </c>
      <c r="K58" s="38">
        <f t="shared" si="4"/>
        <v>67</v>
      </c>
      <c r="L58" s="38" t="str">
        <f t="shared" si="5"/>
        <v>P067</v>
      </c>
      <c r="O58" s="48" t="s">
        <v>1487</v>
      </c>
      <c r="P58" s="38" t="str">
        <f>IFERROR(__xludf.DUMMYFUNCTION("SPLIT($O58,""-"")"),"Green Tea 250g ")</f>
        <v>Green Tea 250g </v>
      </c>
      <c r="Q58" s="38" t="str">
        <f>IFERROR(__xludf.DUMMYFUNCTION("""COMPUTED_VALUE""")," ₹350")</f>
        <v> ₹350</v>
      </c>
      <c r="T58" s="38" t="s">
        <v>1488</v>
      </c>
      <c r="X58" s="49" t="s">
        <v>239</v>
      </c>
      <c r="Z58" s="52">
        <v>45795.53979166667</v>
      </c>
      <c r="AA58" s="50">
        <v>45801.0</v>
      </c>
      <c r="AB58" s="51">
        <v>0.5397916666666667</v>
      </c>
      <c r="AC58" s="38" t="str">
        <f t="shared" si="6"/>
        <v>05/24/2025 12:57:18</v>
      </c>
    </row>
    <row r="59" ht="15.75" customHeight="1">
      <c r="B59" s="43">
        <v>45795.0</v>
      </c>
      <c r="C59" s="44" t="str">
        <f t="shared" si="1"/>
        <v>13:51:03</v>
      </c>
      <c r="D59" s="45" t="s">
        <v>1489</v>
      </c>
      <c r="E59" s="46" t="str">
        <f t="shared" si="2"/>
        <v>05/18/2025 17:48:29</v>
      </c>
      <c r="H59" s="47" t="s">
        <v>1353</v>
      </c>
      <c r="I59" s="38">
        <v>59.0</v>
      </c>
      <c r="J59" s="38" t="str">
        <f t="shared" si="3"/>
        <v>P059</v>
      </c>
      <c r="K59" s="38">
        <f t="shared" si="4"/>
        <v>47</v>
      </c>
      <c r="L59" s="38" t="str">
        <f t="shared" si="5"/>
        <v>P047</v>
      </c>
      <c r="O59" s="48" t="s">
        <v>1490</v>
      </c>
      <c r="P59" s="38" t="str">
        <f>IFERROR(__xludf.DUMMYFUNCTION("SPLIT($O59,""-"")"),"Black Tea 250g ")</f>
        <v>Black Tea 250g </v>
      </c>
      <c r="Q59" s="38" t="str">
        <f>IFERROR(__xludf.DUMMYFUNCTION("""COMPUTED_VALUE""")," ₹300")</f>
        <v> ₹300</v>
      </c>
      <c r="T59" s="38" t="s">
        <v>1491</v>
      </c>
      <c r="X59" s="49" t="s">
        <v>239</v>
      </c>
      <c r="Z59" s="52">
        <v>45795.53979166667</v>
      </c>
      <c r="AA59" s="50">
        <v>45801.0</v>
      </c>
      <c r="AB59" s="51">
        <v>0.5397916666666667</v>
      </c>
      <c r="AC59" s="38" t="str">
        <f t="shared" si="6"/>
        <v>05/24/2025 12:57:18</v>
      </c>
    </row>
    <row r="60" ht="15.75" customHeight="1">
      <c r="B60" s="43">
        <v>45795.0</v>
      </c>
      <c r="C60" s="44" t="str">
        <f t="shared" si="1"/>
        <v>17:16:56</v>
      </c>
      <c r="D60" s="45" t="s">
        <v>1492</v>
      </c>
      <c r="E60" s="46" t="str">
        <f t="shared" si="2"/>
        <v>05/18/2025 17:57:43</v>
      </c>
      <c r="H60" s="47" t="s">
        <v>1353</v>
      </c>
      <c r="I60" s="38">
        <v>60.0</v>
      </c>
      <c r="J60" s="38" t="str">
        <f t="shared" si="3"/>
        <v>P060</v>
      </c>
      <c r="K60" s="38">
        <f t="shared" si="4"/>
        <v>57</v>
      </c>
      <c r="L60" s="38" t="str">
        <f t="shared" si="5"/>
        <v>P057</v>
      </c>
      <c r="O60" s="48" t="s">
        <v>1493</v>
      </c>
      <c r="P60" s="38" t="str">
        <f>IFERROR(__xludf.DUMMYFUNCTION("SPLIT($O60,""-"")"),"Lemon 1kg ")</f>
        <v>Lemon 1kg </v>
      </c>
      <c r="Q60" s="38" t="str">
        <f>IFERROR(__xludf.DUMMYFUNCTION("""COMPUTED_VALUE""")," ₹80")</f>
        <v> ₹80</v>
      </c>
      <c r="T60" s="38" t="s">
        <v>1494</v>
      </c>
      <c r="X60" s="49" t="s">
        <v>239</v>
      </c>
      <c r="Z60" s="52">
        <v>45795.53979166667</v>
      </c>
      <c r="AA60" s="50">
        <v>45801.0</v>
      </c>
      <c r="AB60" s="51">
        <v>0.5397916666666667</v>
      </c>
      <c r="AC60" s="38" t="str">
        <f t="shared" si="6"/>
        <v>05/24/2025 12:57:18</v>
      </c>
    </row>
    <row r="61" ht="15.75" customHeight="1">
      <c r="H61" s="47" t="s">
        <v>1353</v>
      </c>
      <c r="I61" s="38">
        <v>61.0</v>
      </c>
      <c r="J61" s="38" t="str">
        <f t="shared" si="3"/>
        <v>P061</v>
      </c>
      <c r="K61" s="38">
        <f t="shared" si="4"/>
        <v>53</v>
      </c>
      <c r="L61" s="38" t="str">
        <f t="shared" si="5"/>
        <v>P053</v>
      </c>
      <c r="O61" s="48" t="s">
        <v>1495</v>
      </c>
      <c r="P61" s="38" t="str">
        <f>IFERROR(__xludf.DUMMYFUNCTION("SPLIT($O61,""-"")"),"Grapes 1kg ")</f>
        <v>Grapes 1kg </v>
      </c>
      <c r="Q61" s="38" t="str">
        <f>IFERROR(__xludf.DUMMYFUNCTION("""COMPUTED_VALUE""")," ₹150")</f>
        <v> ₹150</v>
      </c>
      <c r="T61" s="38" t="s">
        <v>1496</v>
      </c>
      <c r="X61" s="49" t="s">
        <v>239</v>
      </c>
      <c r="Z61" s="52">
        <v>45795.550208333334</v>
      </c>
      <c r="AA61" s="50">
        <v>45801.0</v>
      </c>
      <c r="AB61" s="51">
        <v>0.5502083333333333</v>
      </c>
      <c r="AC61" s="38" t="str">
        <f t="shared" si="6"/>
        <v>05/24/2025 13:12:18</v>
      </c>
    </row>
    <row r="62" ht="15.75" customHeight="1">
      <c r="H62" s="47" t="s">
        <v>1353</v>
      </c>
      <c r="I62" s="38">
        <v>62.0</v>
      </c>
      <c r="J62" s="38" t="str">
        <f t="shared" si="3"/>
        <v>P062</v>
      </c>
      <c r="K62" s="38">
        <f t="shared" si="4"/>
        <v>63</v>
      </c>
      <c r="L62" s="38" t="str">
        <f t="shared" si="5"/>
        <v>P063</v>
      </c>
      <c r="O62" s="48" t="s">
        <v>1497</v>
      </c>
      <c r="P62" s="38" t="str">
        <f>IFERROR(__xludf.DUMMYFUNCTION("SPLIT($O62,""-"")"),"Mangoes 1kg ")</f>
        <v>Mangoes 1kg </v>
      </c>
      <c r="Q62" s="38" t="str">
        <f>IFERROR(__xludf.DUMMYFUNCTION("""COMPUTED_VALUE""")," ₹250")</f>
        <v> ₹250</v>
      </c>
      <c r="T62" s="38" t="s">
        <v>1498</v>
      </c>
      <c r="X62" s="49" t="s">
        <v>240</v>
      </c>
      <c r="Z62" s="52">
        <v>45795.550208333334</v>
      </c>
      <c r="AA62" s="50">
        <v>45801.0</v>
      </c>
      <c r="AB62" s="51">
        <v>0.5502083333333333</v>
      </c>
      <c r="AC62" s="38" t="str">
        <f t="shared" si="6"/>
        <v>05/24/2025 13:12:18</v>
      </c>
    </row>
    <row r="63" ht="15.75" customHeight="1">
      <c r="H63" s="47" t="s">
        <v>1353</v>
      </c>
      <c r="I63" s="38">
        <v>63.0</v>
      </c>
      <c r="J63" s="38" t="str">
        <f t="shared" si="3"/>
        <v>P063</v>
      </c>
      <c r="K63" s="38">
        <f t="shared" si="4"/>
        <v>96</v>
      </c>
      <c r="L63" s="38" t="str">
        <f t="shared" si="5"/>
        <v>P096</v>
      </c>
      <c r="O63" s="48" t="s">
        <v>1499</v>
      </c>
      <c r="P63" s="38" t="str">
        <f>IFERROR(__xludf.DUMMYFUNCTION("SPLIT($O63,""-"")"),"Pomegranate 1kg ")</f>
        <v>Pomegranate 1kg </v>
      </c>
      <c r="Q63" s="38" t="str">
        <f>IFERROR(__xludf.DUMMYFUNCTION("""COMPUTED_VALUE""")," ₹200")</f>
        <v> ₹200</v>
      </c>
      <c r="T63" s="38" t="s">
        <v>1500</v>
      </c>
      <c r="X63" s="49" t="s">
        <v>240</v>
      </c>
      <c r="Z63" s="52">
        <v>45795.550208333334</v>
      </c>
      <c r="AA63" s="50">
        <v>45801.0</v>
      </c>
      <c r="AB63" s="51">
        <v>0.5502083333333333</v>
      </c>
      <c r="AC63" s="38" t="str">
        <f t="shared" si="6"/>
        <v>05/24/2025 13:12:18</v>
      </c>
    </row>
    <row r="64" ht="15.75" customHeight="1">
      <c r="H64" s="47" t="s">
        <v>1353</v>
      </c>
      <c r="I64" s="38">
        <v>64.0</v>
      </c>
      <c r="J64" s="38" t="str">
        <f t="shared" si="3"/>
        <v>P064</v>
      </c>
      <c r="K64" s="38">
        <f t="shared" si="4"/>
        <v>85</v>
      </c>
      <c r="L64" s="38" t="str">
        <f t="shared" si="5"/>
        <v>P085</v>
      </c>
      <c r="O64" s="48" t="s">
        <v>1501</v>
      </c>
      <c r="P64" s="38" t="str">
        <f>IFERROR(__xludf.DUMMYFUNCTION("SPLIT($O64,""-"")"),"Coconut 1 piece ")</f>
        <v>Coconut 1 piece </v>
      </c>
      <c r="Q64" s="38" t="str">
        <f>IFERROR(__xludf.DUMMYFUNCTION("""COMPUTED_VALUE""")," ₹40")</f>
        <v> ₹40</v>
      </c>
      <c r="T64" s="38" t="s">
        <v>1502</v>
      </c>
      <c r="X64" s="49" t="s">
        <v>240</v>
      </c>
      <c r="Z64" s="52">
        <v>45795.550208333334</v>
      </c>
      <c r="AA64" s="50">
        <v>45801.0</v>
      </c>
      <c r="AB64" s="51">
        <v>0.5502083333333333</v>
      </c>
      <c r="AC64" s="38" t="str">
        <f t="shared" si="6"/>
        <v>05/24/2025 13:12:18</v>
      </c>
    </row>
    <row r="65" ht="15.75" customHeight="1">
      <c r="H65" s="47" t="s">
        <v>1353</v>
      </c>
      <c r="I65" s="38">
        <v>65.0</v>
      </c>
      <c r="J65" s="38" t="str">
        <f t="shared" si="3"/>
        <v>P065</v>
      </c>
      <c r="K65" s="38">
        <f t="shared" si="4"/>
        <v>99</v>
      </c>
      <c r="L65" s="38" t="str">
        <f t="shared" si="5"/>
        <v>P099</v>
      </c>
      <c r="O65" s="48" t="s">
        <v>1503</v>
      </c>
      <c r="P65" s="38" t="str">
        <f>IFERROR(__xludf.DUMMYFUNCTION("SPLIT($O65,""-"")"),"Yogurt 500g ")</f>
        <v>Yogurt 500g </v>
      </c>
      <c r="Q65" s="38" t="str">
        <f>IFERROR(__xludf.DUMMYFUNCTION("""COMPUTED_VALUE""")," ₹80")</f>
        <v> ₹80</v>
      </c>
      <c r="T65" s="38" t="s">
        <v>1504</v>
      </c>
      <c r="X65" s="49" t="s">
        <v>240</v>
      </c>
      <c r="Z65" s="52">
        <v>45795.55923611111</v>
      </c>
      <c r="AA65" s="50">
        <v>45801.0</v>
      </c>
      <c r="AB65" s="51">
        <v>0.5592361111111112</v>
      </c>
      <c r="AC65" s="38" t="str">
        <f t="shared" si="6"/>
        <v>05/24/2025 13:25:18</v>
      </c>
    </row>
    <row r="66" ht="15.75" customHeight="1">
      <c r="H66" s="47" t="s">
        <v>1353</v>
      </c>
      <c r="I66" s="38">
        <v>66.0</v>
      </c>
      <c r="J66" s="38" t="str">
        <f t="shared" si="3"/>
        <v>P066</v>
      </c>
      <c r="K66" s="38">
        <f t="shared" si="4"/>
        <v>81</v>
      </c>
      <c r="L66" s="38" t="str">
        <f t="shared" si="5"/>
        <v>P081</v>
      </c>
      <c r="O66" s="48" t="s">
        <v>1505</v>
      </c>
      <c r="P66" s="38" t="str">
        <f>IFERROR(__xludf.DUMMYFUNCTION("SPLIT($O66,""-"")"),"Paneer 1kg ")</f>
        <v>Paneer 1kg </v>
      </c>
      <c r="Q66" s="38" t="str">
        <f>IFERROR(__xludf.DUMMYFUNCTION("""COMPUTED_VALUE""")," ₹400")</f>
        <v> ₹400</v>
      </c>
      <c r="T66" s="38" t="s">
        <v>1506</v>
      </c>
      <c r="X66" s="49" t="s">
        <v>240</v>
      </c>
      <c r="Z66" s="52">
        <v>45795.55923611111</v>
      </c>
      <c r="AA66" s="50">
        <v>45801.0</v>
      </c>
      <c r="AB66" s="51">
        <v>0.5592361111111112</v>
      </c>
      <c r="AC66" s="38" t="str">
        <f t="shared" si="6"/>
        <v>05/24/2025 13:25:18</v>
      </c>
    </row>
    <row r="67" ht="15.75" customHeight="1">
      <c r="H67" s="47" t="s">
        <v>1353</v>
      </c>
      <c r="I67" s="38">
        <v>67.0</v>
      </c>
      <c r="J67" s="38" t="str">
        <f t="shared" si="3"/>
        <v>P067</v>
      </c>
      <c r="K67" s="38">
        <f t="shared" si="4"/>
        <v>94</v>
      </c>
      <c r="L67" s="38" t="str">
        <f t="shared" si="5"/>
        <v>P094</v>
      </c>
      <c r="O67" s="48" t="s">
        <v>1507</v>
      </c>
      <c r="P67" s="38" t="str">
        <f>IFERROR(__xludf.DUMMYFUNCTION("SPLIT($O67,""-"")"),"Ice Cubes 1 pack ")</f>
        <v>Ice Cubes 1 pack </v>
      </c>
      <c r="Q67" s="38" t="str">
        <f>IFERROR(__xludf.DUMMYFUNCTION("""COMPUTED_VALUE""")," ₹50")</f>
        <v> ₹50</v>
      </c>
      <c r="T67" s="38" t="s">
        <v>1508</v>
      </c>
      <c r="X67" s="49" t="s">
        <v>241</v>
      </c>
      <c r="Z67" s="52">
        <v>45795.55923611111</v>
      </c>
      <c r="AA67" s="50">
        <v>45801.0</v>
      </c>
      <c r="AB67" s="51">
        <v>0.5592361111111112</v>
      </c>
      <c r="AC67" s="38" t="str">
        <f t="shared" si="6"/>
        <v>05/24/2025 13:25:18</v>
      </c>
    </row>
    <row r="68" ht="15.75" customHeight="1">
      <c r="H68" s="47" t="s">
        <v>1353</v>
      </c>
      <c r="I68" s="38">
        <v>68.0</v>
      </c>
      <c r="J68" s="38" t="str">
        <f t="shared" si="3"/>
        <v>P068</v>
      </c>
      <c r="K68" s="38">
        <f t="shared" si="4"/>
        <v>36</v>
      </c>
      <c r="L68" s="38" t="str">
        <f t="shared" si="5"/>
        <v>P036</v>
      </c>
      <c r="O68" s="48" t="s">
        <v>1509</v>
      </c>
      <c r="P68" s="38" t="str">
        <f>IFERROR(__xludf.DUMMYFUNCTION("SPLIT($O68,""-"")"),"Peanut 1kg ")</f>
        <v>Peanut 1kg </v>
      </c>
      <c r="Q68" s="38" t="str">
        <f>IFERROR(__xludf.DUMMYFUNCTION("""COMPUTED_VALUE""")," ₹180")</f>
        <v> ₹180</v>
      </c>
      <c r="T68" s="38" t="s">
        <v>1510</v>
      </c>
      <c r="X68" s="49" t="s">
        <v>241</v>
      </c>
      <c r="Z68" s="52">
        <v>45795.55923611111</v>
      </c>
      <c r="AA68" s="50">
        <v>45801.0</v>
      </c>
      <c r="AB68" s="51">
        <v>0.5592361111111112</v>
      </c>
      <c r="AC68" s="38" t="str">
        <f t="shared" si="6"/>
        <v>05/24/2025 13:25:18</v>
      </c>
    </row>
    <row r="69" ht="15.75" customHeight="1">
      <c r="H69" s="47" t="s">
        <v>1353</v>
      </c>
      <c r="I69" s="38">
        <v>69.0</v>
      </c>
      <c r="J69" s="38" t="str">
        <f t="shared" si="3"/>
        <v>P069</v>
      </c>
      <c r="K69" s="38">
        <f t="shared" si="4"/>
        <v>87</v>
      </c>
      <c r="L69" s="38" t="str">
        <f t="shared" si="5"/>
        <v>P087</v>
      </c>
      <c r="O69" s="48" t="s">
        <v>1511</v>
      </c>
      <c r="P69" s="38" t="str">
        <f>IFERROR(__xludf.DUMMYFUNCTION("SPLIT($O69,""-"")"),"Pickles 500g ")</f>
        <v>Pickles 500g </v>
      </c>
      <c r="Q69" s="38" t="str">
        <f>IFERROR(__xludf.DUMMYFUNCTION("""COMPUTED_VALUE""")," ₹150")</f>
        <v> ₹150</v>
      </c>
      <c r="T69" s="38" t="s">
        <v>1512</v>
      </c>
      <c r="X69" s="49" t="s">
        <v>241</v>
      </c>
      <c r="Z69" s="52">
        <v>45795.56826388889</v>
      </c>
      <c r="AA69" s="50">
        <v>45801.0</v>
      </c>
      <c r="AB69" s="51">
        <v>0.5682638888888889</v>
      </c>
      <c r="AC69" s="38" t="str">
        <f t="shared" si="6"/>
        <v>05/24/2025 13:38:18</v>
      </c>
    </row>
    <row r="70" ht="15.75" customHeight="1">
      <c r="H70" s="47" t="s">
        <v>1353</v>
      </c>
      <c r="I70" s="38">
        <v>70.0</v>
      </c>
      <c r="J70" s="38" t="str">
        <f t="shared" si="3"/>
        <v>P070</v>
      </c>
      <c r="K70" s="38">
        <f t="shared" si="4"/>
        <v>57</v>
      </c>
      <c r="L70" s="38" t="str">
        <f t="shared" si="5"/>
        <v>P057</v>
      </c>
      <c r="O70" s="48" t="s">
        <v>1513</v>
      </c>
      <c r="P70" s="38" t="str">
        <f>IFERROR(__xludf.DUMMYFUNCTION("SPLIT($O70,""-"")"),"Basmati Rice 1kg ")</f>
        <v>Basmati Rice 1kg </v>
      </c>
      <c r="Q70" s="38" t="str">
        <f>IFERROR(__xludf.DUMMYFUNCTION("""COMPUTED_VALUE""")," ₹120")</f>
        <v> ₹120</v>
      </c>
      <c r="T70" s="38" t="s">
        <v>1514</v>
      </c>
      <c r="X70" s="49" t="s">
        <v>242</v>
      </c>
      <c r="Z70" s="52">
        <v>45795.56826388889</v>
      </c>
      <c r="AA70" s="50">
        <v>45801.0</v>
      </c>
      <c r="AB70" s="51">
        <v>0.5682638888888889</v>
      </c>
      <c r="AC70" s="38" t="str">
        <f t="shared" si="6"/>
        <v>05/24/2025 13:38:18</v>
      </c>
    </row>
    <row r="71" ht="15.75" customHeight="1">
      <c r="H71" s="47" t="s">
        <v>1353</v>
      </c>
      <c r="I71" s="38">
        <v>71.0</v>
      </c>
      <c r="J71" s="38" t="str">
        <f t="shared" si="3"/>
        <v>P071</v>
      </c>
      <c r="K71" s="38">
        <f t="shared" si="4"/>
        <v>10</v>
      </c>
      <c r="L71" s="38" t="str">
        <f t="shared" si="5"/>
        <v>P010</v>
      </c>
      <c r="O71" s="48" t="s">
        <v>1515</v>
      </c>
      <c r="P71" s="38" t="str">
        <f>IFERROR(__xludf.DUMMYFUNCTION("SPLIT($O71,""-"")"),"Brown Rice 1kg ")</f>
        <v>Brown Rice 1kg </v>
      </c>
      <c r="Q71" s="38" t="str">
        <f>IFERROR(__xludf.DUMMYFUNCTION("""COMPUTED_VALUE""")," ₹100")</f>
        <v> ₹100</v>
      </c>
      <c r="T71" s="38" t="s">
        <v>1516</v>
      </c>
      <c r="X71" s="49" t="s">
        <v>242</v>
      </c>
      <c r="Z71" s="52">
        <v>45795.56826388889</v>
      </c>
      <c r="AA71" s="50">
        <v>45801.0</v>
      </c>
      <c r="AB71" s="51">
        <v>0.5682638888888889</v>
      </c>
      <c r="AC71" s="38" t="str">
        <f t="shared" si="6"/>
        <v>05/24/2025 13:38:18</v>
      </c>
    </row>
    <row r="72" ht="15.75" customHeight="1">
      <c r="H72" s="47" t="s">
        <v>1353</v>
      </c>
      <c r="I72" s="38">
        <v>72.0</v>
      </c>
      <c r="J72" s="38" t="str">
        <f t="shared" si="3"/>
        <v>P072</v>
      </c>
      <c r="K72" s="38">
        <f t="shared" si="4"/>
        <v>26</v>
      </c>
      <c r="L72" s="38" t="str">
        <f t="shared" si="5"/>
        <v>P026</v>
      </c>
      <c r="O72" s="48" t="s">
        <v>1517</v>
      </c>
      <c r="P72" s="38" t="str">
        <f>IFERROR(__xludf.DUMMYFUNCTION("SPLIT($O72,""-"")"),"Quinoa 500g ")</f>
        <v>Quinoa 500g </v>
      </c>
      <c r="Q72" s="38" t="str">
        <f>IFERROR(__xludf.DUMMYFUNCTION("""COMPUTED_VALUE""")," ₹350")</f>
        <v> ₹350</v>
      </c>
      <c r="T72" s="38" t="s">
        <v>1518</v>
      </c>
      <c r="X72" s="49" t="s">
        <v>242</v>
      </c>
      <c r="Z72" s="52">
        <v>45795.56826388889</v>
      </c>
      <c r="AA72" s="50">
        <v>45801.0</v>
      </c>
      <c r="AB72" s="51">
        <v>0.5682638888888889</v>
      </c>
      <c r="AC72" s="38" t="str">
        <f t="shared" si="6"/>
        <v>05/24/2025 13:38:18</v>
      </c>
    </row>
    <row r="73" ht="15.75" customHeight="1">
      <c r="H73" s="47" t="s">
        <v>1353</v>
      </c>
      <c r="I73" s="38">
        <v>73.0</v>
      </c>
      <c r="J73" s="38" t="str">
        <f t="shared" si="3"/>
        <v>P073</v>
      </c>
      <c r="K73" s="38">
        <f t="shared" si="4"/>
        <v>39</v>
      </c>
      <c r="L73" s="38" t="str">
        <f t="shared" si="5"/>
        <v>P039</v>
      </c>
      <c r="O73" s="48" t="s">
        <v>1519</v>
      </c>
      <c r="P73" s="38" t="str">
        <f>IFERROR(__xludf.DUMMYFUNCTION("SPLIT($O73,""-"")"),"Baking Soda 500g ")</f>
        <v>Baking Soda 500g </v>
      </c>
      <c r="Q73" s="38" t="str">
        <f>IFERROR(__xludf.DUMMYFUNCTION("""COMPUTED_VALUE""")," ₹50")</f>
        <v> ₹50</v>
      </c>
      <c r="T73" s="38" t="s">
        <v>705</v>
      </c>
      <c r="X73" s="49" t="s">
        <v>242</v>
      </c>
      <c r="Z73" s="52">
        <v>45795.57798611111</v>
      </c>
      <c r="AA73" s="50">
        <v>45801.0</v>
      </c>
      <c r="AB73" s="51">
        <v>0.5779861111111111</v>
      </c>
      <c r="AC73" s="38" t="str">
        <f t="shared" si="6"/>
        <v>05/24/2025 13:52:18</v>
      </c>
    </row>
    <row r="74" ht="15.75" customHeight="1">
      <c r="H74" s="47" t="s">
        <v>1353</v>
      </c>
      <c r="I74" s="38">
        <v>74.0</v>
      </c>
      <c r="J74" s="38" t="str">
        <f t="shared" si="3"/>
        <v>P074</v>
      </c>
      <c r="K74" s="38">
        <f t="shared" si="4"/>
        <v>33</v>
      </c>
      <c r="L74" s="38" t="str">
        <f t="shared" si="5"/>
        <v>P033</v>
      </c>
      <c r="O74" s="48" t="s">
        <v>1520</v>
      </c>
      <c r="P74" s="38" t="str">
        <f>IFERROR(__xludf.DUMMYFUNCTION("SPLIT($O74,""-"")"),"Baking Powder 250g ")</f>
        <v>Baking Powder 250g </v>
      </c>
      <c r="Q74" s="38" t="str">
        <f>IFERROR(__xludf.DUMMYFUNCTION("""COMPUTED_VALUE""")," ₹80")</f>
        <v> ₹80</v>
      </c>
      <c r="T74" s="38" t="s">
        <v>707</v>
      </c>
      <c r="X74" s="49" t="s">
        <v>243</v>
      </c>
      <c r="Z74" s="52">
        <v>45795.57798611111</v>
      </c>
      <c r="AA74" s="50">
        <v>45801.0</v>
      </c>
      <c r="AB74" s="51">
        <v>0.5779861111111111</v>
      </c>
      <c r="AC74" s="38" t="str">
        <f t="shared" si="6"/>
        <v>05/24/2025 13:52:18</v>
      </c>
    </row>
    <row r="75" ht="15.75" customHeight="1">
      <c r="H75" s="47" t="s">
        <v>1353</v>
      </c>
      <c r="I75" s="38">
        <v>75.0</v>
      </c>
      <c r="J75" s="38" t="str">
        <f t="shared" si="3"/>
        <v>P075</v>
      </c>
      <c r="K75" s="38">
        <f t="shared" si="4"/>
        <v>43</v>
      </c>
      <c r="L75" s="38" t="str">
        <f t="shared" si="5"/>
        <v>P043</v>
      </c>
      <c r="O75" s="48" t="s">
        <v>1521</v>
      </c>
      <c r="P75" s="38" t="str">
        <f>IFERROR(__xludf.DUMMYFUNCTION("SPLIT($O75,""-"")"),"Cake Mix 1 box ")</f>
        <v>Cake Mix 1 box </v>
      </c>
      <c r="Q75" s="38" t="str">
        <f>IFERROR(__xludf.DUMMYFUNCTION("""COMPUTED_VALUE""")," ₹200")</f>
        <v> ₹200</v>
      </c>
      <c r="T75" s="38" t="s">
        <v>709</v>
      </c>
      <c r="X75" s="49" t="s">
        <v>243</v>
      </c>
      <c r="Z75" s="52">
        <v>45795.57798611111</v>
      </c>
      <c r="AA75" s="50">
        <v>45801.0</v>
      </c>
      <c r="AB75" s="51">
        <v>0.5779861111111111</v>
      </c>
      <c r="AC75" s="38" t="str">
        <f t="shared" si="6"/>
        <v>05/24/2025 13:52:18</v>
      </c>
    </row>
    <row r="76" ht="15.75" customHeight="1">
      <c r="H76" s="47" t="s">
        <v>1353</v>
      </c>
      <c r="I76" s="38">
        <v>76.0</v>
      </c>
      <c r="J76" s="38" t="str">
        <f t="shared" si="3"/>
        <v>P076</v>
      </c>
      <c r="K76" s="38">
        <f t="shared" si="4"/>
        <v>30</v>
      </c>
      <c r="L76" s="38" t="str">
        <f t="shared" si="5"/>
        <v>P030</v>
      </c>
      <c r="O76" s="48" t="s">
        <v>1522</v>
      </c>
      <c r="P76" s="38" t="str">
        <f>IFERROR(__xludf.DUMMYFUNCTION("SPLIT($O76,""-"")"),"Bread Crumbs 500g ")</f>
        <v>Bread Crumbs 500g </v>
      </c>
      <c r="Q76" s="38" t="str">
        <f>IFERROR(__xludf.DUMMYFUNCTION("""COMPUTED_VALUE""")," ₹90")</f>
        <v> ₹90</v>
      </c>
      <c r="T76" s="38" t="s">
        <v>711</v>
      </c>
      <c r="X76" s="49" t="s">
        <v>243</v>
      </c>
      <c r="Z76" s="52">
        <v>45795.57798611111</v>
      </c>
      <c r="AA76" s="50">
        <v>45801.0</v>
      </c>
      <c r="AB76" s="51">
        <v>0.5779861111111111</v>
      </c>
      <c r="AC76" s="38" t="str">
        <f t="shared" si="6"/>
        <v>05/24/2025 13:52:18</v>
      </c>
    </row>
    <row r="77" ht="15.75" customHeight="1">
      <c r="H77" s="47" t="s">
        <v>1353</v>
      </c>
      <c r="I77" s="38">
        <v>77.0</v>
      </c>
      <c r="J77" s="38" t="str">
        <f t="shared" si="3"/>
        <v>P077</v>
      </c>
      <c r="K77" s="38">
        <f t="shared" si="4"/>
        <v>67</v>
      </c>
      <c r="L77" s="38" t="str">
        <f t="shared" si="5"/>
        <v>P067</v>
      </c>
      <c r="O77" s="48" t="s">
        <v>1523</v>
      </c>
      <c r="P77" s="38" t="str">
        <f>IFERROR(__xludf.DUMMYFUNCTION("SPLIT($O77,""-"")"),"Whipped Cream 500ml ")</f>
        <v>Whipped Cream 500ml </v>
      </c>
      <c r="Q77" s="38" t="str">
        <f>IFERROR(__xludf.DUMMYFUNCTION("""COMPUTED_VALUE""")," ₹250")</f>
        <v> ₹250</v>
      </c>
      <c r="T77" s="38" t="s">
        <v>1431</v>
      </c>
      <c r="X77" s="49" t="s">
        <v>244</v>
      </c>
      <c r="Z77" s="52">
        <v>45795.58770833333</v>
      </c>
      <c r="AA77" s="50">
        <v>45801.0</v>
      </c>
      <c r="AB77" s="51">
        <v>0.5877083333333334</v>
      </c>
      <c r="AC77" s="38" t="str">
        <f t="shared" si="6"/>
        <v>05/24/2025 14:06:18</v>
      </c>
    </row>
    <row r="78" ht="15.75" customHeight="1">
      <c r="H78" s="47" t="s">
        <v>1353</v>
      </c>
      <c r="I78" s="38">
        <v>78.0</v>
      </c>
      <c r="J78" s="38" t="str">
        <f t="shared" si="3"/>
        <v>P078</v>
      </c>
      <c r="K78" s="38">
        <f t="shared" si="4"/>
        <v>34</v>
      </c>
      <c r="L78" s="38" t="str">
        <f t="shared" si="5"/>
        <v>P034</v>
      </c>
      <c r="O78" s="48" t="s">
        <v>1524</v>
      </c>
      <c r="P78" s="38" t="str">
        <f>IFERROR(__xludf.DUMMYFUNCTION("SPLIT($O78,""-"")"),"Butter Paper 1 roll ")</f>
        <v>Butter Paper 1 roll </v>
      </c>
      <c r="Q78" s="38" t="str">
        <f>IFERROR(__xludf.DUMMYFUNCTION("""COMPUTED_VALUE""")," ₹100")</f>
        <v> ₹100</v>
      </c>
      <c r="T78" s="38" t="s">
        <v>1434</v>
      </c>
      <c r="X78" s="49" t="s">
        <v>244</v>
      </c>
      <c r="Z78" s="52">
        <v>45795.58770833333</v>
      </c>
      <c r="AA78" s="50">
        <v>45801.0</v>
      </c>
      <c r="AB78" s="51">
        <v>0.5877083333333334</v>
      </c>
      <c r="AC78" s="38" t="str">
        <f t="shared" si="6"/>
        <v>05/24/2025 14:06:18</v>
      </c>
    </row>
    <row r="79" ht="15.75" customHeight="1">
      <c r="H79" s="47" t="s">
        <v>1353</v>
      </c>
      <c r="I79" s="38">
        <v>79.0</v>
      </c>
      <c r="J79" s="38" t="str">
        <f t="shared" si="3"/>
        <v>P079</v>
      </c>
      <c r="K79" s="38">
        <f t="shared" si="4"/>
        <v>61</v>
      </c>
      <c r="L79" s="38" t="str">
        <f t="shared" si="5"/>
        <v>P061</v>
      </c>
      <c r="O79" s="48" t="s">
        <v>1525</v>
      </c>
      <c r="P79" s="38" t="str">
        <f>IFERROR(__xludf.DUMMYFUNCTION("SPLIT($O79,""-"")"),"Plastic Wrap 1 roll ")</f>
        <v>Plastic Wrap 1 roll </v>
      </c>
      <c r="Q79" s="38" t="str">
        <f>IFERROR(__xludf.DUMMYFUNCTION("""COMPUTED_VALUE""")," ₹150")</f>
        <v> ₹150</v>
      </c>
      <c r="T79" s="38" t="s">
        <v>1437</v>
      </c>
      <c r="X79" s="49" t="s">
        <v>244</v>
      </c>
      <c r="Z79" s="52">
        <v>45795.58770833333</v>
      </c>
      <c r="AA79" s="50">
        <v>45801.0</v>
      </c>
      <c r="AB79" s="51">
        <v>0.5877083333333334</v>
      </c>
      <c r="AC79" s="38" t="str">
        <f t="shared" si="6"/>
        <v>05/24/2025 14:06:18</v>
      </c>
    </row>
    <row r="80" ht="15.75" customHeight="1">
      <c r="H80" s="47" t="s">
        <v>1353</v>
      </c>
      <c r="I80" s="38">
        <v>80.0</v>
      </c>
      <c r="J80" s="38" t="str">
        <f t="shared" si="3"/>
        <v>P080</v>
      </c>
      <c r="K80" s="38">
        <f t="shared" si="4"/>
        <v>83</v>
      </c>
      <c r="L80" s="38" t="str">
        <f t="shared" si="5"/>
        <v>P083</v>
      </c>
      <c r="O80" s="48" t="s">
        <v>1526</v>
      </c>
      <c r="P80" s="38" t="str">
        <f>IFERROR(__xludf.DUMMYFUNCTION("SPLIT($O80,""-"")"),"Aluminium Foil 1 roll ")</f>
        <v>Aluminium Foil 1 roll </v>
      </c>
      <c r="Q80" s="38" t="str">
        <f>IFERROR(__xludf.DUMMYFUNCTION("""COMPUTED_VALUE""")," ₹120")</f>
        <v> ₹120</v>
      </c>
      <c r="T80" s="38" t="s">
        <v>1440</v>
      </c>
      <c r="X80" s="49" t="s">
        <v>244</v>
      </c>
      <c r="Z80" s="52">
        <v>45795.58770833333</v>
      </c>
      <c r="AA80" s="50">
        <v>45801.0</v>
      </c>
      <c r="AB80" s="51">
        <v>0.5877083333333334</v>
      </c>
      <c r="AC80" s="38" t="str">
        <f t="shared" si="6"/>
        <v>05/24/2025 14:06:18</v>
      </c>
    </row>
    <row r="81" ht="15.75" customHeight="1">
      <c r="H81" s="47" t="s">
        <v>1353</v>
      </c>
      <c r="I81" s="38">
        <v>81.0</v>
      </c>
      <c r="J81" s="38" t="str">
        <f t="shared" si="3"/>
        <v>P081</v>
      </c>
      <c r="K81" s="38">
        <f t="shared" si="4"/>
        <v>27</v>
      </c>
      <c r="L81" s="38" t="str">
        <f t="shared" si="5"/>
        <v>P027</v>
      </c>
      <c r="O81" s="48" t="s">
        <v>1527</v>
      </c>
      <c r="P81" s="38" t="str">
        <f>IFERROR(__xludf.DUMMYFUNCTION("SPLIT($O81,""-"")"),"Matchsticks 1 pack ")</f>
        <v>Matchsticks 1 pack </v>
      </c>
      <c r="Q81" s="38" t="str">
        <f>IFERROR(__xludf.DUMMYFUNCTION("""COMPUTED_VALUE""")," ₹20")</f>
        <v> ₹20</v>
      </c>
      <c r="T81" s="38" t="s">
        <v>1443</v>
      </c>
      <c r="X81" s="49" t="s">
        <v>245</v>
      </c>
      <c r="Z81" s="52">
        <v>45795.58770833333</v>
      </c>
      <c r="AA81" s="50">
        <v>45801.0</v>
      </c>
      <c r="AB81" s="51">
        <v>0.5877083333333334</v>
      </c>
      <c r="AC81" s="38" t="str">
        <f t="shared" si="6"/>
        <v>05/24/2025 14:06:18</v>
      </c>
    </row>
    <row r="82" ht="15.75" customHeight="1">
      <c r="H82" s="47" t="s">
        <v>1353</v>
      </c>
      <c r="I82" s="38">
        <v>82.0</v>
      </c>
      <c r="J82" s="38" t="str">
        <f t="shared" si="3"/>
        <v>P082</v>
      </c>
      <c r="K82" s="38">
        <f t="shared" si="4"/>
        <v>27</v>
      </c>
      <c r="L82" s="38" t="str">
        <f t="shared" si="5"/>
        <v>P027</v>
      </c>
      <c r="O82" s="48" t="s">
        <v>1528</v>
      </c>
      <c r="P82" s="38" t="str">
        <f>IFERROR(__xludf.DUMMYFUNCTION("SPLIT($O82,""-"")"),"Candles 1 pack ")</f>
        <v>Candles 1 pack </v>
      </c>
      <c r="Q82" s="38" t="str">
        <f>IFERROR(__xludf.DUMMYFUNCTION("""COMPUTED_VALUE""")," ₹80")</f>
        <v> ₹80</v>
      </c>
      <c r="T82" s="38" t="s">
        <v>1446</v>
      </c>
      <c r="X82" s="49" t="s">
        <v>245</v>
      </c>
      <c r="Z82" s="52">
        <v>45795.59465277778</v>
      </c>
      <c r="AA82" s="50">
        <v>45801.0</v>
      </c>
      <c r="AB82" s="51">
        <v>0.5946527777777778</v>
      </c>
      <c r="AC82" s="38" t="str">
        <f t="shared" si="6"/>
        <v>05/24/2025 14:16:18</v>
      </c>
    </row>
    <row r="83" ht="15.75" customHeight="1">
      <c r="H83" s="47" t="s">
        <v>1353</v>
      </c>
      <c r="I83" s="38">
        <v>83.0</v>
      </c>
      <c r="J83" s="38" t="str">
        <f t="shared" si="3"/>
        <v>P083</v>
      </c>
      <c r="K83" s="38">
        <f t="shared" si="4"/>
        <v>48</v>
      </c>
      <c r="L83" s="38" t="str">
        <f t="shared" si="5"/>
        <v>P048</v>
      </c>
      <c r="O83" s="48" t="s">
        <v>1529</v>
      </c>
      <c r="P83" s="38" t="str">
        <f>IFERROR(__xludf.DUMMYFUNCTION("SPLIT($O83,""-"")"),"Batteries 1 pack ")</f>
        <v>Batteries 1 pack </v>
      </c>
      <c r="Q83" s="38" t="str">
        <f>IFERROR(__xludf.DUMMYFUNCTION("""COMPUTED_VALUE""")," ₹250")</f>
        <v> ₹250</v>
      </c>
      <c r="T83" s="38" t="s">
        <v>1449</v>
      </c>
      <c r="X83" s="49" t="s">
        <v>245</v>
      </c>
      <c r="Z83" s="52">
        <v>45795.59465277778</v>
      </c>
      <c r="AA83" s="50">
        <v>45801.0</v>
      </c>
      <c r="AB83" s="51">
        <v>0.5946527777777778</v>
      </c>
      <c r="AC83" s="38" t="str">
        <f t="shared" si="6"/>
        <v>05/24/2025 14:16:18</v>
      </c>
    </row>
    <row r="84" ht="15.75" customHeight="1">
      <c r="H84" s="47" t="s">
        <v>1353</v>
      </c>
      <c r="I84" s="38">
        <v>84.0</v>
      </c>
      <c r="J84" s="38" t="str">
        <f t="shared" si="3"/>
        <v>P084</v>
      </c>
      <c r="K84" s="38">
        <f t="shared" si="4"/>
        <v>47</v>
      </c>
      <c r="L84" s="38" t="str">
        <f t="shared" si="5"/>
        <v>P047</v>
      </c>
      <c r="O84" s="48" t="s">
        <v>1530</v>
      </c>
      <c r="P84" s="38" t="str">
        <f>IFERROR(__xludf.DUMMYFUNCTION("SPLIT($O84,""-"")"),"Energy Drink 1 can ")</f>
        <v>Energy Drink 1 can </v>
      </c>
      <c r="Q84" s="38" t="str">
        <f>IFERROR(__xludf.DUMMYFUNCTION("""COMPUTED_VALUE""")," ₹100")</f>
        <v> ₹100</v>
      </c>
      <c r="T84" s="38" t="s">
        <v>1452</v>
      </c>
      <c r="X84" s="49" t="s">
        <v>246</v>
      </c>
      <c r="Z84" s="52">
        <v>45795.59465277778</v>
      </c>
      <c r="AA84" s="50">
        <v>45801.0</v>
      </c>
      <c r="AB84" s="51">
        <v>0.5946527777777778</v>
      </c>
      <c r="AC84" s="38" t="str">
        <f t="shared" si="6"/>
        <v>05/24/2025 14:16:18</v>
      </c>
    </row>
    <row r="85" ht="15.75" customHeight="1">
      <c r="H85" s="47" t="s">
        <v>1353</v>
      </c>
      <c r="I85" s="38">
        <v>85.0</v>
      </c>
      <c r="J85" s="38" t="str">
        <f t="shared" si="3"/>
        <v>P085</v>
      </c>
      <c r="K85" s="38">
        <f t="shared" si="4"/>
        <v>64</v>
      </c>
      <c r="L85" s="38" t="str">
        <f t="shared" si="5"/>
        <v>P064</v>
      </c>
      <c r="O85" s="48" t="s">
        <v>1531</v>
      </c>
      <c r="P85" s="38" t="str">
        <f>IFERROR(__xludf.DUMMYFUNCTION("SPLIT($O85,""-"")"),"Mineral Water 1 litre ")</f>
        <v>Mineral Water 1 litre </v>
      </c>
      <c r="Q85" s="38" t="str">
        <f>IFERROR(__xludf.DUMMYFUNCTION("""COMPUTED_VALUE""")," ₹20")</f>
        <v> ₹20</v>
      </c>
      <c r="T85" s="38" t="s">
        <v>1455</v>
      </c>
      <c r="X85" s="49" t="s">
        <v>246</v>
      </c>
      <c r="Z85" s="52">
        <v>45795.60229166667</v>
      </c>
      <c r="AA85" s="50">
        <v>45801.0</v>
      </c>
      <c r="AB85" s="51">
        <v>0.6022916666666667</v>
      </c>
      <c r="AC85" s="38" t="str">
        <f t="shared" si="6"/>
        <v>05/24/2025 14:27:18</v>
      </c>
    </row>
    <row r="86" ht="15.75" customHeight="1">
      <c r="H86" s="47" t="s">
        <v>1353</v>
      </c>
      <c r="I86" s="38">
        <v>86.0</v>
      </c>
      <c r="J86" s="38" t="str">
        <f t="shared" si="3"/>
        <v>P086</v>
      </c>
      <c r="K86" s="38">
        <f t="shared" si="4"/>
        <v>30</v>
      </c>
      <c r="L86" s="38" t="str">
        <f t="shared" si="5"/>
        <v>P030</v>
      </c>
      <c r="O86" s="48" t="s">
        <v>1532</v>
      </c>
      <c r="P86" s="38" t="str">
        <f>IFERROR(__xludf.DUMMYFUNCTION("SPLIT($O86,""-"")"),"Coconut Water 1 litre ")</f>
        <v>Coconut Water 1 litre </v>
      </c>
      <c r="Q86" s="38" t="str">
        <f>IFERROR(__xludf.DUMMYFUNCTION("""COMPUTED_VALUE""")," ₹80")</f>
        <v> ₹80</v>
      </c>
      <c r="T86" s="38" t="s">
        <v>1458</v>
      </c>
      <c r="X86" s="49" t="s">
        <v>246</v>
      </c>
      <c r="Z86" s="52">
        <v>45795.60229166667</v>
      </c>
      <c r="AA86" s="50">
        <v>45801.0</v>
      </c>
      <c r="AB86" s="51">
        <v>0.6022916666666667</v>
      </c>
      <c r="AC86" s="38" t="str">
        <f t="shared" si="6"/>
        <v>05/24/2025 14:27:18</v>
      </c>
    </row>
    <row r="87" ht="15.75" customHeight="1">
      <c r="H87" s="47" t="s">
        <v>1353</v>
      </c>
      <c r="I87" s="38">
        <v>87.0</v>
      </c>
      <c r="J87" s="38" t="str">
        <f t="shared" si="3"/>
        <v>P087</v>
      </c>
      <c r="K87" s="38">
        <f t="shared" si="4"/>
        <v>73</v>
      </c>
      <c r="L87" s="38" t="str">
        <f t="shared" si="5"/>
        <v>P073</v>
      </c>
      <c r="O87" s="48" t="s">
        <v>1533</v>
      </c>
      <c r="P87" s="38" t="str">
        <f>IFERROR(__xludf.DUMMYFUNCTION("SPLIT($O87,""-"")"),"Ice Tea 1 litre ")</f>
        <v>Ice Tea 1 litre </v>
      </c>
      <c r="Q87" s="38" t="str">
        <f>IFERROR(__xludf.DUMMYFUNCTION("""COMPUTED_VALUE""")," ₹120")</f>
        <v> ₹120</v>
      </c>
      <c r="T87" s="38" t="s">
        <v>1461</v>
      </c>
      <c r="X87" s="49" t="s">
        <v>247</v>
      </c>
      <c r="Z87" s="52">
        <v>45795.60229166667</v>
      </c>
      <c r="AA87" s="50">
        <v>45801.0</v>
      </c>
      <c r="AB87" s="51">
        <v>0.6022916666666667</v>
      </c>
      <c r="AC87" s="38" t="str">
        <f t="shared" si="6"/>
        <v>05/24/2025 14:27:18</v>
      </c>
    </row>
    <row r="88" ht="15.75" customHeight="1">
      <c r="H88" s="47" t="s">
        <v>1353</v>
      </c>
      <c r="I88" s="38">
        <v>88.0</v>
      </c>
      <c r="J88" s="38" t="str">
        <f t="shared" si="3"/>
        <v>P088</v>
      </c>
      <c r="K88" s="38">
        <f t="shared" si="4"/>
        <v>34</v>
      </c>
      <c r="L88" s="38" t="str">
        <f t="shared" si="5"/>
        <v>P034</v>
      </c>
      <c r="O88" s="48" t="s">
        <v>1534</v>
      </c>
      <c r="P88" s="38" t="str">
        <f>IFERROR(__xludf.DUMMYFUNCTION("SPLIT($O88,""-"")"),"Juice 1 litre ")</f>
        <v>Juice 1 litre </v>
      </c>
      <c r="Q88" s="38" t="str">
        <f>IFERROR(__xludf.DUMMYFUNCTION("""COMPUTED_VALUE""")," ₹150")</f>
        <v> ₹150</v>
      </c>
      <c r="T88" s="38" t="s">
        <v>1464</v>
      </c>
      <c r="X88" s="49" t="s">
        <v>247</v>
      </c>
      <c r="Z88" s="52">
        <v>45795.60229166667</v>
      </c>
      <c r="AA88" s="50">
        <v>45801.0</v>
      </c>
      <c r="AB88" s="51">
        <v>0.6022916666666667</v>
      </c>
      <c r="AC88" s="38" t="str">
        <f t="shared" si="6"/>
        <v>05/24/2025 14:27:18</v>
      </c>
    </row>
    <row r="89" ht="15.75" customHeight="1">
      <c r="H89" s="47" t="s">
        <v>1353</v>
      </c>
      <c r="I89" s="38">
        <v>89.0</v>
      </c>
      <c r="J89" s="38" t="str">
        <f t="shared" si="3"/>
        <v>P089</v>
      </c>
      <c r="K89" s="38">
        <f t="shared" si="4"/>
        <v>76</v>
      </c>
      <c r="L89" s="38" t="str">
        <f t="shared" si="5"/>
        <v>P076</v>
      </c>
      <c r="O89" s="48" t="s">
        <v>1535</v>
      </c>
      <c r="P89" s="38" t="str">
        <f>IFERROR(__xludf.DUMMYFUNCTION("SPLIT($O89,""-"")"),"Sports Drink 1 litre ")</f>
        <v>Sports Drink 1 litre </v>
      </c>
      <c r="Q89" s="38" t="str">
        <f>IFERROR(__xludf.DUMMYFUNCTION("""COMPUTED_VALUE""")," ₹200")</f>
        <v> ₹200</v>
      </c>
      <c r="T89" s="38" t="s">
        <v>1467</v>
      </c>
      <c r="X89" s="49" t="s">
        <v>247</v>
      </c>
      <c r="Z89" s="52">
        <v>45795.60229166667</v>
      </c>
      <c r="AA89" s="50">
        <v>45801.0</v>
      </c>
      <c r="AB89" s="51">
        <v>0.6022916666666667</v>
      </c>
      <c r="AC89" s="38" t="str">
        <f t="shared" si="6"/>
        <v>05/24/2025 14:27:18</v>
      </c>
    </row>
    <row r="90" ht="15.75" customHeight="1">
      <c r="H90" s="47" t="s">
        <v>1353</v>
      </c>
      <c r="I90" s="38">
        <v>90.0</v>
      </c>
      <c r="J90" s="38" t="str">
        <f t="shared" si="3"/>
        <v>P090</v>
      </c>
      <c r="K90" s="38">
        <f t="shared" si="4"/>
        <v>4</v>
      </c>
      <c r="L90" s="38" t="str">
        <f t="shared" si="5"/>
        <v>P004</v>
      </c>
      <c r="O90" s="48" t="s">
        <v>1536</v>
      </c>
      <c r="P90" s="38" t="str">
        <f>IFERROR(__xludf.DUMMYFUNCTION("SPLIT($O90,""-"")"),"Hand Wash 500ml ")</f>
        <v>Hand Wash 500ml </v>
      </c>
      <c r="Q90" s="38" t="str">
        <f>IFERROR(__xludf.DUMMYFUNCTION("""COMPUTED_VALUE""")," ₹150")</f>
        <v> ₹150</v>
      </c>
      <c r="T90" s="38" t="s">
        <v>1470</v>
      </c>
      <c r="X90" s="49" t="s">
        <v>247</v>
      </c>
      <c r="Z90" s="52">
        <v>45795.612708333334</v>
      </c>
      <c r="AA90" s="50">
        <v>45801.0</v>
      </c>
      <c r="AB90" s="51">
        <v>0.6127083333333333</v>
      </c>
      <c r="AC90" s="38" t="str">
        <f t="shared" si="6"/>
        <v>05/24/2025 14:42:18</v>
      </c>
    </row>
    <row r="91" ht="15.75" customHeight="1">
      <c r="H91" s="47" t="s">
        <v>1353</v>
      </c>
      <c r="I91" s="38">
        <v>91.0</v>
      </c>
      <c r="J91" s="38" t="str">
        <f t="shared" si="3"/>
        <v>P091</v>
      </c>
      <c r="K91" s="38">
        <f t="shared" si="4"/>
        <v>70</v>
      </c>
      <c r="L91" s="38" t="str">
        <f t="shared" si="5"/>
        <v>P070</v>
      </c>
      <c r="O91" s="48" t="s">
        <v>1537</v>
      </c>
      <c r="P91" s="38" t="str">
        <f>IFERROR(__xludf.DUMMYFUNCTION("SPLIT($O91,""-"")"),"Body Lotion 500ml ")</f>
        <v>Body Lotion 500ml </v>
      </c>
      <c r="Q91" s="38" t="str">
        <f>IFERROR(__xludf.DUMMYFUNCTION("""COMPUTED_VALUE""")," ₹250")</f>
        <v> ₹250</v>
      </c>
      <c r="T91" s="38" t="s">
        <v>1473</v>
      </c>
      <c r="X91" s="49" t="s">
        <v>248</v>
      </c>
      <c r="Z91" s="52">
        <v>45795.612708333334</v>
      </c>
      <c r="AA91" s="50">
        <v>45801.0</v>
      </c>
      <c r="AB91" s="51">
        <v>0.6127083333333333</v>
      </c>
      <c r="AC91" s="38" t="str">
        <f t="shared" si="6"/>
        <v>05/24/2025 14:42:18</v>
      </c>
    </row>
    <row r="92" ht="15.75" customHeight="1">
      <c r="H92" s="47" t="s">
        <v>1353</v>
      </c>
      <c r="I92" s="38">
        <v>92.0</v>
      </c>
      <c r="J92" s="38" t="str">
        <f t="shared" si="3"/>
        <v>P092</v>
      </c>
      <c r="K92" s="38">
        <f t="shared" si="4"/>
        <v>100</v>
      </c>
      <c r="L92" s="38" t="str">
        <f t="shared" si="5"/>
        <v>P100</v>
      </c>
      <c r="O92" s="48" t="s">
        <v>1538</v>
      </c>
      <c r="P92" s="38" t="str">
        <f>IFERROR(__xludf.DUMMYFUNCTION("SPLIT($O92,""-"")"),"Hair Conditioner 500ml ")</f>
        <v>Hair Conditioner 500ml </v>
      </c>
      <c r="Q92" s="38" t="str">
        <f>IFERROR(__xludf.DUMMYFUNCTION("""COMPUTED_VALUE""")," ₹300")</f>
        <v> ₹300</v>
      </c>
      <c r="T92" s="38" t="s">
        <v>1476</v>
      </c>
      <c r="X92" s="49" t="s">
        <v>248</v>
      </c>
      <c r="Z92" s="52">
        <v>45795.612708333334</v>
      </c>
      <c r="AA92" s="50">
        <v>45801.0</v>
      </c>
      <c r="AB92" s="51">
        <v>0.6127083333333333</v>
      </c>
      <c r="AC92" s="38" t="str">
        <f t="shared" si="6"/>
        <v>05/24/2025 14:42:18</v>
      </c>
    </row>
    <row r="93" ht="15.75" customHeight="1">
      <c r="H93" s="47" t="s">
        <v>1353</v>
      </c>
      <c r="I93" s="38">
        <v>93.0</v>
      </c>
      <c r="J93" s="38" t="str">
        <f t="shared" si="3"/>
        <v>P093</v>
      </c>
      <c r="K93" s="38">
        <f t="shared" si="4"/>
        <v>74</v>
      </c>
      <c r="L93" s="38" t="str">
        <f t="shared" si="5"/>
        <v>P074</v>
      </c>
      <c r="O93" s="48" t="s">
        <v>1539</v>
      </c>
      <c r="P93" s="38" t="str">
        <f>IFERROR(__xludf.DUMMYFUNCTION("SPLIT($O93,""-"")"),"Shaving Cream 100g ")</f>
        <v>Shaving Cream 100g </v>
      </c>
      <c r="Q93" s="38" t="str">
        <f>IFERROR(__xludf.DUMMYFUNCTION("""COMPUTED_VALUE""")," ₹150")</f>
        <v> ₹150</v>
      </c>
      <c r="T93" s="38" t="s">
        <v>1479</v>
      </c>
      <c r="X93" s="49" t="s">
        <v>248</v>
      </c>
      <c r="Z93" s="52">
        <v>45795.612708333334</v>
      </c>
      <c r="AA93" s="50">
        <v>45801.0</v>
      </c>
      <c r="AB93" s="51">
        <v>0.6127083333333333</v>
      </c>
      <c r="AC93" s="38" t="str">
        <f t="shared" si="6"/>
        <v>05/24/2025 14:42:18</v>
      </c>
    </row>
    <row r="94" ht="15.75" customHeight="1">
      <c r="H94" s="47" t="s">
        <v>1353</v>
      </c>
      <c r="I94" s="38">
        <v>94.0</v>
      </c>
      <c r="J94" s="38" t="str">
        <f t="shared" si="3"/>
        <v>P094</v>
      </c>
      <c r="K94" s="38">
        <f t="shared" si="4"/>
        <v>7</v>
      </c>
      <c r="L94" s="38" t="str">
        <f t="shared" si="5"/>
        <v>P007</v>
      </c>
      <c r="O94" s="48" t="s">
        <v>1540</v>
      </c>
      <c r="P94" s="38" t="str">
        <f>IFERROR(__xludf.DUMMYFUNCTION("SPLIT($O94,""-"")"),"Razor 1 pack ")</f>
        <v>Razor 1 pack </v>
      </c>
      <c r="Q94" s="38" t="str">
        <f>IFERROR(__xludf.DUMMYFUNCTION("""COMPUTED_VALUE""")," ₹200")</f>
        <v> ₹200</v>
      </c>
      <c r="T94" s="38" t="s">
        <v>1482</v>
      </c>
      <c r="X94" s="49" t="s">
        <v>249</v>
      </c>
      <c r="Z94" s="52">
        <v>45795.612708333334</v>
      </c>
      <c r="AA94" s="50">
        <v>45801.0</v>
      </c>
      <c r="AB94" s="51">
        <v>0.6127083333333333</v>
      </c>
      <c r="AC94" s="38" t="str">
        <f t="shared" si="6"/>
        <v>05/24/2025 14:42:18</v>
      </c>
    </row>
    <row r="95" ht="15.75" customHeight="1">
      <c r="H95" s="47" t="s">
        <v>1353</v>
      </c>
      <c r="I95" s="38">
        <v>95.0</v>
      </c>
      <c r="J95" s="38" t="str">
        <f t="shared" si="3"/>
        <v>P095</v>
      </c>
      <c r="K95" s="38">
        <f t="shared" si="4"/>
        <v>7</v>
      </c>
      <c r="L95" s="38" t="str">
        <f t="shared" si="5"/>
        <v>P007</v>
      </c>
      <c r="O95" s="48" t="s">
        <v>1541</v>
      </c>
      <c r="P95" s="38" t="str">
        <f>IFERROR(__xludf.DUMMYFUNCTION("SPLIT($O95,""-"")"),"Nail Polish 1 bottle ")</f>
        <v>Nail Polish 1 bottle </v>
      </c>
      <c r="Q95" s="38" t="str">
        <f>IFERROR(__xludf.DUMMYFUNCTION("""COMPUTED_VALUE""")," ₹120")</f>
        <v> ₹120</v>
      </c>
      <c r="T95" s="38" t="s">
        <v>1485</v>
      </c>
      <c r="X95" s="49" t="s">
        <v>249</v>
      </c>
      <c r="Z95" s="52">
        <v>45795.62034722222</v>
      </c>
      <c r="AA95" s="50">
        <v>45801.0</v>
      </c>
      <c r="AB95" s="51">
        <v>0.6203472222222223</v>
      </c>
      <c r="AC95" s="38" t="str">
        <f t="shared" si="6"/>
        <v>05/24/2025 14:53:18</v>
      </c>
    </row>
    <row r="96" ht="15.75" customHeight="1">
      <c r="H96" s="47" t="s">
        <v>1353</v>
      </c>
      <c r="I96" s="38">
        <v>96.0</v>
      </c>
      <c r="J96" s="38" t="str">
        <f t="shared" si="3"/>
        <v>P096</v>
      </c>
      <c r="K96" s="38">
        <f t="shared" si="4"/>
        <v>30</v>
      </c>
      <c r="L96" s="38" t="str">
        <f t="shared" si="5"/>
        <v>P030</v>
      </c>
      <c r="O96" s="48" t="s">
        <v>1542</v>
      </c>
      <c r="P96" s="38" t="str">
        <f>IFERROR(__xludf.DUMMYFUNCTION("SPLIT($O96,""-"")"),"Lip Balm 1 tube ")</f>
        <v>Lip Balm 1 tube </v>
      </c>
      <c r="Q96" s="38" t="str">
        <f>IFERROR(__xludf.DUMMYFUNCTION("""COMPUTED_VALUE""")," ₹100")</f>
        <v> ₹100</v>
      </c>
      <c r="T96" s="38" t="s">
        <v>1488</v>
      </c>
      <c r="X96" s="49" t="s">
        <v>249</v>
      </c>
      <c r="Z96" s="52">
        <v>45795.62034722222</v>
      </c>
      <c r="AA96" s="50">
        <v>45801.0</v>
      </c>
      <c r="AB96" s="51">
        <v>0.6203472222222223</v>
      </c>
      <c r="AC96" s="38" t="str">
        <f t="shared" si="6"/>
        <v>05/24/2025 14:53:18</v>
      </c>
    </row>
    <row r="97" ht="15.75" customHeight="1">
      <c r="H97" s="47" t="s">
        <v>1353</v>
      </c>
      <c r="I97" s="38">
        <v>97.0</v>
      </c>
      <c r="J97" s="38" t="str">
        <f t="shared" si="3"/>
        <v>P097</v>
      </c>
      <c r="K97" s="38">
        <f t="shared" si="4"/>
        <v>27</v>
      </c>
      <c r="L97" s="38" t="str">
        <f t="shared" si="5"/>
        <v>P027</v>
      </c>
      <c r="O97" s="48" t="s">
        <v>1543</v>
      </c>
      <c r="P97" s="38" t="str">
        <f>IFERROR(__xludf.DUMMYFUNCTION("SPLIT($O97,""-"")"),"Face Wash 250ml ")</f>
        <v>Face Wash 250ml </v>
      </c>
      <c r="Q97" s="38" t="str">
        <f>IFERROR(__xludf.DUMMYFUNCTION("""COMPUTED_VALUE""")," ₹200")</f>
        <v> ₹200</v>
      </c>
      <c r="T97" s="38" t="s">
        <v>1491</v>
      </c>
      <c r="X97" s="49" t="s">
        <v>249</v>
      </c>
      <c r="Z97" s="52">
        <v>45795.62034722222</v>
      </c>
      <c r="AA97" s="50">
        <v>45801.0</v>
      </c>
      <c r="AB97" s="51">
        <v>0.6203472222222223</v>
      </c>
      <c r="AC97" s="38" t="str">
        <f t="shared" si="6"/>
        <v>05/24/2025 14:53:18</v>
      </c>
    </row>
    <row r="98" ht="15.75" customHeight="1">
      <c r="H98" s="47" t="s">
        <v>1353</v>
      </c>
      <c r="I98" s="38">
        <v>98.0</v>
      </c>
      <c r="J98" s="38" t="str">
        <f t="shared" si="3"/>
        <v>P098</v>
      </c>
      <c r="K98" s="38">
        <f t="shared" si="4"/>
        <v>6</v>
      </c>
      <c r="L98" s="38" t="str">
        <f t="shared" si="5"/>
        <v>P006</v>
      </c>
      <c r="O98" s="53" t="s">
        <v>1544</v>
      </c>
      <c r="P98" s="38" t="str">
        <f>IFERROR(__xludf.DUMMYFUNCTION("SPLIT($O98,""-"")"),"Hand Sanitizer 500ml ")</f>
        <v>Hand Sanitizer 500ml </v>
      </c>
      <c r="Q98" s="38" t="str">
        <f>IFERROR(__xludf.DUMMYFUNCTION("""COMPUTED_VALUE""")," ₹200")</f>
        <v> ₹200</v>
      </c>
      <c r="T98" s="38" t="s">
        <v>1494</v>
      </c>
      <c r="X98" s="49" t="s">
        <v>249</v>
      </c>
      <c r="Z98" s="52">
        <v>45795.629375</v>
      </c>
      <c r="AA98" s="50">
        <v>45801.0</v>
      </c>
      <c r="AB98" s="51">
        <v>0.629375</v>
      </c>
      <c r="AC98" s="38" t="str">
        <f t="shared" si="6"/>
        <v>05/24/2025 15:06:18</v>
      </c>
    </row>
    <row r="99" ht="15.75" customHeight="1">
      <c r="H99" s="47" t="s">
        <v>1353</v>
      </c>
      <c r="I99" s="38">
        <v>99.0</v>
      </c>
      <c r="J99" s="38" t="str">
        <f t="shared" si="3"/>
        <v>P099</v>
      </c>
      <c r="K99" s="38">
        <f t="shared" si="4"/>
        <v>9</v>
      </c>
      <c r="L99" s="38" t="str">
        <f t="shared" si="5"/>
        <v>P009</v>
      </c>
      <c r="O99" s="53" t="s">
        <v>1545</v>
      </c>
      <c r="P99" s="38" t="str">
        <f>IFERROR(__xludf.DUMMYFUNCTION("SPLIT($O99,""-"")"),"Face Mask 1 pack ")</f>
        <v>Face Mask 1 pack </v>
      </c>
      <c r="Q99" s="38" t="str">
        <f>IFERROR(__xludf.DUMMYFUNCTION("""COMPUTED_VALUE""")," ₹150")</f>
        <v> ₹150</v>
      </c>
      <c r="T99" s="38" t="s">
        <v>1496</v>
      </c>
      <c r="X99" s="49" t="s">
        <v>250</v>
      </c>
      <c r="Z99" s="52">
        <v>45795.629375</v>
      </c>
      <c r="AA99" s="50">
        <v>45801.0</v>
      </c>
      <c r="AB99" s="51">
        <v>0.629375</v>
      </c>
      <c r="AC99" s="38" t="str">
        <f t="shared" si="6"/>
        <v>05/24/2025 15:06:18</v>
      </c>
    </row>
    <row r="100" ht="15.75" customHeight="1">
      <c r="H100" s="47" t="s">
        <v>1353</v>
      </c>
      <c r="I100" s="38">
        <v>100.0</v>
      </c>
      <c r="J100" s="38" t="str">
        <f t="shared" si="3"/>
        <v>P100</v>
      </c>
      <c r="K100" s="38">
        <f t="shared" si="4"/>
        <v>62</v>
      </c>
      <c r="L100" s="38" t="str">
        <f t="shared" si="5"/>
        <v>P062</v>
      </c>
      <c r="O100" s="53" t="s">
        <v>1546</v>
      </c>
      <c r="P100" s="38" t="str">
        <f>IFERROR(__xludf.DUMMYFUNCTION("SPLIT($O100,""-"")"),"Cooking Vinegar 500ml ")</f>
        <v>Cooking Vinegar 500ml </v>
      </c>
      <c r="Q100" s="38" t="str">
        <f>IFERROR(__xludf.DUMMYFUNCTION("""COMPUTED_VALUE""")," ₹90")</f>
        <v> ₹90</v>
      </c>
      <c r="T100" s="38" t="s">
        <v>1498</v>
      </c>
      <c r="X100" s="49" t="s">
        <v>250</v>
      </c>
      <c r="Z100" s="52">
        <v>45795.629375</v>
      </c>
      <c r="AA100" s="50">
        <v>45801.0</v>
      </c>
      <c r="AB100" s="51">
        <v>0.629375</v>
      </c>
      <c r="AC100" s="38" t="str">
        <f t="shared" si="6"/>
        <v>05/24/2025 15:06:18</v>
      </c>
    </row>
    <row r="101" ht="15.75" customHeight="1">
      <c r="I101" s="38">
        <v>101.0</v>
      </c>
      <c r="J101" s="38" t="str">
        <f t="shared" si="3"/>
        <v>101</v>
      </c>
      <c r="T101" s="38" t="s">
        <v>1500</v>
      </c>
      <c r="X101" s="49" t="s">
        <v>250</v>
      </c>
      <c r="Z101" s="52">
        <v>45795.629375</v>
      </c>
      <c r="AA101" s="50">
        <v>45801.0</v>
      </c>
      <c r="AB101" s="51">
        <v>0.629375</v>
      </c>
      <c r="AC101" s="38" t="str">
        <f t="shared" si="6"/>
        <v>05/24/2025 15:06:18</v>
      </c>
    </row>
    <row r="102" ht="15.75" customHeight="1">
      <c r="I102" s="38">
        <v>102.0</v>
      </c>
      <c r="J102" s="38" t="str">
        <f t="shared" si="3"/>
        <v>102</v>
      </c>
      <c r="T102" s="38" t="s">
        <v>1502</v>
      </c>
      <c r="X102" s="49" t="s">
        <v>250</v>
      </c>
      <c r="Z102" s="52">
        <v>45795.637708333335</v>
      </c>
      <c r="AA102" s="50">
        <v>45801.0</v>
      </c>
      <c r="AB102" s="51">
        <v>0.6377083333333333</v>
      </c>
      <c r="AC102" s="38" t="str">
        <f t="shared" si="6"/>
        <v>05/24/2025 15:18:18</v>
      </c>
    </row>
    <row r="103" ht="15.75" customHeight="1">
      <c r="I103" s="38">
        <v>103.0</v>
      </c>
      <c r="J103" s="38" t="str">
        <f t="shared" si="3"/>
        <v>103</v>
      </c>
      <c r="T103" s="38" t="s">
        <v>1504</v>
      </c>
      <c r="X103" s="49" t="s">
        <v>250</v>
      </c>
      <c r="Z103" s="52">
        <v>45795.637708333335</v>
      </c>
      <c r="AA103" s="50">
        <v>45801.0</v>
      </c>
      <c r="AB103" s="51">
        <v>0.6377083333333333</v>
      </c>
      <c r="AC103" s="38" t="str">
        <f t="shared" si="6"/>
        <v>05/24/2025 15:18:18</v>
      </c>
    </row>
    <row r="104" ht="15.75" customHeight="1">
      <c r="I104" s="38">
        <v>104.0</v>
      </c>
      <c r="J104" s="38" t="str">
        <f t="shared" si="3"/>
        <v>104</v>
      </c>
      <c r="T104" s="38" t="s">
        <v>1506</v>
      </c>
      <c r="X104" s="49" t="s">
        <v>251</v>
      </c>
      <c r="Z104" s="52">
        <v>45795.637708333335</v>
      </c>
      <c r="AA104" s="50">
        <v>45801.0</v>
      </c>
      <c r="AB104" s="51">
        <v>0.6377083333333333</v>
      </c>
      <c r="AC104" s="38" t="str">
        <f t="shared" si="6"/>
        <v>05/24/2025 15:18:18</v>
      </c>
    </row>
    <row r="105" ht="15.75" customHeight="1">
      <c r="I105" s="38">
        <v>105.0</v>
      </c>
      <c r="J105" s="38" t="str">
        <f t="shared" si="3"/>
        <v>105</v>
      </c>
      <c r="T105" s="38" t="s">
        <v>1508</v>
      </c>
      <c r="X105" s="49" t="s">
        <v>251</v>
      </c>
      <c r="Z105" s="52">
        <v>45795.64604166667</v>
      </c>
      <c r="AA105" s="50">
        <v>45801.0</v>
      </c>
      <c r="AB105" s="51">
        <v>0.6460416666666666</v>
      </c>
      <c r="AC105" s="38" t="str">
        <f t="shared" si="6"/>
        <v>05/24/2025 15:30:18</v>
      </c>
    </row>
    <row r="106" ht="15.75" customHeight="1">
      <c r="I106" s="38">
        <v>106.0</v>
      </c>
      <c r="J106" s="38" t="str">
        <f t="shared" si="3"/>
        <v>106</v>
      </c>
      <c r="T106" s="38" t="s">
        <v>1510</v>
      </c>
      <c r="X106" s="49" t="s">
        <v>251</v>
      </c>
      <c r="Z106" s="52">
        <v>45795.64604166667</v>
      </c>
      <c r="AA106" s="50">
        <v>45801.0</v>
      </c>
      <c r="AB106" s="51">
        <v>0.6460416666666666</v>
      </c>
      <c r="AC106" s="38" t="str">
        <f t="shared" si="6"/>
        <v>05/24/2025 15:30:18</v>
      </c>
    </row>
    <row r="107" ht="15.75" customHeight="1">
      <c r="I107" s="38">
        <v>107.0</v>
      </c>
      <c r="J107" s="38" t="str">
        <f t="shared" si="3"/>
        <v>107</v>
      </c>
      <c r="T107" s="38" t="s">
        <v>1512</v>
      </c>
      <c r="X107" s="49" t="s">
        <v>252</v>
      </c>
      <c r="Z107" s="52">
        <v>45795.64604166667</v>
      </c>
      <c r="AA107" s="50">
        <v>45801.0</v>
      </c>
      <c r="AB107" s="51">
        <v>0.6460416666666666</v>
      </c>
      <c r="AC107" s="38" t="str">
        <f t="shared" si="6"/>
        <v>05/24/2025 15:30:18</v>
      </c>
    </row>
    <row r="108" ht="15.75" customHeight="1">
      <c r="I108" s="38">
        <v>108.0</v>
      </c>
      <c r="J108" s="38" t="str">
        <f t="shared" si="3"/>
        <v>108</v>
      </c>
      <c r="T108" s="38" t="s">
        <v>1514</v>
      </c>
      <c r="X108" s="49" t="s">
        <v>252</v>
      </c>
      <c r="Z108" s="52">
        <v>45795.64604166667</v>
      </c>
      <c r="AA108" s="50">
        <v>45801.0</v>
      </c>
      <c r="AB108" s="51">
        <v>0.6460416666666666</v>
      </c>
      <c r="AC108" s="38" t="str">
        <f t="shared" si="6"/>
        <v>05/24/2025 15:30:18</v>
      </c>
    </row>
    <row r="109" ht="15.75" customHeight="1">
      <c r="I109" s="38">
        <v>109.0</v>
      </c>
      <c r="J109" s="38" t="str">
        <f t="shared" si="3"/>
        <v>109</v>
      </c>
      <c r="T109" s="38" t="s">
        <v>1516</v>
      </c>
      <c r="X109" s="49" t="s">
        <v>252</v>
      </c>
      <c r="Z109" s="52">
        <v>45795.65645833333</v>
      </c>
      <c r="AA109" s="50">
        <v>45801.0</v>
      </c>
      <c r="AB109" s="51">
        <v>0.6564583333333334</v>
      </c>
      <c r="AC109" s="38" t="str">
        <f t="shared" si="6"/>
        <v>05/24/2025 15:45:18</v>
      </c>
    </row>
    <row r="110" ht="15.75" customHeight="1">
      <c r="I110" s="38">
        <v>110.0</v>
      </c>
      <c r="J110" s="38" t="str">
        <f t="shared" si="3"/>
        <v>110</v>
      </c>
      <c r="T110" s="38" t="s">
        <v>1518</v>
      </c>
      <c r="X110" s="49" t="s">
        <v>253</v>
      </c>
      <c r="Z110" s="52">
        <v>45795.65645833333</v>
      </c>
      <c r="AA110" s="50">
        <v>45801.0</v>
      </c>
      <c r="AB110" s="51">
        <v>0.6564583333333334</v>
      </c>
      <c r="AC110" s="38" t="str">
        <f t="shared" si="6"/>
        <v>05/24/2025 15:45:18</v>
      </c>
    </row>
    <row r="111" ht="15.75" customHeight="1">
      <c r="I111" s="38">
        <v>111.0</v>
      </c>
      <c r="J111" s="38" t="str">
        <f t="shared" si="3"/>
        <v>111</v>
      </c>
      <c r="X111" s="49" t="s">
        <v>253</v>
      </c>
      <c r="Z111" s="52">
        <v>45795.65645833333</v>
      </c>
      <c r="AA111" s="50">
        <v>45801.0</v>
      </c>
      <c r="AB111" s="51">
        <v>0.6564583333333334</v>
      </c>
      <c r="AC111" s="38" t="str">
        <f t="shared" si="6"/>
        <v>05/24/2025 15:45:18</v>
      </c>
    </row>
    <row r="112" ht="15.75" customHeight="1">
      <c r="I112" s="38">
        <v>112.0</v>
      </c>
      <c r="J112" s="38" t="str">
        <f t="shared" si="3"/>
        <v>112</v>
      </c>
      <c r="X112" s="49" t="s">
        <v>253</v>
      </c>
      <c r="Z112" s="52">
        <v>45795.66548611111</v>
      </c>
      <c r="AA112" s="50">
        <v>45801.0</v>
      </c>
      <c r="AB112" s="51">
        <v>0.6654861111111111</v>
      </c>
      <c r="AC112" s="38" t="str">
        <f t="shared" si="6"/>
        <v>05/24/2025 15:58:18</v>
      </c>
    </row>
    <row r="113" ht="15.75" customHeight="1">
      <c r="I113" s="38">
        <v>113.0</v>
      </c>
      <c r="J113" s="38" t="str">
        <f t="shared" si="3"/>
        <v>113</v>
      </c>
      <c r="X113" s="49" t="s">
        <v>254</v>
      </c>
      <c r="Z113" s="52">
        <v>45795.66548611111</v>
      </c>
      <c r="AA113" s="50">
        <v>45801.0</v>
      </c>
      <c r="AB113" s="51">
        <v>0.6654861111111111</v>
      </c>
      <c r="AC113" s="38" t="str">
        <f t="shared" si="6"/>
        <v>05/24/2025 15:58:18</v>
      </c>
    </row>
    <row r="114" ht="15.75" customHeight="1">
      <c r="I114" s="38">
        <v>114.0</v>
      </c>
      <c r="J114" s="38" t="str">
        <f t="shared" si="3"/>
        <v>114</v>
      </c>
      <c r="X114" s="49" t="s">
        <v>254</v>
      </c>
      <c r="Z114" s="52">
        <v>45795.66548611111</v>
      </c>
      <c r="AA114" s="50">
        <v>45801.0</v>
      </c>
      <c r="AB114" s="51">
        <v>0.6654861111111111</v>
      </c>
      <c r="AC114" s="38" t="str">
        <f t="shared" si="6"/>
        <v>05/24/2025 15:58:18</v>
      </c>
    </row>
    <row r="115" ht="15.75" customHeight="1">
      <c r="I115" s="38">
        <v>115.0</v>
      </c>
      <c r="J115" s="38" t="str">
        <f t="shared" si="3"/>
        <v>115</v>
      </c>
      <c r="X115" s="49" t="s">
        <v>254</v>
      </c>
      <c r="Z115" s="52">
        <v>45795.673125</v>
      </c>
      <c r="AA115" s="50">
        <v>45801.0</v>
      </c>
      <c r="AB115" s="51">
        <v>0.673125</v>
      </c>
      <c r="AC115" s="38" t="str">
        <f t="shared" si="6"/>
        <v>05/24/2025 16:09:18</v>
      </c>
    </row>
    <row r="116" ht="15.75" customHeight="1">
      <c r="I116" s="38">
        <v>116.0</v>
      </c>
      <c r="J116" s="38" t="str">
        <f t="shared" si="3"/>
        <v>116</v>
      </c>
      <c r="X116" s="49" t="s">
        <v>254</v>
      </c>
      <c r="Z116" s="52">
        <v>45795.673125</v>
      </c>
      <c r="AA116" s="50">
        <v>45801.0</v>
      </c>
      <c r="AB116" s="51">
        <v>0.673125</v>
      </c>
      <c r="AC116" s="38" t="str">
        <f t="shared" si="6"/>
        <v>05/24/2025 16:09:18</v>
      </c>
    </row>
    <row r="117" ht="15.75" customHeight="1">
      <c r="I117" s="38">
        <v>117.0</v>
      </c>
      <c r="J117" s="38" t="str">
        <f t="shared" si="3"/>
        <v>117</v>
      </c>
      <c r="X117" s="49" t="s">
        <v>254</v>
      </c>
      <c r="Z117" s="52">
        <v>45795.673125</v>
      </c>
      <c r="AA117" s="50">
        <v>45801.0</v>
      </c>
      <c r="AB117" s="51">
        <v>0.673125</v>
      </c>
      <c r="AC117" s="38" t="str">
        <f t="shared" si="6"/>
        <v>05/24/2025 16:09:18</v>
      </c>
    </row>
    <row r="118" ht="15.75" customHeight="1">
      <c r="I118" s="38">
        <v>118.0</v>
      </c>
      <c r="J118" s="38" t="str">
        <f t="shared" si="3"/>
        <v>118</v>
      </c>
      <c r="X118" s="49" t="s">
        <v>255</v>
      </c>
      <c r="Z118" s="52">
        <v>45795.673125</v>
      </c>
      <c r="AA118" s="50">
        <v>45801.0</v>
      </c>
      <c r="AB118" s="51">
        <v>0.673125</v>
      </c>
      <c r="AC118" s="38" t="str">
        <f t="shared" si="6"/>
        <v>05/24/2025 16:09:18</v>
      </c>
    </row>
    <row r="119" ht="15.75" customHeight="1">
      <c r="I119" s="38">
        <v>119.0</v>
      </c>
      <c r="J119" s="38" t="str">
        <f t="shared" si="3"/>
        <v>119</v>
      </c>
      <c r="X119" s="49" t="s">
        <v>255</v>
      </c>
      <c r="Z119" s="52">
        <v>45795.683541666665</v>
      </c>
      <c r="AA119" s="50">
        <v>45801.0</v>
      </c>
      <c r="AB119" s="51">
        <v>0.6835416666666667</v>
      </c>
      <c r="AC119" s="38" t="str">
        <f t="shared" si="6"/>
        <v>05/24/2025 16:24:18</v>
      </c>
    </row>
    <row r="120" ht="15.75" customHeight="1">
      <c r="I120" s="38">
        <v>120.0</v>
      </c>
      <c r="J120" s="38" t="str">
        <f t="shared" si="3"/>
        <v>120</v>
      </c>
      <c r="X120" s="49" t="s">
        <v>255</v>
      </c>
      <c r="Z120" s="52">
        <v>45795.683541666665</v>
      </c>
      <c r="AA120" s="50">
        <v>45801.0</v>
      </c>
      <c r="AB120" s="51">
        <v>0.6835416666666667</v>
      </c>
      <c r="AC120" s="38" t="str">
        <f t="shared" si="6"/>
        <v>05/24/2025 16:24:18</v>
      </c>
    </row>
    <row r="121" ht="15.75" customHeight="1">
      <c r="I121" s="38">
        <v>121.0</v>
      </c>
      <c r="J121" s="38" t="str">
        <f t="shared" si="3"/>
        <v>121</v>
      </c>
      <c r="X121" s="49" t="s">
        <v>255</v>
      </c>
      <c r="Z121" s="52">
        <v>45795.683541666665</v>
      </c>
      <c r="AA121" s="50">
        <v>45801.0</v>
      </c>
      <c r="AB121" s="51">
        <v>0.6835416666666667</v>
      </c>
      <c r="AC121" s="38" t="str">
        <f t="shared" si="6"/>
        <v>05/24/2025 16:24:18</v>
      </c>
    </row>
    <row r="122" ht="15.75" customHeight="1">
      <c r="I122" s="38">
        <v>122.0</v>
      </c>
      <c r="J122" s="38" t="str">
        <f t="shared" si="3"/>
        <v>122</v>
      </c>
      <c r="X122" s="49" t="s">
        <v>255</v>
      </c>
      <c r="Z122" s="52">
        <v>45795.69118055556</v>
      </c>
      <c r="AA122" s="50">
        <v>45801.0</v>
      </c>
      <c r="AB122" s="51">
        <v>0.6911805555555556</v>
      </c>
      <c r="AC122" s="38" t="str">
        <f t="shared" si="6"/>
        <v>05/24/2025 16:35:18</v>
      </c>
    </row>
    <row r="123" ht="15.75" customHeight="1">
      <c r="I123" s="38">
        <v>123.0</v>
      </c>
      <c r="J123" s="38" t="str">
        <f t="shared" si="3"/>
        <v>123</v>
      </c>
      <c r="Z123" s="52">
        <v>45795.69118055556</v>
      </c>
      <c r="AA123" s="50">
        <v>45801.0</v>
      </c>
      <c r="AB123" s="51">
        <v>0.6911805555555556</v>
      </c>
      <c r="AC123" s="38" t="str">
        <f t="shared" si="6"/>
        <v>05/24/2025 16:35:18</v>
      </c>
    </row>
    <row r="124" ht="15.75" customHeight="1">
      <c r="I124" s="38">
        <v>124.0</v>
      </c>
      <c r="J124" s="38" t="str">
        <f t="shared" si="3"/>
        <v>124</v>
      </c>
      <c r="Z124" s="52">
        <v>45795.69118055556</v>
      </c>
      <c r="AA124" s="50">
        <v>45801.0</v>
      </c>
      <c r="AB124" s="51">
        <v>0.6911805555555556</v>
      </c>
      <c r="AC124" s="38" t="str">
        <f t="shared" si="6"/>
        <v>05/24/2025 16:35:18</v>
      </c>
    </row>
    <row r="125" ht="15.75" customHeight="1">
      <c r="I125" s="38">
        <v>125.0</v>
      </c>
      <c r="J125" s="38" t="str">
        <f t="shared" si="3"/>
        <v>125</v>
      </c>
      <c r="Z125" s="52">
        <v>45795.69118055556</v>
      </c>
      <c r="AA125" s="50">
        <v>45801.0</v>
      </c>
      <c r="AB125" s="51">
        <v>0.6911805555555556</v>
      </c>
      <c r="AC125" s="38" t="str">
        <f t="shared" si="6"/>
        <v>05/24/2025 16:35:18</v>
      </c>
    </row>
    <row r="126" ht="15.75" customHeight="1">
      <c r="I126" s="38">
        <v>126.0</v>
      </c>
      <c r="J126" s="38" t="str">
        <f t="shared" si="3"/>
        <v>126</v>
      </c>
      <c r="Z126" s="52">
        <v>45795.69118055556</v>
      </c>
      <c r="AA126" s="50">
        <v>45801.0</v>
      </c>
      <c r="AB126" s="51">
        <v>0.6911805555555556</v>
      </c>
      <c r="AC126" s="38" t="str">
        <f t="shared" si="6"/>
        <v>05/24/2025 16:35:18</v>
      </c>
    </row>
    <row r="127" ht="15.75" customHeight="1">
      <c r="I127" s="38">
        <v>127.0</v>
      </c>
      <c r="J127" s="38" t="str">
        <f t="shared" si="3"/>
        <v>127</v>
      </c>
      <c r="Z127" s="52">
        <v>45795.700902777775</v>
      </c>
      <c r="AA127" s="50">
        <v>45801.0</v>
      </c>
      <c r="AB127" s="51">
        <v>0.7009027777777778</v>
      </c>
      <c r="AC127" s="38" t="str">
        <f t="shared" si="6"/>
        <v>05/24/2025 16:49:18</v>
      </c>
    </row>
    <row r="128" ht="15.75" customHeight="1">
      <c r="I128" s="38">
        <v>128.0</v>
      </c>
      <c r="J128" s="38" t="str">
        <f t="shared" si="3"/>
        <v>128</v>
      </c>
      <c r="Z128" s="52">
        <v>45795.700902777775</v>
      </c>
      <c r="AA128" s="50">
        <v>45801.0</v>
      </c>
      <c r="AB128" s="51">
        <v>0.7009027777777778</v>
      </c>
      <c r="AC128" s="38" t="str">
        <f t="shared" si="6"/>
        <v>05/24/2025 16:49:18</v>
      </c>
    </row>
    <row r="129" ht="15.75" customHeight="1">
      <c r="I129" s="38">
        <v>129.0</v>
      </c>
      <c r="J129" s="38" t="str">
        <f t="shared" si="3"/>
        <v>129</v>
      </c>
      <c r="Z129" s="52">
        <v>45795.700902777775</v>
      </c>
      <c r="AA129" s="50">
        <v>45801.0</v>
      </c>
      <c r="AB129" s="51">
        <v>0.7009027777777778</v>
      </c>
      <c r="AC129" s="38" t="str">
        <f t="shared" si="6"/>
        <v>05/24/2025 16:49:18</v>
      </c>
    </row>
    <row r="130" ht="15.75" customHeight="1">
      <c r="I130" s="38">
        <v>130.0</v>
      </c>
      <c r="J130" s="38" t="str">
        <f t="shared" si="3"/>
        <v>130</v>
      </c>
      <c r="Z130" s="52">
        <v>45795.700902777775</v>
      </c>
      <c r="AA130" s="50">
        <v>45801.0</v>
      </c>
      <c r="AB130" s="51">
        <v>0.7009027777777778</v>
      </c>
      <c r="AC130" s="38" t="str">
        <f t="shared" si="6"/>
        <v>05/24/2025 16:49:18</v>
      </c>
    </row>
    <row r="131" ht="15.75" customHeight="1">
      <c r="I131" s="38">
        <v>131.0</v>
      </c>
      <c r="J131" s="38" t="str">
        <f t="shared" si="3"/>
        <v>131</v>
      </c>
      <c r="Z131" s="52">
        <v>45795.700902777775</v>
      </c>
      <c r="AA131" s="50">
        <v>45801.0</v>
      </c>
      <c r="AB131" s="51">
        <v>0.7009027777777778</v>
      </c>
      <c r="AC131" s="38" t="str">
        <f t="shared" si="6"/>
        <v>05/24/2025 16:49:18</v>
      </c>
    </row>
    <row r="132" ht="15.75" customHeight="1">
      <c r="I132" s="38">
        <v>132.0</v>
      </c>
      <c r="J132" s="38" t="str">
        <f t="shared" si="3"/>
        <v>132</v>
      </c>
      <c r="Z132" s="52">
        <v>45795.70993055555</v>
      </c>
      <c r="AA132" s="50">
        <v>45801.0</v>
      </c>
      <c r="AB132" s="51">
        <v>0.7099305555555555</v>
      </c>
      <c r="AC132" s="38" t="str">
        <f t="shared" si="6"/>
        <v>05/24/2025 17:02:18</v>
      </c>
    </row>
    <row r="133" ht="15.75" customHeight="1">
      <c r="I133" s="38">
        <v>133.0</v>
      </c>
      <c r="J133" s="38" t="str">
        <f t="shared" si="3"/>
        <v>133</v>
      </c>
      <c r="Z133" s="52">
        <v>45795.70993055555</v>
      </c>
      <c r="AA133" s="50">
        <v>45801.0</v>
      </c>
      <c r="AB133" s="51">
        <v>0.7099305555555555</v>
      </c>
      <c r="AC133" s="38" t="str">
        <f t="shared" si="6"/>
        <v>05/24/2025 17:02:18</v>
      </c>
    </row>
    <row r="134" ht="15.75" customHeight="1">
      <c r="I134" s="38">
        <v>134.0</v>
      </c>
      <c r="J134" s="38" t="str">
        <f t="shared" si="3"/>
        <v>134</v>
      </c>
      <c r="Z134" s="52">
        <v>45795.70993055555</v>
      </c>
      <c r="AA134" s="50">
        <v>45801.0</v>
      </c>
      <c r="AB134" s="51">
        <v>0.7099305555555555</v>
      </c>
      <c r="AC134" s="38" t="str">
        <f t="shared" si="6"/>
        <v>05/24/2025 17:02:18</v>
      </c>
    </row>
    <row r="135" ht="15.75" customHeight="1">
      <c r="I135" s="38">
        <v>135.0</v>
      </c>
      <c r="J135" s="38" t="str">
        <f t="shared" si="3"/>
        <v>135</v>
      </c>
      <c r="Z135" s="52">
        <v>45795.71895833333</v>
      </c>
      <c r="AA135" s="50">
        <v>45801.0</v>
      </c>
      <c r="AB135" s="51">
        <v>0.7189583333333334</v>
      </c>
      <c r="AC135" s="38" t="str">
        <f t="shared" si="6"/>
        <v>05/24/2025 17:15:18</v>
      </c>
    </row>
    <row r="136" ht="15.75" customHeight="1">
      <c r="I136" s="38">
        <v>136.0</v>
      </c>
      <c r="J136" s="38" t="str">
        <f t="shared" si="3"/>
        <v>136</v>
      </c>
      <c r="Z136" s="52">
        <v>45795.71895833333</v>
      </c>
      <c r="AA136" s="50">
        <v>45801.0</v>
      </c>
      <c r="AB136" s="51">
        <v>0.7189583333333334</v>
      </c>
      <c r="AC136" s="38" t="str">
        <f t="shared" si="6"/>
        <v>05/24/2025 17:15:18</v>
      </c>
    </row>
    <row r="137" ht="15.75" customHeight="1">
      <c r="I137" s="38">
        <v>137.0</v>
      </c>
      <c r="J137" s="38" t="str">
        <f t="shared" si="3"/>
        <v>137</v>
      </c>
      <c r="Z137" s="52">
        <v>45795.71895833333</v>
      </c>
      <c r="AA137" s="50">
        <v>45801.0</v>
      </c>
      <c r="AB137" s="51">
        <v>0.7189583333333334</v>
      </c>
      <c r="AC137" s="38" t="str">
        <f t="shared" si="6"/>
        <v>05/24/2025 17:15:18</v>
      </c>
    </row>
    <row r="138" ht="15.75" customHeight="1">
      <c r="I138" s="38">
        <v>138.0</v>
      </c>
      <c r="J138" s="38" t="str">
        <f t="shared" si="3"/>
        <v>138</v>
      </c>
      <c r="Z138" s="52">
        <v>45795.728680555556</v>
      </c>
      <c r="AA138" s="50">
        <v>45801.0</v>
      </c>
      <c r="AB138" s="51">
        <v>0.7286805555555556</v>
      </c>
      <c r="AC138" s="38" t="str">
        <f t="shared" si="6"/>
        <v>05/24/2025 17:29:18</v>
      </c>
    </row>
    <row r="139" ht="15.75" customHeight="1">
      <c r="I139" s="38">
        <v>139.0</v>
      </c>
      <c r="J139" s="38" t="str">
        <f t="shared" si="3"/>
        <v>139</v>
      </c>
      <c r="Z139" s="52">
        <v>45795.728680555556</v>
      </c>
      <c r="AA139" s="50">
        <v>45801.0</v>
      </c>
      <c r="AB139" s="51">
        <v>0.7286805555555556</v>
      </c>
      <c r="AC139" s="38" t="str">
        <f t="shared" si="6"/>
        <v>05/24/2025 17:29:18</v>
      </c>
    </row>
    <row r="140" ht="15.75" customHeight="1">
      <c r="I140" s="38">
        <v>140.0</v>
      </c>
      <c r="J140" s="38" t="str">
        <f t="shared" si="3"/>
        <v>140</v>
      </c>
      <c r="Z140" s="52">
        <v>45795.728680555556</v>
      </c>
      <c r="AA140" s="50">
        <v>45801.0</v>
      </c>
      <c r="AB140" s="51">
        <v>0.7286805555555556</v>
      </c>
      <c r="AC140" s="38" t="str">
        <f t="shared" si="6"/>
        <v>05/24/2025 17:29:18</v>
      </c>
    </row>
    <row r="141" ht="15.75" customHeight="1">
      <c r="I141" s="38">
        <v>141.0</v>
      </c>
      <c r="J141" s="38" t="str">
        <f t="shared" si="3"/>
        <v>141</v>
      </c>
      <c r="Z141" s="52">
        <v>45795.737708333334</v>
      </c>
      <c r="AA141" s="50">
        <v>45801.0</v>
      </c>
      <c r="AB141" s="51">
        <v>0.7377083333333333</v>
      </c>
      <c r="AC141" s="38" t="str">
        <f t="shared" si="6"/>
        <v>05/24/2025 17:42:18</v>
      </c>
    </row>
    <row r="142" ht="15.75" customHeight="1">
      <c r="I142" s="38">
        <v>142.0</v>
      </c>
      <c r="J142" s="38" t="str">
        <f t="shared" si="3"/>
        <v>142</v>
      </c>
      <c r="Z142" s="52">
        <v>45795.737708333334</v>
      </c>
      <c r="AA142" s="50">
        <v>45801.0</v>
      </c>
      <c r="AB142" s="51">
        <v>0.7377083333333333</v>
      </c>
      <c r="AC142" s="38" t="str">
        <f t="shared" si="6"/>
        <v>05/24/2025 17:42:18</v>
      </c>
    </row>
    <row r="143" ht="15.75" customHeight="1">
      <c r="I143" s="38">
        <v>143.0</v>
      </c>
      <c r="J143" s="38" t="str">
        <f t="shared" si="3"/>
        <v>143</v>
      </c>
      <c r="Z143" s="52">
        <v>45795.737708333334</v>
      </c>
      <c r="AA143" s="50">
        <v>45801.0</v>
      </c>
      <c r="AB143" s="51">
        <v>0.7377083333333333</v>
      </c>
      <c r="AC143" s="38" t="str">
        <f t="shared" si="6"/>
        <v>05/24/2025 17:42:18</v>
      </c>
    </row>
    <row r="144" ht="15.75" customHeight="1">
      <c r="I144" s="38">
        <v>144.0</v>
      </c>
      <c r="J144" s="38" t="str">
        <f t="shared" si="3"/>
        <v>144</v>
      </c>
      <c r="Z144" s="52">
        <v>45795.737708333334</v>
      </c>
      <c r="AA144" s="50">
        <v>45801.0</v>
      </c>
      <c r="AB144" s="51">
        <v>0.7377083333333333</v>
      </c>
      <c r="AC144" s="38" t="str">
        <f t="shared" si="6"/>
        <v>05/24/2025 17:42:18</v>
      </c>
    </row>
    <row r="145" ht="15.75" customHeight="1">
      <c r="I145" s="38">
        <v>145.0</v>
      </c>
      <c r="J145" s="38" t="str">
        <f t="shared" si="3"/>
        <v>145</v>
      </c>
      <c r="Z145" s="52">
        <v>45795.737708333334</v>
      </c>
      <c r="AA145" s="50">
        <v>45801.0</v>
      </c>
      <c r="AB145" s="51">
        <v>0.7377083333333333</v>
      </c>
      <c r="AC145" s="38" t="str">
        <f t="shared" si="6"/>
        <v>05/24/2025 17:42:18</v>
      </c>
    </row>
    <row r="146" ht="15.75" customHeight="1">
      <c r="I146" s="38">
        <v>146.0</v>
      </c>
      <c r="J146" s="38" t="str">
        <f t="shared" si="3"/>
        <v>146</v>
      </c>
      <c r="Z146" s="52">
        <v>45795.74465277778</v>
      </c>
      <c r="AA146" s="50">
        <v>45801.0</v>
      </c>
      <c r="AB146" s="51">
        <v>0.7446527777777778</v>
      </c>
      <c r="AC146" s="38" t="str">
        <f t="shared" si="6"/>
        <v>05/24/2025 17:52:18</v>
      </c>
    </row>
    <row r="147" ht="15.75" customHeight="1">
      <c r="I147" s="38">
        <v>147.0</v>
      </c>
      <c r="J147" s="38" t="str">
        <f t="shared" si="3"/>
        <v>147</v>
      </c>
      <c r="Z147" s="52">
        <v>45795.74465277778</v>
      </c>
      <c r="AA147" s="50">
        <v>45801.0</v>
      </c>
      <c r="AB147" s="51">
        <v>0.7446527777777778</v>
      </c>
      <c r="AC147" s="38" t="str">
        <f t="shared" si="6"/>
        <v>05/24/2025 17:52:18</v>
      </c>
    </row>
    <row r="148" ht="15.75" customHeight="1">
      <c r="I148" s="38">
        <v>148.0</v>
      </c>
      <c r="J148" s="38" t="str">
        <f t="shared" si="3"/>
        <v>148</v>
      </c>
      <c r="Z148" s="52">
        <v>45795.74465277778</v>
      </c>
      <c r="AA148" s="50">
        <v>45801.0</v>
      </c>
      <c r="AB148" s="51">
        <v>0.7446527777777778</v>
      </c>
      <c r="AC148" s="38" t="str">
        <f t="shared" si="6"/>
        <v>05/24/2025 17:52:18</v>
      </c>
    </row>
    <row r="149" ht="15.75" customHeight="1">
      <c r="I149" s="38">
        <v>149.0</v>
      </c>
      <c r="J149" s="38" t="str">
        <f t="shared" si="3"/>
        <v>149</v>
      </c>
      <c r="Z149" s="52">
        <v>45795.74465277778</v>
      </c>
      <c r="AA149" s="50">
        <v>45801.0</v>
      </c>
      <c r="AB149" s="51">
        <v>0.7446527777777778</v>
      </c>
      <c r="AC149" s="38" t="str">
        <f t="shared" si="6"/>
        <v>05/24/2025 17:52:18</v>
      </c>
    </row>
    <row r="150" ht="15.75" customHeight="1">
      <c r="I150" s="38">
        <v>150.0</v>
      </c>
      <c r="J150" s="38" t="str">
        <f t="shared" si="3"/>
        <v>150</v>
      </c>
      <c r="Z150" s="52">
        <v>45795.74465277778</v>
      </c>
      <c r="AA150" s="50">
        <v>45801.0</v>
      </c>
      <c r="AB150" s="51">
        <v>0.7446527777777778</v>
      </c>
      <c r="AC150" s="38" t="str">
        <f t="shared" si="6"/>
        <v>05/24/2025 17:52:18</v>
      </c>
    </row>
    <row r="151" ht="15.75" customHeight="1">
      <c r="I151" s="38">
        <v>151.0</v>
      </c>
      <c r="J151" s="38" t="str">
        <f t="shared" si="3"/>
        <v>151</v>
      </c>
    </row>
    <row r="152" ht="15.75" customHeight="1">
      <c r="I152" s="38">
        <v>152.0</v>
      </c>
      <c r="J152" s="38" t="str">
        <f t="shared" si="3"/>
        <v>152</v>
      </c>
    </row>
    <row r="153" ht="15.75" customHeight="1">
      <c r="I153" s="38">
        <v>153.0</v>
      </c>
      <c r="J153" s="38" t="str">
        <f t="shared" si="3"/>
        <v>153</v>
      </c>
    </row>
    <row r="154" ht="15.75" customHeight="1">
      <c r="I154" s="38">
        <v>154.0</v>
      </c>
      <c r="J154" s="38" t="str">
        <f t="shared" si="3"/>
        <v>154</v>
      </c>
    </row>
    <row r="155" ht="15.75" customHeight="1">
      <c r="I155" s="38">
        <v>155.0</v>
      </c>
      <c r="J155" s="38" t="str">
        <f t="shared" si="3"/>
        <v>155</v>
      </c>
    </row>
    <row r="156" ht="15.75" customHeight="1">
      <c r="I156" s="38">
        <v>156.0</v>
      </c>
      <c r="J156" s="38" t="str">
        <f t="shared" si="3"/>
        <v>156</v>
      </c>
    </row>
    <row r="157" ht="15.75" customHeight="1">
      <c r="I157" s="38">
        <v>157.0</v>
      </c>
      <c r="J157" s="38" t="str">
        <f t="shared" si="3"/>
        <v>157</v>
      </c>
    </row>
    <row r="158" ht="15.75" customHeight="1">
      <c r="I158" s="38">
        <v>158.0</v>
      </c>
      <c r="J158" s="38" t="str">
        <f t="shared" si="3"/>
        <v>158</v>
      </c>
    </row>
    <row r="159" ht="15.75" customHeight="1">
      <c r="I159" s="38">
        <v>159.0</v>
      </c>
      <c r="J159" s="38" t="str">
        <f t="shared" si="3"/>
        <v>159</v>
      </c>
    </row>
    <row r="160" ht="15.75" customHeight="1">
      <c r="I160" s="38">
        <v>160.0</v>
      </c>
      <c r="J160" s="38" t="str">
        <f t="shared" si="3"/>
        <v>160</v>
      </c>
    </row>
    <row r="161" ht="15.75" customHeight="1">
      <c r="I161" s="38">
        <v>161.0</v>
      </c>
      <c r="J161" s="38" t="str">
        <f t="shared" si="3"/>
        <v>161</v>
      </c>
    </row>
    <row r="162" ht="15.75" customHeight="1">
      <c r="I162" s="38">
        <v>162.0</v>
      </c>
      <c r="J162" s="38" t="str">
        <f t="shared" si="3"/>
        <v>162</v>
      </c>
    </row>
    <row r="163" ht="15.75" customHeight="1">
      <c r="I163" s="38">
        <v>163.0</v>
      </c>
      <c r="J163" s="38" t="str">
        <f t="shared" si="3"/>
        <v>163</v>
      </c>
    </row>
    <row r="164" ht="15.75" customHeight="1">
      <c r="I164" s="38">
        <v>164.0</v>
      </c>
      <c r="J164" s="38" t="str">
        <f t="shared" si="3"/>
        <v>164</v>
      </c>
    </row>
    <row r="165" ht="15.75" customHeight="1">
      <c r="I165" s="38">
        <v>165.0</v>
      </c>
      <c r="J165" s="38" t="str">
        <f t="shared" si="3"/>
        <v>165</v>
      </c>
    </row>
    <row r="166" ht="15.75" customHeight="1">
      <c r="I166" s="38">
        <v>166.0</v>
      </c>
      <c r="J166" s="38" t="str">
        <f t="shared" si="3"/>
        <v>166</v>
      </c>
    </row>
    <row r="167" ht="15.75" customHeight="1">
      <c r="I167" s="38">
        <v>167.0</v>
      </c>
      <c r="J167" s="38" t="str">
        <f t="shared" si="3"/>
        <v>167</v>
      </c>
    </row>
    <row r="168" ht="15.75" customHeight="1">
      <c r="I168" s="38">
        <v>168.0</v>
      </c>
      <c r="J168" s="38" t="str">
        <f t="shared" si="3"/>
        <v>168</v>
      </c>
    </row>
    <row r="169" ht="15.75" customHeight="1">
      <c r="I169" s="38">
        <v>169.0</v>
      </c>
      <c r="J169" s="38" t="str">
        <f t="shared" si="3"/>
        <v>169</v>
      </c>
    </row>
    <row r="170" ht="15.75" customHeight="1">
      <c r="I170" s="38">
        <v>170.0</v>
      </c>
      <c r="J170" s="38" t="str">
        <f t="shared" si="3"/>
        <v>170</v>
      </c>
    </row>
    <row r="171" ht="15.75" customHeight="1">
      <c r="I171" s="38">
        <v>171.0</v>
      </c>
      <c r="J171" s="38" t="str">
        <f t="shared" si="3"/>
        <v>171</v>
      </c>
    </row>
    <row r="172" ht="15.75" customHeight="1">
      <c r="I172" s="38">
        <v>172.0</v>
      </c>
      <c r="J172" s="38" t="str">
        <f t="shared" si="3"/>
        <v>172</v>
      </c>
    </row>
    <row r="173" ht="15.75" customHeight="1">
      <c r="I173" s="38">
        <v>173.0</v>
      </c>
      <c r="J173" s="38" t="str">
        <f t="shared" si="3"/>
        <v>173</v>
      </c>
    </row>
    <row r="174" ht="15.75" customHeight="1">
      <c r="I174" s="38">
        <v>174.0</v>
      </c>
      <c r="J174" s="38" t="str">
        <f t="shared" si="3"/>
        <v>174</v>
      </c>
    </row>
    <row r="175" ht="15.75" customHeight="1">
      <c r="I175" s="38">
        <v>175.0</v>
      </c>
      <c r="J175" s="38" t="str">
        <f t="shared" si="3"/>
        <v>175</v>
      </c>
    </row>
    <row r="176" ht="15.75" customHeight="1">
      <c r="I176" s="38">
        <v>176.0</v>
      </c>
      <c r="J176" s="38" t="str">
        <f t="shared" si="3"/>
        <v>176</v>
      </c>
    </row>
    <row r="177" ht="15.75" customHeight="1">
      <c r="I177" s="38">
        <v>177.0</v>
      </c>
      <c r="J177" s="38" t="str">
        <f t="shared" si="3"/>
        <v>177</v>
      </c>
    </row>
    <row r="178" ht="15.75" customHeight="1">
      <c r="I178" s="38">
        <v>178.0</v>
      </c>
      <c r="J178" s="38" t="str">
        <f t="shared" si="3"/>
        <v>178</v>
      </c>
    </row>
    <row r="179" ht="15.75" customHeight="1">
      <c r="I179" s="38">
        <v>179.0</v>
      </c>
      <c r="J179" s="38" t="str">
        <f t="shared" si="3"/>
        <v>179</v>
      </c>
    </row>
    <row r="180" ht="15.75" customHeight="1">
      <c r="I180" s="38">
        <v>180.0</v>
      </c>
      <c r="J180" s="38" t="str">
        <f t="shared" si="3"/>
        <v>180</v>
      </c>
    </row>
    <row r="181" ht="15.75" customHeight="1">
      <c r="I181" s="38">
        <v>181.0</v>
      </c>
      <c r="J181" s="38" t="str">
        <f t="shared" si="3"/>
        <v>181</v>
      </c>
    </row>
    <row r="182" ht="15.75" customHeight="1">
      <c r="I182" s="38">
        <v>182.0</v>
      </c>
      <c r="J182" s="38" t="str">
        <f t="shared" si="3"/>
        <v>182</v>
      </c>
    </row>
    <row r="183" ht="15.75" customHeight="1">
      <c r="I183" s="38">
        <v>183.0</v>
      </c>
      <c r="J183" s="38" t="str">
        <f t="shared" si="3"/>
        <v>183</v>
      </c>
    </row>
    <row r="184" ht="15.75" customHeight="1">
      <c r="I184" s="38">
        <v>184.0</v>
      </c>
      <c r="J184" s="38" t="str">
        <f t="shared" si="3"/>
        <v>184</v>
      </c>
    </row>
    <row r="185" ht="15.75" customHeight="1">
      <c r="I185" s="38">
        <v>185.0</v>
      </c>
      <c r="J185" s="38" t="str">
        <f t="shared" si="3"/>
        <v>185</v>
      </c>
    </row>
    <row r="186" ht="15.75" customHeight="1">
      <c r="I186" s="38">
        <v>186.0</v>
      </c>
      <c r="J186" s="38" t="str">
        <f t="shared" si="3"/>
        <v>186</v>
      </c>
    </row>
    <row r="187" ht="15.75" customHeight="1">
      <c r="I187" s="38">
        <v>187.0</v>
      </c>
      <c r="J187" s="38" t="str">
        <f t="shared" si="3"/>
        <v>187</v>
      </c>
    </row>
    <row r="188" ht="15.75" customHeight="1">
      <c r="I188" s="38">
        <v>188.0</v>
      </c>
      <c r="J188" s="38" t="str">
        <f t="shared" si="3"/>
        <v>188</v>
      </c>
    </row>
    <row r="189" ht="15.75" customHeight="1">
      <c r="I189" s="38">
        <v>189.0</v>
      </c>
      <c r="J189" s="38" t="str">
        <f t="shared" si="3"/>
        <v>189</v>
      </c>
    </row>
    <row r="190" ht="15.75" customHeight="1">
      <c r="I190" s="38">
        <v>190.0</v>
      </c>
      <c r="J190" s="38" t="str">
        <f t="shared" si="3"/>
        <v>190</v>
      </c>
    </row>
    <row r="191" ht="15.75" customHeight="1">
      <c r="I191" s="38">
        <v>191.0</v>
      </c>
      <c r="J191" s="38" t="str">
        <f t="shared" si="3"/>
        <v>191</v>
      </c>
    </row>
    <row r="192" ht="15.75" customHeight="1">
      <c r="I192" s="38">
        <v>192.0</v>
      </c>
      <c r="J192" s="38" t="str">
        <f t="shared" si="3"/>
        <v>192</v>
      </c>
    </row>
    <row r="193" ht="15.75" customHeight="1">
      <c r="I193" s="38">
        <v>193.0</v>
      </c>
      <c r="J193" s="38" t="str">
        <f t="shared" si="3"/>
        <v>193</v>
      </c>
    </row>
    <row r="194" ht="15.75" customHeight="1">
      <c r="I194" s="38">
        <v>194.0</v>
      </c>
      <c r="J194" s="38" t="str">
        <f t="shared" si="3"/>
        <v>194</v>
      </c>
    </row>
    <row r="195" ht="15.75" customHeight="1">
      <c r="I195" s="38">
        <v>195.0</v>
      </c>
      <c r="J195" s="38" t="str">
        <f t="shared" si="3"/>
        <v>195</v>
      </c>
    </row>
    <row r="196" ht="15.75" customHeight="1">
      <c r="I196" s="38">
        <v>196.0</v>
      </c>
      <c r="J196" s="38" t="str">
        <f t="shared" si="3"/>
        <v>196</v>
      </c>
    </row>
    <row r="197" ht="15.75" customHeight="1">
      <c r="I197" s="38">
        <v>197.0</v>
      </c>
      <c r="J197" s="38" t="str">
        <f t="shared" si="3"/>
        <v>197</v>
      </c>
    </row>
    <row r="198" ht="15.75" customHeight="1">
      <c r="I198" s="38">
        <v>198.0</v>
      </c>
      <c r="J198" s="38" t="str">
        <f t="shared" si="3"/>
        <v>198</v>
      </c>
    </row>
    <row r="199" ht="15.75" customHeight="1">
      <c r="I199" s="38">
        <v>199.0</v>
      </c>
      <c r="J199" s="38" t="str">
        <f t="shared" si="3"/>
        <v>199</v>
      </c>
    </row>
    <row r="200" ht="15.75" customHeight="1">
      <c r="I200" s="38">
        <v>200.0</v>
      </c>
      <c r="J200" s="38" t="str">
        <f t="shared" si="3"/>
        <v>200</v>
      </c>
    </row>
    <row r="201" ht="15.75" customHeight="1">
      <c r="H201" s="47" t="s">
        <v>1547</v>
      </c>
      <c r="I201" s="38">
        <v>201.0</v>
      </c>
      <c r="J201" s="38" t="str">
        <f t="shared" si="3"/>
        <v>T201</v>
      </c>
    </row>
    <row r="202" ht="15.75" customHeight="1">
      <c r="H202" s="47" t="s">
        <v>1547</v>
      </c>
      <c r="I202" s="38">
        <v>202.0</v>
      </c>
      <c r="J202" s="38" t="str">
        <f t="shared" si="3"/>
        <v>T202</v>
      </c>
    </row>
    <row r="203" ht="15.75" customHeight="1">
      <c r="H203" s="47" t="s">
        <v>1547</v>
      </c>
      <c r="I203" s="38">
        <v>203.0</v>
      </c>
      <c r="J203" s="38" t="str">
        <f t="shared" si="3"/>
        <v>T203</v>
      </c>
    </row>
    <row r="204" ht="15.75" customHeight="1">
      <c r="H204" s="47" t="s">
        <v>1547</v>
      </c>
      <c r="I204" s="38">
        <v>204.0</v>
      </c>
      <c r="J204" s="38" t="str">
        <f t="shared" si="3"/>
        <v>T204</v>
      </c>
    </row>
    <row r="205" ht="15.75" customHeight="1">
      <c r="H205" s="47" t="s">
        <v>1547</v>
      </c>
      <c r="I205" s="38">
        <v>205.0</v>
      </c>
      <c r="J205" s="38" t="str">
        <f t="shared" si="3"/>
        <v>T205</v>
      </c>
    </row>
    <row r="206" ht="15.75" customHeight="1">
      <c r="H206" s="47" t="s">
        <v>1547</v>
      </c>
      <c r="I206" s="38">
        <v>206.0</v>
      </c>
      <c r="J206" s="38" t="str">
        <f t="shared" si="3"/>
        <v>T206</v>
      </c>
    </row>
    <row r="207" ht="15.75" customHeight="1">
      <c r="H207" s="47" t="s">
        <v>1547</v>
      </c>
      <c r="I207" s="38">
        <v>207.0</v>
      </c>
      <c r="J207" s="38" t="str">
        <f t="shared" si="3"/>
        <v>T207</v>
      </c>
    </row>
    <row r="208" ht="15.75" customHeight="1">
      <c r="H208" s="47" t="s">
        <v>1547</v>
      </c>
      <c r="I208" s="38">
        <v>208.0</v>
      </c>
      <c r="J208" s="38" t="str">
        <f t="shared" si="3"/>
        <v>T208</v>
      </c>
    </row>
    <row r="209" ht="15.75" customHeight="1">
      <c r="H209" s="47" t="s">
        <v>1547</v>
      </c>
      <c r="I209" s="38">
        <v>209.0</v>
      </c>
      <c r="J209" s="38" t="str">
        <f t="shared" si="3"/>
        <v>T209</v>
      </c>
    </row>
    <row r="210" ht="15.75" customHeight="1">
      <c r="H210" s="47" t="s">
        <v>1547</v>
      </c>
      <c r="I210" s="38">
        <v>210.0</v>
      </c>
      <c r="J210" s="38" t="str">
        <f t="shared" si="3"/>
        <v>T210</v>
      </c>
    </row>
    <row r="211" ht="15.75" customHeight="1">
      <c r="H211" s="47" t="s">
        <v>1547</v>
      </c>
      <c r="I211" s="38">
        <v>211.0</v>
      </c>
      <c r="J211" s="38" t="str">
        <f t="shared" si="3"/>
        <v>T211</v>
      </c>
    </row>
    <row r="212" ht="15.75" customHeight="1">
      <c r="H212" s="47" t="s">
        <v>1547</v>
      </c>
      <c r="I212" s="38">
        <v>212.0</v>
      </c>
      <c r="J212" s="38" t="str">
        <f t="shared" si="3"/>
        <v>T212</v>
      </c>
    </row>
    <row r="213" ht="15.75" customHeight="1">
      <c r="H213" s="47" t="s">
        <v>1547</v>
      </c>
      <c r="I213" s="38">
        <v>213.0</v>
      </c>
      <c r="J213" s="38" t="str">
        <f t="shared" si="3"/>
        <v>T213</v>
      </c>
    </row>
    <row r="214" ht="15.75" customHeight="1">
      <c r="H214" s="47" t="s">
        <v>1547</v>
      </c>
      <c r="I214" s="38">
        <v>214.0</v>
      </c>
      <c r="J214" s="38" t="str">
        <f t="shared" si="3"/>
        <v>T214</v>
      </c>
    </row>
    <row r="215" ht="15.75" customHeight="1">
      <c r="H215" s="47" t="s">
        <v>1547</v>
      </c>
      <c r="I215" s="38">
        <v>215.0</v>
      </c>
      <c r="J215" s="38" t="str">
        <f t="shared" si="3"/>
        <v>T215</v>
      </c>
    </row>
    <row r="216" ht="15.75" customHeight="1">
      <c r="H216" s="47" t="s">
        <v>1547</v>
      </c>
      <c r="I216" s="38">
        <v>216.0</v>
      </c>
      <c r="J216" s="38" t="str">
        <f t="shared" si="3"/>
        <v>T216</v>
      </c>
    </row>
    <row r="217" ht="15.75" customHeight="1">
      <c r="H217" s="47" t="s">
        <v>1547</v>
      </c>
      <c r="I217" s="38">
        <v>217.0</v>
      </c>
      <c r="J217" s="38" t="str">
        <f t="shared" si="3"/>
        <v>T217</v>
      </c>
    </row>
    <row r="218" ht="15.75" customHeight="1">
      <c r="H218" s="47" t="s">
        <v>1547</v>
      </c>
      <c r="I218" s="38">
        <v>218.0</v>
      </c>
      <c r="J218" s="38" t="str">
        <f t="shared" si="3"/>
        <v>T218</v>
      </c>
    </row>
    <row r="219" ht="15.75" customHeight="1">
      <c r="H219" s="47" t="s">
        <v>1547</v>
      </c>
      <c r="I219" s="38">
        <v>219.0</v>
      </c>
      <c r="J219" s="38" t="str">
        <f t="shared" si="3"/>
        <v>T219</v>
      </c>
    </row>
    <row r="220" ht="15.75" customHeight="1">
      <c r="H220" s="47" t="s">
        <v>1547</v>
      </c>
      <c r="I220" s="38">
        <v>220.0</v>
      </c>
      <c r="J220" s="38" t="str">
        <f t="shared" si="3"/>
        <v>T220</v>
      </c>
    </row>
    <row r="221" ht="15.75" customHeight="1">
      <c r="H221" s="47" t="s">
        <v>1547</v>
      </c>
      <c r="I221" s="38">
        <v>221.0</v>
      </c>
      <c r="J221" s="38" t="str">
        <f t="shared" si="3"/>
        <v>T221</v>
      </c>
    </row>
    <row r="222" ht="15.75" customHeight="1">
      <c r="H222" s="47" t="s">
        <v>1547</v>
      </c>
      <c r="I222" s="38">
        <v>222.0</v>
      </c>
      <c r="J222" s="38" t="str">
        <f t="shared" si="3"/>
        <v>T222</v>
      </c>
    </row>
    <row r="223" ht="15.75" customHeight="1">
      <c r="H223" s="47" t="s">
        <v>1547</v>
      </c>
      <c r="I223" s="38">
        <v>223.0</v>
      </c>
      <c r="J223" s="38" t="str">
        <f t="shared" si="3"/>
        <v>T223</v>
      </c>
    </row>
    <row r="224" ht="15.75" customHeight="1">
      <c r="H224" s="47" t="s">
        <v>1547</v>
      </c>
      <c r="I224" s="38">
        <v>224.0</v>
      </c>
      <c r="J224" s="38" t="str">
        <f t="shared" si="3"/>
        <v>T224</v>
      </c>
    </row>
    <row r="225" ht="15.75" customHeight="1">
      <c r="H225" s="47" t="s">
        <v>1547</v>
      </c>
      <c r="I225" s="38">
        <v>225.0</v>
      </c>
      <c r="J225" s="38" t="str">
        <f t="shared" si="3"/>
        <v>T225</v>
      </c>
    </row>
    <row r="226" ht="15.75" customHeight="1">
      <c r="H226" s="47" t="s">
        <v>1547</v>
      </c>
      <c r="I226" s="38">
        <v>226.0</v>
      </c>
      <c r="J226" s="38" t="str">
        <f t="shared" si="3"/>
        <v>T226</v>
      </c>
    </row>
    <row r="227" ht="15.75" customHeight="1">
      <c r="H227" s="47" t="s">
        <v>1547</v>
      </c>
      <c r="I227" s="38">
        <v>227.0</v>
      </c>
      <c r="J227" s="38" t="str">
        <f t="shared" si="3"/>
        <v>T227</v>
      </c>
    </row>
    <row r="228" ht="15.75" customHeight="1">
      <c r="H228" s="47" t="s">
        <v>1547</v>
      </c>
      <c r="I228" s="38">
        <v>228.0</v>
      </c>
      <c r="J228" s="38" t="str">
        <f t="shared" si="3"/>
        <v>T228</v>
      </c>
    </row>
    <row r="229" ht="15.75" customHeight="1">
      <c r="H229" s="47" t="s">
        <v>1547</v>
      </c>
      <c r="I229" s="38">
        <v>229.0</v>
      </c>
      <c r="J229" s="38" t="str">
        <f t="shared" si="3"/>
        <v>T229</v>
      </c>
    </row>
    <row r="230" ht="15.75" customHeight="1">
      <c r="H230" s="47" t="s">
        <v>1547</v>
      </c>
      <c r="I230" s="38">
        <v>230.0</v>
      </c>
      <c r="J230" s="38" t="str">
        <f t="shared" si="3"/>
        <v>T230</v>
      </c>
    </row>
    <row r="231" ht="15.75" customHeight="1">
      <c r="H231" s="47" t="s">
        <v>1547</v>
      </c>
      <c r="I231" s="38">
        <v>231.0</v>
      </c>
      <c r="J231" s="38" t="str">
        <f t="shared" si="3"/>
        <v>T231</v>
      </c>
    </row>
    <row r="232" ht="15.75" customHeight="1">
      <c r="H232" s="47" t="s">
        <v>1547</v>
      </c>
      <c r="I232" s="38">
        <v>232.0</v>
      </c>
      <c r="J232" s="38" t="str">
        <f t="shared" si="3"/>
        <v>T232</v>
      </c>
    </row>
    <row r="233" ht="15.75" customHeight="1">
      <c r="H233" s="47" t="s">
        <v>1547</v>
      </c>
      <c r="I233" s="38">
        <v>233.0</v>
      </c>
      <c r="J233" s="38" t="str">
        <f t="shared" si="3"/>
        <v>T233</v>
      </c>
    </row>
    <row r="234" ht="15.75" customHeight="1">
      <c r="H234" s="47" t="s">
        <v>1547</v>
      </c>
      <c r="I234" s="38">
        <v>234.0</v>
      </c>
      <c r="J234" s="38" t="str">
        <f t="shared" si="3"/>
        <v>T234</v>
      </c>
    </row>
    <row r="235" ht="15.75" customHeight="1">
      <c r="H235" s="47" t="s">
        <v>1547</v>
      </c>
      <c r="I235" s="38">
        <v>235.0</v>
      </c>
      <c r="J235" s="38" t="str">
        <f t="shared" si="3"/>
        <v>T235</v>
      </c>
    </row>
    <row r="236" ht="15.75" customHeight="1">
      <c r="H236" s="47" t="s">
        <v>1547</v>
      </c>
      <c r="I236" s="38">
        <v>236.0</v>
      </c>
      <c r="J236" s="38" t="str">
        <f t="shared" si="3"/>
        <v>T236</v>
      </c>
    </row>
    <row r="237" ht="15.75" customHeight="1">
      <c r="H237" s="47" t="s">
        <v>1547</v>
      </c>
      <c r="I237" s="38">
        <v>237.0</v>
      </c>
      <c r="J237" s="38" t="str">
        <f t="shared" si="3"/>
        <v>T237</v>
      </c>
    </row>
    <row r="238" ht="15.75" customHeight="1">
      <c r="H238" s="47" t="s">
        <v>1547</v>
      </c>
      <c r="I238" s="38">
        <v>238.0</v>
      </c>
      <c r="J238" s="38" t="str">
        <f t="shared" si="3"/>
        <v>T238</v>
      </c>
    </row>
    <row r="239" ht="15.75" customHeight="1">
      <c r="H239" s="47" t="s">
        <v>1547</v>
      </c>
      <c r="I239" s="38">
        <v>239.0</v>
      </c>
      <c r="J239" s="38" t="str">
        <f t="shared" si="3"/>
        <v>T239</v>
      </c>
    </row>
    <row r="240" ht="15.75" customHeight="1">
      <c r="H240" s="47" t="s">
        <v>1547</v>
      </c>
      <c r="I240" s="38">
        <v>240.0</v>
      </c>
      <c r="J240" s="38" t="str">
        <f t="shared" si="3"/>
        <v>T240</v>
      </c>
    </row>
    <row r="241" ht="15.75" customHeight="1">
      <c r="H241" s="47" t="s">
        <v>1547</v>
      </c>
      <c r="I241" s="38">
        <v>241.0</v>
      </c>
      <c r="J241" s="38" t="str">
        <f t="shared" si="3"/>
        <v>T241</v>
      </c>
    </row>
    <row r="242" ht="15.75" customHeight="1">
      <c r="H242" s="47" t="s">
        <v>1547</v>
      </c>
      <c r="I242" s="38">
        <v>242.0</v>
      </c>
      <c r="J242" s="38" t="str">
        <f t="shared" si="3"/>
        <v>T242</v>
      </c>
    </row>
    <row r="243" ht="15.75" customHeight="1">
      <c r="H243" s="47" t="s">
        <v>1547</v>
      </c>
      <c r="I243" s="38">
        <v>243.0</v>
      </c>
      <c r="J243" s="38" t="str">
        <f t="shared" si="3"/>
        <v>T243</v>
      </c>
    </row>
    <row r="244" ht="15.75" customHeight="1">
      <c r="H244" s="47" t="s">
        <v>1547</v>
      </c>
      <c r="I244" s="38">
        <v>244.0</v>
      </c>
      <c r="J244" s="38" t="str">
        <f t="shared" si="3"/>
        <v>T244</v>
      </c>
    </row>
    <row r="245" ht="15.75" customHeight="1">
      <c r="H245" s="47" t="s">
        <v>1547</v>
      </c>
      <c r="I245" s="38">
        <v>245.0</v>
      </c>
      <c r="J245" s="38" t="str">
        <f t="shared" si="3"/>
        <v>T245</v>
      </c>
    </row>
    <row r="246" ht="15.75" customHeight="1">
      <c r="H246" s="47" t="s">
        <v>1547</v>
      </c>
      <c r="I246" s="38">
        <v>246.0</v>
      </c>
      <c r="J246" s="38" t="str">
        <f t="shared" si="3"/>
        <v>T246</v>
      </c>
    </row>
    <row r="247" ht="15.75" customHeight="1">
      <c r="H247" s="47" t="s">
        <v>1547</v>
      </c>
      <c r="I247" s="38">
        <v>247.0</v>
      </c>
      <c r="J247" s="38" t="str">
        <f t="shared" si="3"/>
        <v>T247</v>
      </c>
    </row>
    <row r="248" ht="15.75" customHeight="1">
      <c r="H248" s="47" t="s">
        <v>1547</v>
      </c>
      <c r="I248" s="38">
        <v>248.0</v>
      </c>
      <c r="J248" s="38" t="str">
        <f t="shared" si="3"/>
        <v>T248</v>
      </c>
    </row>
    <row r="249" ht="15.75" customHeight="1">
      <c r="H249" s="47" t="s">
        <v>1547</v>
      </c>
      <c r="I249" s="38">
        <v>249.0</v>
      </c>
      <c r="J249" s="38" t="str">
        <f t="shared" si="3"/>
        <v>T249</v>
      </c>
    </row>
    <row r="250" ht="15.75" customHeight="1">
      <c r="H250" s="47" t="s">
        <v>1547</v>
      </c>
      <c r="I250" s="38">
        <v>250.0</v>
      </c>
      <c r="J250" s="38" t="str">
        <f t="shared" si="3"/>
        <v>T250</v>
      </c>
    </row>
    <row r="251" ht="15.75" customHeight="1">
      <c r="H251" s="47" t="s">
        <v>1547</v>
      </c>
      <c r="I251" s="38">
        <v>251.0</v>
      </c>
      <c r="J251" s="38" t="str">
        <f t="shared" si="3"/>
        <v>T251</v>
      </c>
    </row>
    <row r="252" ht="15.75" customHeight="1">
      <c r="H252" s="47" t="s">
        <v>1547</v>
      </c>
      <c r="I252" s="38">
        <v>252.0</v>
      </c>
      <c r="J252" s="38" t="str">
        <f t="shared" si="3"/>
        <v>T252</v>
      </c>
    </row>
    <row r="253" ht="15.75" customHeight="1">
      <c r="H253" s="47" t="s">
        <v>1547</v>
      </c>
      <c r="I253" s="38">
        <v>253.0</v>
      </c>
      <c r="J253" s="38" t="str">
        <f t="shared" si="3"/>
        <v>T253</v>
      </c>
    </row>
    <row r="254" ht="15.75" customHeight="1">
      <c r="H254" s="47" t="s">
        <v>1547</v>
      </c>
      <c r="I254" s="38">
        <v>254.0</v>
      </c>
      <c r="J254" s="38" t="str">
        <f t="shared" si="3"/>
        <v>T254</v>
      </c>
    </row>
    <row r="255" ht="15.75" customHeight="1">
      <c r="H255" s="47" t="s">
        <v>1547</v>
      </c>
      <c r="I255" s="38">
        <v>255.0</v>
      </c>
      <c r="J255" s="38" t="str">
        <f t="shared" si="3"/>
        <v>T255</v>
      </c>
    </row>
    <row r="256" ht="15.75" customHeight="1">
      <c r="H256" s="47" t="s">
        <v>1547</v>
      </c>
      <c r="I256" s="38">
        <v>256.0</v>
      </c>
      <c r="J256" s="38" t="str">
        <f t="shared" si="3"/>
        <v>T256</v>
      </c>
    </row>
    <row r="257" ht="15.75" customHeight="1">
      <c r="H257" s="47" t="s">
        <v>1547</v>
      </c>
      <c r="I257" s="38">
        <v>257.0</v>
      </c>
      <c r="J257" s="38" t="str">
        <f t="shared" si="3"/>
        <v>T257</v>
      </c>
    </row>
    <row r="258" ht="15.75" customHeight="1">
      <c r="H258" s="47" t="s">
        <v>1547</v>
      </c>
      <c r="I258" s="38">
        <v>258.0</v>
      </c>
      <c r="J258" s="38" t="str">
        <f t="shared" si="3"/>
        <v>T258</v>
      </c>
    </row>
    <row r="259" ht="15.75" customHeight="1">
      <c r="H259" s="47" t="s">
        <v>1547</v>
      </c>
      <c r="I259" s="38">
        <v>259.0</v>
      </c>
      <c r="J259" s="38" t="str">
        <f t="shared" si="3"/>
        <v>T259</v>
      </c>
    </row>
    <row r="260" ht="15.75" customHeight="1">
      <c r="H260" s="47" t="s">
        <v>1547</v>
      </c>
      <c r="I260" s="38">
        <v>260.0</v>
      </c>
      <c r="J260" s="38" t="str">
        <f t="shared" si="3"/>
        <v>T260</v>
      </c>
    </row>
    <row r="261" ht="15.75" customHeight="1">
      <c r="H261" s="47" t="s">
        <v>1547</v>
      </c>
      <c r="I261" s="38">
        <v>261.0</v>
      </c>
      <c r="J261" s="38" t="str">
        <f t="shared" si="3"/>
        <v>T261</v>
      </c>
    </row>
    <row r="262" ht="15.75" customHeight="1">
      <c r="H262" s="47" t="s">
        <v>1547</v>
      </c>
      <c r="I262" s="38">
        <v>262.0</v>
      </c>
      <c r="J262" s="38" t="str">
        <f t="shared" si="3"/>
        <v>T262</v>
      </c>
    </row>
    <row r="263" ht="15.75" customHeight="1">
      <c r="H263" s="47" t="s">
        <v>1547</v>
      </c>
      <c r="I263" s="38">
        <v>263.0</v>
      </c>
      <c r="J263" s="38" t="str">
        <f t="shared" si="3"/>
        <v>T263</v>
      </c>
    </row>
    <row r="264" ht="15.75" customHeight="1">
      <c r="H264" s="47" t="s">
        <v>1547</v>
      </c>
      <c r="I264" s="38">
        <v>264.0</v>
      </c>
      <c r="J264" s="38" t="str">
        <f t="shared" si="3"/>
        <v>T264</v>
      </c>
    </row>
    <row r="265" ht="15.75" customHeight="1">
      <c r="H265" s="47" t="s">
        <v>1547</v>
      </c>
      <c r="I265" s="38">
        <v>265.0</v>
      </c>
      <c r="J265" s="38" t="str">
        <f t="shared" si="3"/>
        <v>T265</v>
      </c>
    </row>
    <row r="266" ht="15.75" customHeight="1">
      <c r="H266" s="47" t="s">
        <v>1547</v>
      </c>
      <c r="I266" s="38">
        <v>266.0</v>
      </c>
      <c r="J266" s="38" t="str">
        <f t="shared" si="3"/>
        <v>T266</v>
      </c>
    </row>
    <row r="267" ht="15.75" customHeight="1">
      <c r="H267" s="47" t="s">
        <v>1547</v>
      </c>
      <c r="I267" s="38">
        <v>267.0</v>
      </c>
      <c r="J267" s="38" t="str">
        <f t="shared" si="3"/>
        <v>T267</v>
      </c>
    </row>
    <row r="268" ht="15.75" customHeight="1">
      <c r="H268" s="47" t="s">
        <v>1547</v>
      </c>
      <c r="I268" s="38">
        <v>268.0</v>
      </c>
      <c r="J268" s="38" t="str">
        <f t="shared" si="3"/>
        <v>T268</v>
      </c>
    </row>
    <row r="269" ht="15.75" customHeight="1">
      <c r="H269" s="47" t="s">
        <v>1547</v>
      </c>
      <c r="I269" s="38">
        <v>269.0</v>
      </c>
      <c r="J269" s="38" t="str">
        <f t="shared" si="3"/>
        <v>T269</v>
      </c>
    </row>
    <row r="270" ht="15.75" customHeight="1">
      <c r="H270" s="47" t="s">
        <v>1547</v>
      </c>
      <c r="I270" s="38">
        <v>270.0</v>
      </c>
      <c r="J270" s="38" t="str">
        <f t="shared" si="3"/>
        <v>T270</v>
      </c>
    </row>
    <row r="271" ht="15.75" customHeight="1">
      <c r="H271" s="47" t="s">
        <v>1547</v>
      </c>
      <c r="I271" s="38">
        <v>271.0</v>
      </c>
      <c r="J271" s="38" t="str">
        <f t="shared" si="3"/>
        <v>T271</v>
      </c>
    </row>
    <row r="272" ht="15.75" customHeight="1">
      <c r="H272" s="47" t="s">
        <v>1547</v>
      </c>
      <c r="I272" s="38">
        <v>272.0</v>
      </c>
      <c r="J272" s="38" t="str">
        <f t="shared" si="3"/>
        <v>T272</v>
      </c>
    </row>
    <row r="273" ht="15.75" customHeight="1">
      <c r="H273" s="47" t="s">
        <v>1547</v>
      </c>
      <c r="I273" s="38">
        <v>273.0</v>
      </c>
      <c r="J273" s="38" t="str">
        <f t="shared" si="3"/>
        <v>T273</v>
      </c>
    </row>
    <row r="274" ht="15.75" customHeight="1">
      <c r="H274" s="47" t="s">
        <v>1547</v>
      </c>
      <c r="I274" s="38">
        <v>274.0</v>
      </c>
      <c r="J274" s="38" t="str">
        <f t="shared" si="3"/>
        <v>T274</v>
      </c>
    </row>
    <row r="275" ht="15.75" customHeight="1">
      <c r="H275" s="47" t="s">
        <v>1547</v>
      </c>
      <c r="I275" s="38">
        <v>275.0</v>
      </c>
      <c r="J275" s="38" t="str">
        <f t="shared" si="3"/>
        <v>T275</v>
      </c>
    </row>
    <row r="276" ht="15.75" customHeight="1">
      <c r="H276" s="47" t="s">
        <v>1547</v>
      </c>
      <c r="I276" s="38">
        <v>276.0</v>
      </c>
      <c r="J276" s="38" t="str">
        <f t="shared" si="3"/>
        <v>T276</v>
      </c>
    </row>
    <row r="277" ht="15.75" customHeight="1">
      <c r="H277" s="47" t="s">
        <v>1547</v>
      </c>
      <c r="I277" s="38">
        <v>277.0</v>
      </c>
      <c r="J277" s="38" t="str">
        <f t="shared" si="3"/>
        <v>T277</v>
      </c>
    </row>
    <row r="278" ht="15.75" customHeight="1">
      <c r="H278" s="47" t="s">
        <v>1547</v>
      </c>
      <c r="I278" s="38">
        <v>278.0</v>
      </c>
      <c r="J278" s="38" t="str">
        <f t="shared" si="3"/>
        <v>T278</v>
      </c>
    </row>
    <row r="279" ht="15.75" customHeight="1">
      <c r="H279" s="47" t="s">
        <v>1547</v>
      </c>
      <c r="I279" s="38">
        <v>279.0</v>
      </c>
      <c r="J279" s="38" t="str">
        <f t="shared" si="3"/>
        <v>T279</v>
      </c>
    </row>
    <row r="280" ht="15.75" customHeight="1">
      <c r="H280" s="47" t="s">
        <v>1547</v>
      </c>
      <c r="I280" s="38">
        <v>280.0</v>
      </c>
      <c r="J280" s="38" t="str">
        <f t="shared" si="3"/>
        <v>T280</v>
      </c>
    </row>
    <row r="281" ht="15.75" customHeight="1">
      <c r="H281" s="47" t="s">
        <v>1547</v>
      </c>
      <c r="I281" s="38">
        <v>281.0</v>
      </c>
      <c r="J281" s="38" t="str">
        <f t="shared" si="3"/>
        <v>T281</v>
      </c>
    </row>
    <row r="282" ht="15.75" customHeight="1">
      <c r="H282" s="47" t="s">
        <v>1547</v>
      </c>
      <c r="I282" s="38">
        <v>282.0</v>
      </c>
      <c r="J282" s="38" t="str">
        <f t="shared" si="3"/>
        <v>T282</v>
      </c>
    </row>
    <row r="283" ht="15.75" customHeight="1">
      <c r="H283" s="47" t="s">
        <v>1547</v>
      </c>
      <c r="I283" s="38">
        <v>283.0</v>
      </c>
      <c r="J283" s="38" t="str">
        <f t="shared" si="3"/>
        <v>T283</v>
      </c>
    </row>
    <row r="284" ht="15.75" customHeight="1">
      <c r="H284" s="47" t="s">
        <v>1547</v>
      </c>
      <c r="I284" s="38">
        <v>284.0</v>
      </c>
      <c r="J284" s="38" t="str">
        <f t="shared" si="3"/>
        <v>T284</v>
      </c>
    </row>
    <row r="285" ht="15.75" customHeight="1">
      <c r="H285" s="47" t="s">
        <v>1547</v>
      </c>
      <c r="I285" s="38">
        <v>285.0</v>
      </c>
      <c r="J285" s="38" t="str">
        <f t="shared" si="3"/>
        <v>T285</v>
      </c>
    </row>
    <row r="286" ht="15.75" customHeight="1">
      <c r="H286" s="47" t="s">
        <v>1547</v>
      </c>
      <c r="I286" s="38">
        <v>286.0</v>
      </c>
      <c r="J286" s="38" t="str">
        <f t="shared" si="3"/>
        <v>T286</v>
      </c>
    </row>
    <row r="287" ht="15.75" customHeight="1">
      <c r="H287" s="47" t="s">
        <v>1547</v>
      </c>
      <c r="I287" s="38">
        <v>287.0</v>
      </c>
      <c r="J287" s="38" t="str">
        <f t="shared" si="3"/>
        <v>T287</v>
      </c>
    </row>
    <row r="288" ht="15.75" customHeight="1">
      <c r="H288" s="47" t="s">
        <v>1547</v>
      </c>
      <c r="I288" s="38">
        <v>288.0</v>
      </c>
      <c r="J288" s="38" t="str">
        <f t="shared" si="3"/>
        <v>T288</v>
      </c>
    </row>
    <row r="289" ht="15.75" customHeight="1">
      <c r="H289" s="47" t="s">
        <v>1547</v>
      </c>
      <c r="I289" s="38">
        <v>289.0</v>
      </c>
      <c r="J289" s="38" t="str">
        <f t="shared" si="3"/>
        <v>T289</v>
      </c>
    </row>
    <row r="290" ht="15.75" customHeight="1">
      <c r="H290" s="47" t="s">
        <v>1547</v>
      </c>
      <c r="I290" s="38">
        <v>290.0</v>
      </c>
      <c r="J290" s="38" t="str">
        <f t="shared" si="3"/>
        <v>T290</v>
      </c>
    </row>
    <row r="291" ht="15.75" customHeight="1">
      <c r="H291" s="47" t="s">
        <v>1547</v>
      </c>
      <c r="I291" s="38">
        <v>291.0</v>
      </c>
      <c r="J291" s="38" t="str">
        <f t="shared" si="3"/>
        <v>T291</v>
      </c>
    </row>
    <row r="292" ht="15.75" customHeight="1">
      <c r="H292" s="47" t="s">
        <v>1547</v>
      </c>
      <c r="I292" s="38">
        <v>292.0</v>
      </c>
      <c r="J292" s="38" t="str">
        <f t="shared" si="3"/>
        <v>T292</v>
      </c>
    </row>
    <row r="293" ht="15.75" customHeight="1">
      <c r="H293" s="47" t="s">
        <v>1547</v>
      </c>
      <c r="I293" s="38">
        <v>293.0</v>
      </c>
      <c r="J293" s="38" t="str">
        <f t="shared" si="3"/>
        <v>T293</v>
      </c>
    </row>
    <row r="294" ht="15.75" customHeight="1">
      <c r="H294" s="47" t="s">
        <v>1547</v>
      </c>
      <c r="I294" s="38">
        <v>294.0</v>
      </c>
      <c r="J294" s="38" t="str">
        <f t="shared" si="3"/>
        <v>T294</v>
      </c>
    </row>
    <row r="295" ht="15.75" customHeight="1">
      <c r="H295" s="47" t="s">
        <v>1547</v>
      </c>
      <c r="I295" s="38">
        <v>295.0</v>
      </c>
      <c r="J295" s="38" t="str">
        <f t="shared" si="3"/>
        <v>T295</v>
      </c>
    </row>
    <row r="296" ht="15.75" customHeight="1">
      <c r="H296" s="47" t="s">
        <v>1547</v>
      </c>
      <c r="I296" s="38">
        <v>296.0</v>
      </c>
      <c r="J296" s="38" t="str">
        <f t="shared" si="3"/>
        <v>T296</v>
      </c>
    </row>
    <row r="297" ht="15.75" customHeight="1">
      <c r="H297" s="47" t="s">
        <v>1547</v>
      </c>
      <c r="I297" s="38">
        <v>297.0</v>
      </c>
      <c r="J297" s="38" t="str">
        <f t="shared" si="3"/>
        <v>T297</v>
      </c>
    </row>
    <row r="298" ht="15.75" customHeight="1">
      <c r="H298" s="47" t="s">
        <v>1547</v>
      </c>
      <c r="I298" s="38">
        <v>298.0</v>
      </c>
      <c r="J298" s="38" t="str">
        <f t="shared" si="3"/>
        <v>T298</v>
      </c>
    </row>
    <row r="299" ht="15.75" customHeight="1">
      <c r="H299" s="47" t="s">
        <v>1547</v>
      </c>
      <c r="I299" s="38">
        <v>299.0</v>
      </c>
      <c r="J299" s="38" t="str">
        <f t="shared" si="3"/>
        <v>T299</v>
      </c>
    </row>
    <row r="300" ht="15.75" customHeight="1">
      <c r="H300" s="47" t="s">
        <v>1547</v>
      </c>
      <c r="I300" s="38">
        <v>300.0</v>
      </c>
      <c r="J300" s="38" t="str">
        <f t="shared" si="3"/>
        <v>T300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