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Electricity Data" sheetId="2" r:id="rId5"/>
    <sheet state="visible" name="Heating Fuel Data" sheetId="3" r:id="rId6"/>
    <sheet state="visible" name="Solar Data" sheetId="4" r:id="rId7"/>
    <sheet state="visible" name="CO2 Emission Data" sheetId="5" r:id="rId8"/>
    <sheet state="visible" name="Cost Analysis - Electricity" sheetId="6" r:id="rId9"/>
    <sheet state="visible" name="Cost Analysis - Fuel" sheetId="7" r:id="rId10"/>
    <sheet state="visible" name="SCBA-Solar" sheetId="8" r:id="rId11"/>
    <sheet state="visible" name="Result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5">
      <text>
        <t xml:space="preserve">Compared with Maine Fuel Prices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Reference: Installation Cost https://poweroutage.us/solar/me#:~:text=For%20Maine%2C%20you%20can%20use%20%243.86%20per%20watt%20to%20determine%20the%20price%20of%20a%20larger%20system%20(system%20size%20x%20price%20per%20watt%20x%200.7%20to%20account%20for%20tax%20incentives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Focus was placed on Heating oil and Propane as they occupied more of the Town's heating fuel expenditure than Pellets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
</t>
      </text>
    </comment>
  </commentList>
</comments>
</file>

<file path=xl/sharedStrings.xml><?xml version="1.0" encoding="utf-8"?>
<sst xmlns="http://schemas.openxmlformats.org/spreadsheetml/2006/main" count="596" uniqueCount="347">
  <si>
    <t>Facilities Studied</t>
  </si>
  <si>
    <t xml:space="preserve"> Respective Departments</t>
  </si>
  <si>
    <t>Definition of Color Codes across Tabs</t>
  </si>
  <si>
    <t>Definition of Terms and Keywords</t>
  </si>
  <si>
    <t>Tabs</t>
  </si>
  <si>
    <t>Town Office</t>
  </si>
  <si>
    <t>Administration</t>
  </si>
  <si>
    <t>Facilities and Titles</t>
  </si>
  <si>
    <t>GHG</t>
  </si>
  <si>
    <t>Greenhouse Gas Emissions (CO2, NH3, N2O)</t>
  </si>
  <si>
    <t>Electricity Data</t>
  </si>
  <si>
    <t>Raw data about electricity expenditure year-on-year that were later used in the cost analysis tab</t>
  </si>
  <si>
    <t>Fire Station</t>
  </si>
  <si>
    <t>Fire</t>
  </si>
  <si>
    <t>Energy Consumption</t>
  </si>
  <si>
    <t>Social</t>
  </si>
  <si>
    <t>GHGs emission adjusted metrics based CO2 price and emission factor</t>
  </si>
  <si>
    <t>Heating Fuel Data Tab</t>
  </si>
  <si>
    <t>Raw data about heating fuel expenditure year-on-year that were used in the cost analysis tab</t>
  </si>
  <si>
    <t>Town Garrage</t>
  </si>
  <si>
    <t>Public Works</t>
  </si>
  <si>
    <t>Actual Expenditure on Energy</t>
  </si>
  <si>
    <t>kwh</t>
  </si>
  <si>
    <t>kilowatt hour of electrcity consumed</t>
  </si>
  <si>
    <t>Solar Data Tab</t>
  </si>
  <si>
    <t>Raw data about solar energy generation potential of facilities used in cost-benefit analysis tab</t>
  </si>
  <si>
    <t>Airport Terminal</t>
  </si>
  <si>
    <t>Airport</t>
  </si>
  <si>
    <t>Projected Expenditure on Energy</t>
  </si>
  <si>
    <t>MWh</t>
  </si>
  <si>
    <t>megawatt hour of electricity generated</t>
  </si>
  <si>
    <t>Results Tab</t>
  </si>
  <si>
    <t>Output of all analysis tabs</t>
  </si>
  <si>
    <t>Ambulance Barn</t>
  </si>
  <si>
    <t>Rescue</t>
  </si>
  <si>
    <t>Electricity or Fuel Price</t>
  </si>
  <si>
    <t>MT</t>
  </si>
  <si>
    <t>Metric tons of GHG emissions</t>
  </si>
  <si>
    <t>Treatment Plant</t>
  </si>
  <si>
    <t>Waste Treatment</t>
  </si>
  <si>
    <t>Electrcity Cost</t>
  </si>
  <si>
    <t>Gal</t>
  </si>
  <si>
    <t>Gallons of fuel consumed</t>
  </si>
  <si>
    <t>Solar Potential</t>
  </si>
  <si>
    <t>MMBtu</t>
  </si>
  <si>
    <t>Million Metric British Thermal Unit (Used for measuring thermal/heat capacity of energy generated/used)</t>
  </si>
  <si>
    <t>Actual Solar</t>
  </si>
  <si>
    <t>FY</t>
  </si>
  <si>
    <t>Fiscal Years (FY 2023 = 2022/23, FY 24 = 2023/24- base year, FY 25 = 2024/25)</t>
  </si>
  <si>
    <t>Post-rebate Cost of Solar</t>
  </si>
  <si>
    <t>CBA</t>
  </si>
  <si>
    <t>Cost-Benefit Analysis</t>
  </si>
  <si>
    <t>Discount rate and Carbon Price</t>
  </si>
  <si>
    <t>Cost Analysis</t>
  </si>
  <si>
    <t>A "Business as Usual" scenario analysis of expenditure of traditional energy options if that continues for the next 25 years</t>
  </si>
  <si>
    <t>GHG Emissions</t>
  </si>
  <si>
    <t>Planning Period</t>
  </si>
  <si>
    <t>Electricity</t>
  </si>
  <si>
    <t>FY 2023</t>
  </si>
  <si>
    <t>FY2024</t>
  </si>
  <si>
    <t>FY2025</t>
  </si>
  <si>
    <t>Facility</t>
  </si>
  <si>
    <t>Electricity Consumed in FY23 based on Allocated Fund (KWh)</t>
  </si>
  <si>
    <t>Actual Energy Spending (FY 23) ($)</t>
  </si>
  <si>
    <t>Electricity Consumed (KWh) in FY24 based on Allocated Fund</t>
  </si>
  <si>
    <t>Actual Energy Spending (FY 24) ($)</t>
  </si>
  <si>
    <t>Average Electricity Price (FY24)</t>
  </si>
  <si>
    <t>Allocated Energy Budget (FY 24) ($)</t>
  </si>
  <si>
    <t>Expected Electricity Consumed in FY25 based on Budgeted Fund (KWh)</t>
  </si>
  <si>
    <t>Allocated Energy Budget (FY 25) ($)</t>
  </si>
  <si>
    <t>Electricity Cost (FY24) ($)</t>
  </si>
  <si>
    <t xml:space="preserve">Total </t>
  </si>
  <si>
    <t>Electricity Consumption in FY</t>
  </si>
  <si>
    <t>FY23</t>
  </si>
  <si>
    <t>FY24</t>
  </si>
  <si>
    <t>FY25</t>
  </si>
  <si>
    <t>Prices of Electricity Trend</t>
  </si>
  <si>
    <t>Consumption (kWh)</t>
  </si>
  <si>
    <t>Fiscal Years</t>
  </si>
  <si>
    <t>Average Prices</t>
  </si>
  <si>
    <t>Average Price Change Rate</t>
  </si>
  <si>
    <t>Change in Consumption Growth (%)</t>
  </si>
  <si>
    <t>FY15</t>
  </si>
  <si>
    <t>Average Consumption (KWh) Growth Rate (%)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</si>
  <si>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</si>
  <si>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</si>
  <si>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</si>
  <si>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</si>
  <si>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</si>
  <si>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</si>
  <si>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</si>
  <si>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</si>
  <si>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</si>
  <si>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</si>
  <si>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</si>
  <si>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Heating</t>
  </si>
  <si>
    <t>Heating Fuel Use in FY23</t>
  </si>
  <si>
    <t>Heating Fuel Use in Base Year (FY24)</t>
  </si>
  <si>
    <t>Heating Fuel Use in FY25</t>
  </si>
  <si>
    <t>Heating Oil (Gallons)</t>
  </si>
  <si>
    <t>Price of Heating Oil ($)</t>
  </si>
  <si>
    <t>Propane (Gallons)</t>
  </si>
  <si>
    <t>Price of Propane ($)</t>
  </si>
  <si>
    <t>Expenditure on Heating Fuels (FY 23) ($)</t>
  </si>
  <si>
    <t>Expenditure on Heating Oil ($/Gallon)</t>
  </si>
  <si>
    <t>Expenditure on Propane ($/Gallon)</t>
  </si>
  <si>
    <t>Pellets (Tons)</t>
  </si>
  <si>
    <t>Price of Pellets ($/Ton)</t>
  </si>
  <si>
    <t>Expenditure on Pellets ($/Ton)</t>
  </si>
  <si>
    <t>Expenditure on Heating Fuels (FY 24) ($)</t>
  </si>
  <si>
    <t>Projected Expenditure on Heating Fuel (FY 24) ($)</t>
  </si>
  <si>
    <t>Projected Expenditure on Heating Fuels (FY 25) ($)</t>
  </si>
  <si>
    <t>Total</t>
  </si>
  <si>
    <t>Total Consumption Oil &amp; Propane in FY 24 (Gal)</t>
  </si>
  <si>
    <t>Total Cost Oil &amp; Propane in FY24 ($/Gallon)</t>
  </si>
  <si>
    <t>Fuel Consumption (Oil+Propane) in FY</t>
  </si>
  <si>
    <t>Fuel Price</t>
  </si>
  <si>
    <t>Gallon (Weighted)</t>
  </si>
  <si>
    <t>Heating Oil</t>
  </si>
  <si>
    <t>Propane</t>
  </si>
  <si>
    <t xml:space="preserve"> </t>
  </si>
  <si>
    <t>Change Consumption Growth (%)</t>
  </si>
  <si>
    <t>Average Consumption Growth Rate (%)</t>
  </si>
  <si>
    <t>Average Prices ($)</t>
  </si>
  <si>
    <t>Weighted Profile</t>
  </si>
  <si>
    <t>Percentage</t>
  </si>
  <si>
    <t>Solar Consumption</t>
  </si>
  <si>
    <t>Potential Solar PV Installation</t>
  </si>
  <si>
    <t>Solar PV Installation Based on Actual Electricity Consumption</t>
  </si>
  <si>
    <t>Solar Installation Cost after tax Credit</t>
  </si>
  <si>
    <t>Potential Solar PV Production (kWh/yr)</t>
  </si>
  <si>
    <t>Potential Solar PV (MWh/yr)</t>
  </si>
  <si>
    <t>Potential Solar PV Production (MW)</t>
  </si>
  <si>
    <t>Potential Solar PV Production (kW)</t>
  </si>
  <si>
    <t>Potential Solar PV Installation Cost ($)</t>
  </si>
  <si>
    <t>Installation Cost of Potential Solar per Year ($/kW) (After Tax Rebate)</t>
  </si>
  <si>
    <t>Average Post-Rebate Potential Solar Installation Cost per Hour ($/W)</t>
  </si>
  <si>
    <t>Actual Electricity Consumption (Based on Electricity Data) (kWh)</t>
  </si>
  <si>
    <t>Actual Electricity Consumption (Based on Electricity Data) (kW)</t>
  </si>
  <si>
    <t>Actual Solar PV Installation Cost ($) (After Rebate)</t>
  </si>
  <si>
    <t>Average Post-Rebate Actual Solar Installation Cost per Hour ($/W)</t>
  </si>
  <si>
    <t>Tax Credit Rebate (in Percentage)</t>
  </si>
  <si>
    <t>After rebate actual installation cost per hour ($/W)</t>
  </si>
  <si>
    <t>Electricity-based Emissions</t>
  </si>
  <si>
    <t>Carbon Price in Maine Set at $5-40 per MT Incremental at $5 per annum over FY 2021/22 - 2027/28</t>
  </si>
  <si>
    <t>Emission (lb/MWh)</t>
  </si>
  <si>
    <t>Emission (kg/kwh)</t>
  </si>
  <si>
    <t>Emission (MT/kwh)</t>
  </si>
  <si>
    <t>CO2</t>
  </si>
  <si>
    <t>CH4</t>
  </si>
  <si>
    <t>N2O</t>
  </si>
  <si>
    <t>Heating Fuel-based Emissions</t>
  </si>
  <si>
    <t>Heating Fuel</t>
  </si>
  <si>
    <t>Propane (kg/MMBtu)</t>
  </si>
  <si>
    <t>Heating Oil (kg/MMBtu)</t>
  </si>
  <si>
    <t>Pellets (kg/MMBtu)</t>
  </si>
  <si>
    <t>Total (kg/MMBtu)</t>
  </si>
  <si>
    <t>Total (MT/MMBtu)</t>
  </si>
  <si>
    <t>Propane (kg/gal)</t>
  </si>
  <si>
    <t>Heating Oil (kg/gal)</t>
  </si>
  <si>
    <t>Total (kg/ga/)</t>
  </si>
  <si>
    <t>Total (MT/gal)</t>
  </si>
  <si>
    <t>Cost Analysis - Electricity</t>
  </si>
  <si>
    <t>ELECTRICITY</t>
  </si>
  <si>
    <t>Financial Parameters</t>
  </si>
  <si>
    <t>Expenditure</t>
  </si>
  <si>
    <t>Electricity Consumption per Year</t>
  </si>
  <si>
    <t>Based on Cash Flow</t>
  </si>
  <si>
    <t>Planning Period (yrs)</t>
  </si>
  <si>
    <t>Price of electricity ($/kWh)</t>
  </si>
  <si>
    <t>Baseline Electricity Consumption (kWh)</t>
  </si>
  <si>
    <t>Based on Financial Cash Flow</t>
  </si>
  <si>
    <t>Based on Social-Environmental Cash Flow</t>
  </si>
  <si>
    <t>Real Discount Rate assumed based on FRB's primary creditline (&lt;=4.5%)</t>
  </si>
  <si>
    <t>Electricity price escalation rate</t>
  </si>
  <si>
    <t>NPV of Electricity Expenditure ($)</t>
  </si>
  <si>
    <t>Social NPV of Electricity Expenditure ($)</t>
  </si>
  <si>
    <t>Annual Energy Expenditure ($/FY)</t>
  </si>
  <si>
    <t>NPV of Electricity Consumed (kWh)</t>
  </si>
  <si>
    <t>NPV of GHG Emission Added Cost ($)</t>
  </si>
  <si>
    <t>Electricity Consumption Growth Rate (=&lt;5%)</t>
  </si>
  <si>
    <t>Annual GHG Emissions Due to Electricity Consumed, (MT/yr)</t>
  </si>
  <si>
    <t>Carbon Price ($/MT) (&lt;=$40)</t>
  </si>
  <si>
    <t>Annual GHG Emissions Cost, yr 1</t>
  </si>
  <si>
    <t>ANNUAL FINANCIAL CASH FLOW</t>
  </si>
  <si>
    <t>Year</t>
  </si>
  <si>
    <t>Baseline FY 2024</t>
  </si>
  <si>
    <t>Electricity Consumption (kWh)</t>
  </si>
  <si>
    <t>Present Value of Electricity Consumption (kWh)</t>
  </si>
  <si>
    <t>Electricity Expenditure ($)</t>
  </si>
  <si>
    <t>Present Electricity Expenditure ($)</t>
  </si>
  <si>
    <t>Cumulative NPE ($)</t>
  </si>
  <si>
    <t>Net Present Expenditure (NPE) ($)</t>
  </si>
  <si>
    <t>SOCIAL-ENVIRONMENTAL CASH FLOW</t>
  </si>
  <si>
    <t>Annual GHG emissions consumed (MT/kwh/yr)</t>
  </si>
  <si>
    <t>Annual GHG emissions cost ($/yr)</t>
  </si>
  <si>
    <t>Present value of GHG emissions cost</t>
  </si>
  <si>
    <t>Cumulative PV of GHG emissions cost</t>
  </si>
  <si>
    <t>Social Electricity Expenditure (including GHG cost) ($)</t>
  </si>
  <si>
    <t>Present Social Electricity Expenditure (including GHG cost) ($)</t>
  </si>
  <si>
    <t>Cumulative Present Cost including GHG cost ($)</t>
  </si>
  <si>
    <t>NPV GHG cost</t>
  </si>
  <si>
    <t>Social Present Cost ($)</t>
  </si>
  <si>
    <t>NPV</t>
  </si>
  <si>
    <t>NPVS</t>
  </si>
  <si>
    <t>Social Cost-Benefit Analysis</t>
  </si>
  <si>
    <t>FUEL FOR HEATING (Heating Oil and Propane</t>
  </si>
  <si>
    <t>Fuel Consumption per Year</t>
  </si>
  <si>
    <t>Price of fuel ($/Gal)</t>
  </si>
  <si>
    <t>Baseline Fuel Consumption (Gal)</t>
  </si>
  <si>
    <t>Fuel Price Escalation Rate</t>
  </si>
  <si>
    <t>NPV of Heating Fuel Expenditure ($)</t>
  </si>
  <si>
    <t>Social NPV of Heating Fuel Expenditure ($)</t>
  </si>
  <si>
    <t>Annual Fuel Consumption Rate (&lt;=5%)</t>
  </si>
  <si>
    <t>NPV of Heating Fuel (Gal)</t>
  </si>
  <si>
    <t>NPV of GHG Emission Cost Added ($)</t>
  </si>
  <si>
    <t>Total Energy Revenue</t>
  </si>
  <si>
    <t>Annual GHG Emissions Due to Fuel Consumed, (MT/year)</t>
  </si>
  <si>
    <t>ANNUAL CASH FLOW</t>
  </si>
  <si>
    <t>Heating Fuel Consumption (Gal)</t>
  </si>
  <si>
    <t>Present Value of Heating Fuel Consumption (Gal)</t>
  </si>
  <si>
    <t>Heating Fuel Expenditure ($)</t>
  </si>
  <si>
    <t>Present Value of Heating Fuel Expenditure ($)</t>
  </si>
  <si>
    <t>Cumulative PV ($)</t>
  </si>
  <si>
    <t>Present Expenditure (NPE) ($)</t>
  </si>
  <si>
    <t>Annual GHG emissions consumed (MT/gal/yr)</t>
  </si>
  <si>
    <t>Present GHG emissions cost</t>
  </si>
  <si>
    <t>Social Heating Fuel Cost (including GHG cost) ($)</t>
  </si>
  <si>
    <t>Present Social Heating Fuel Expenditure (including GHG cost) ($)</t>
  </si>
  <si>
    <t>Cumulative Social Heating Cost including GHG cost ($)</t>
  </si>
  <si>
    <t>Present GHG cost</t>
  </si>
  <si>
    <t>Social Net Present Cost ($)</t>
  </si>
  <si>
    <t>PV</t>
  </si>
  <si>
    <t>PVS</t>
  </si>
  <si>
    <t>SOLAR PV (Rooftop)</t>
  </si>
  <si>
    <t>Benefits</t>
  </si>
  <si>
    <t>Costs</t>
  </si>
  <si>
    <t>Electricity Production</t>
  </si>
  <si>
    <t>Project Lifetime (yrs)</t>
  </si>
  <si>
    <t>Capital Costs</t>
  </si>
  <si>
    <t>System Capacity (MW)</t>
  </si>
  <si>
    <t>Installation Costs ($/W)</t>
  </si>
  <si>
    <t>Capacity Factor</t>
  </si>
  <si>
    <t>Cumulative NPV ($)</t>
  </si>
  <si>
    <t>Cummulative Social NPV ($)</t>
  </si>
  <si>
    <t>Annual electricity consumption growth rate (&lt;=5%)</t>
  </si>
  <si>
    <t>Taxable cost after 30% rebate</t>
  </si>
  <si>
    <t>Annual electricity generation Year 1 (MWh/yr)</t>
  </si>
  <si>
    <t>Cumulative Present Value of Solar (MWh)</t>
  </si>
  <si>
    <t>Annual revenue Year 1 ($/yr)</t>
  </si>
  <si>
    <t>Annual system degradation</t>
  </si>
  <si>
    <t>Total Project Revenue ($)</t>
  </si>
  <si>
    <t>Total Installed Cost ($)</t>
  </si>
  <si>
    <t>Annual GHG emissions reduced, yr 1 (MT)</t>
  </si>
  <si>
    <t>TOTAL CAPEX</t>
  </si>
  <si>
    <t>Carbon price ($/MT) (&lt;=$40)</t>
  </si>
  <si>
    <t>Annual Operation &amp; Maintenance (O&amp;M)</t>
  </si>
  <si>
    <t>Annual GHG Benefit, yr 1</t>
  </si>
  <si>
    <t>Fixed O&amp;M ($/kW/yr)</t>
  </si>
  <si>
    <t>Variable O&amp;M ($/kWh)</t>
  </si>
  <si>
    <t>Fuel Heat Rate (Btu/kWh)</t>
  </si>
  <si>
    <t>Fuel ($/Btu)</t>
  </si>
  <si>
    <t>Fuel ($/kWh)</t>
  </si>
  <si>
    <t>Electricity Generation (MWh)</t>
  </si>
  <si>
    <t>Present Value Electricity Generation (MWh)</t>
  </si>
  <si>
    <t>Electricity Revenue ($)</t>
  </si>
  <si>
    <t>Present Value Electricity Revenue ($)</t>
  </si>
  <si>
    <t>Capital Costs ($)</t>
  </si>
  <si>
    <t>-</t>
  </si>
  <si>
    <t>Fixed O&amp;M Cost ($)</t>
  </si>
  <si>
    <t>Variable O&amp;M Cost ($)</t>
  </si>
  <si>
    <t>Fuel Cost ($)</t>
  </si>
  <si>
    <t>Total Costs ($)</t>
  </si>
  <si>
    <t>Present Value Costs ($)</t>
  </si>
  <si>
    <t>Net Benefits ($)</t>
  </si>
  <si>
    <t>Present Value Net Benefits ($)</t>
  </si>
  <si>
    <t>Payback Counter</t>
  </si>
  <si>
    <t>Discounted Payback Period (yrs)</t>
  </si>
  <si>
    <t>Simple Payback Period (yrs)</t>
  </si>
  <si>
    <t>Net Present Value (NPV) ($)</t>
  </si>
  <si>
    <t>Internal Rate of Return (IRR)</t>
  </si>
  <si>
    <t>Benefit-Cost Ratio (BCR)</t>
  </si>
  <si>
    <t>Annual GHG emissions reduced (MT/yr)</t>
  </si>
  <si>
    <t>Annual GHG emissions savings ($/yr)</t>
  </si>
  <si>
    <t>Present value of GHG emissions savings</t>
  </si>
  <si>
    <t>Cumulative PV of GHG emissions savings</t>
  </si>
  <si>
    <t>Net Benefits (including GHG reductions) ($)</t>
  </si>
  <si>
    <t>Present Value of Net Benefits (including GHG reductions) ($)</t>
  </si>
  <si>
    <t>Cumulative NPV including GHG reductions ($)</t>
  </si>
  <si>
    <t>Cumulative Present Value of GHG Savings ($)</t>
  </si>
  <si>
    <t>Social NPV ($)</t>
  </si>
  <si>
    <t>Social IRR</t>
  </si>
  <si>
    <t>Social BCR</t>
  </si>
  <si>
    <t>LEVELIZED COST OF ENERGY</t>
  </si>
  <si>
    <t>Simple</t>
  </si>
  <si>
    <t>Annuitized capital cost ($/yr)</t>
  </si>
  <si>
    <t>Social Annuitized capital cost ($/yr)</t>
  </si>
  <si>
    <t>Fixed Annual O&amp;M ($/yr)</t>
  </si>
  <si>
    <t>Variable Annual O&amp;M ($/yr)</t>
  </si>
  <si>
    <t>Fuel ($/yr)</t>
  </si>
  <si>
    <t>Electricity production (MWh/yr)</t>
  </si>
  <si>
    <t>LCOE ($/kWh)</t>
  </si>
  <si>
    <t>Social LCOE ($/kWh)</t>
  </si>
  <si>
    <t>RESULTS</t>
  </si>
  <si>
    <t>Energy Sources</t>
  </si>
  <si>
    <t>Kwh/ Gal/ Ton</t>
  </si>
  <si>
    <t>Percentage of Share</t>
  </si>
  <si>
    <t>Conversion Factor Source</t>
  </si>
  <si>
    <t>Electricity (Kwh)</t>
  </si>
  <si>
    <t>Oil (Gallons)</t>
  </si>
  <si>
    <t>Fuel [oil, propane &amp; pellet] (MMBtu)</t>
  </si>
  <si>
    <t>Electricity (MMBtu)</t>
  </si>
  <si>
    <t>NET PRESENT VALUE ($millions)</t>
  </si>
  <si>
    <t>Carbon Price ($/tonne)</t>
  </si>
  <si>
    <t>Discount Rate</t>
  </si>
  <si>
    <t>Consumption Growth Rate (%)</t>
  </si>
  <si>
    <t>Solar Instllation Cost ($/W)</t>
  </si>
  <si>
    <t>Electricity (Social)</t>
  </si>
  <si>
    <t>Fuel</t>
  </si>
  <si>
    <t>Fuel (Social)</t>
  </si>
  <si>
    <t>Solar PV</t>
  </si>
  <si>
    <t>Solar PV (Social)</t>
  </si>
  <si>
    <t>INTERNAL RATE OF RETURN (%)</t>
  </si>
  <si>
    <t>LCOE ($/kWh) - BASED ON CASH FLOW</t>
  </si>
  <si>
    <t>DISCOUNTED PAYBACK PERIOD (yrs)</t>
  </si>
  <si>
    <t>SIMPLE PAYBACK PERIOD (yrs)</t>
  </si>
  <si>
    <t>BENEFIT COST RATIO (BCR)</t>
  </si>
  <si>
    <t>FY23 Electricity Consumed (KWh)</t>
  </si>
  <si>
    <t>FY 24 Electricity Consumed (KWh)</t>
  </si>
  <si>
    <t>FY25 Projected Electricity Consumption (KWh)</t>
  </si>
  <si>
    <t>Town Garage</t>
  </si>
  <si>
    <t>Share of Energy Expenditure in Overall Annual Expenditure = comparing energy expenditure with total public funding/budget</t>
  </si>
  <si>
    <t>Actual Electricity Expenditure FY 23) ($)</t>
  </si>
  <si>
    <t>Actual Heating Expenditure (FY 23) ($)</t>
  </si>
  <si>
    <t>Total Expenditure (FY23) ($)</t>
  </si>
  <si>
    <t>Energy Share in Total Facilities Expenditure (%)</t>
  </si>
  <si>
    <t>Actual Electricity Expenditure (FY 24) ($)</t>
  </si>
  <si>
    <t>Actual Heating Expenditure (FY 24) ($)</t>
  </si>
  <si>
    <t>Total Expenditure (FY24) ($)</t>
  </si>
  <si>
    <t>Energy Share in Total Facilities Expenditure (FY24) (%)</t>
  </si>
  <si>
    <t>Expected Electricity Expenditure (FY 25) ($)</t>
  </si>
  <si>
    <t>Expected Heating Expenditure (FY 25) ($)</t>
  </si>
  <si>
    <t>Total Expenditure (FY25) ($)</t>
  </si>
  <si>
    <t>Energy Share in Total Facilities Expenditure (FY25) (%)</t>
  </si>
  <si>
    <t>Heating Fuel (Social)</t>
  </si>
  <si>
    <t>Solar</t>
  </si>
  <si>
    <t>Solar (Social)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</si>
</sst>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9">
    <numFmt numFmtId="164" formatCode="&quot;$&quot;#,##0"/>
    <numFmt numFmtId="165" formatCode="&quot;$&quot;#,##0.00"/>
    <numFmt numFmtId="166" formatCode="_(&quot;$&quot;* #,##0_);_(&quot;$&quot;* \(#,##0\);_(&quot;$&quot;* &quot;-&quot;??_);_(@_)"/>
    <numFmt numFmtId="167" formatCode="0.000"/>
    <numFmt numFmtId="168" formatCode="0.00000"/>
    <numFmt numFmtId="169" formatCode="#,##0.000"/>
    <numFmt numFmtId="170" formatCode="#,##0.0000000"/>
    <numFmt numFmtId="171" formatCode="0.00000000"/>
    <numFmt numFmtId="172" formatCode="0.000000000"/>
    <numFmt numFmtId="173" formatCode="&quot;$&quot;#,##0.00_);[Red]\(&quot;$&quot;#,##0.00\)"/>
    <numFmt numFmtId="174" formatCode="0.0%"/>
    <numFmt numFmtId="175" formatCode="&quot;$&quot;#,##0_);[Red]\(&quot;$&quot;#,##0\)"/>
    <numFmt numFmtId="176" formatCode="_-* #,##0_-;\-* #,##0_-;_-* &quot;-&quot;??_-;_-@"/>
    <numFmt numFmtId="177" formatCode="_(* #,##0_);_(* \(#,##0\);_(* &quot;-&quot;??_);_(@_)"/>
    <numFmt numFmtId="178" formatCode="&quot;$&quot;#,##0.00;[Red]\-&quot;$&quot;#,##0.00"/>
    <numFmt numFmtId="179" formatCode="#,##0;(#,##0)"/>
    <numFmt numFmtId="180" formatCode="_-* #,##0.0000_-;\-* #,##0.0000_-;_-* &quot;-&quot;??.0000_-;_-@"/>
    <numFmt numFmtId="181" formatCode="#,##0.0000"/>
    <numFmt numFmtId="182" formatCode="&quot;$&quot;#,##0.000"/>
  </numFmts>
  <fonts count="3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sz val="11.0"/>
      <color theme="1"/>
      <name val="Calibri"/>
    </font>
    <font/>
    <font>
      <b/>
      <u/>
      <color rgb="FF0000FF"/>
    </font>
    <font>
      <b/>
      <u/>
      <color rgb="FF0000FF"/>
    </font>
    <font>
      <color rgb="FFB7B7B7"/>
      <name val="Arial"/>
      <scheme val="minor"/>
    </font>
    <font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b/>
      <u/>
      <color rgb="FF0000FF"/>
    </font>
    <font>
      <b/>
      <u/>
      <color rgb="FF0000FF"/>
    </font>
    <font>
      <b/>
      <u/>
      <color rgb="FF0000FF"/>
    </font>
    <font>
      <b/>
      <sz val="11.0"/>
      <color rgb="FF3B3B3B"/>
      <name val="&quot;Source Sans Pro&quot;"/>
    </font>
    <font>
      <b/>
      <sz val="20.0"/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0"/>
      <name val="Calibri"/>
    </font>
    <font>
      <b/>
      <u/>
      <sz val="11.0"/>
      <color rgb="FFFFFFFF"/>
      <name val="Calibri"/>
    </font>
    <font>
      <sz val="11.0"/>
      <color rgb="FFFFFFFF"/>
      <name val="Calibri"/>
    </font>
    <font>
      <b/>
      <u/>
      <sz val="11.0"/>
      <color rgb="FF000000"/>
      <name val="Calibri"/>
    </font>
    <font>
      <b/>
      <u/>
      <sz val="11.0"/>
      <color theme="0"/>
      <name val="Calibri"/>
    </font>
    <font>
      <b/>
      <sz val="14.0"/>
      <color rgb="FFFFFFFF"/>
      <name val="Calibri"/>
    </font>
    <font>
      <u/>
      <sz val="11.0"/>
      <color rgb="FF0000FF"/>
      <name val="Calibri"/>
    </font>
    <font>
      <u/>
      <sz val="11.0"/>
      <color theme="0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theme="0"/>
      <name val="Calibri"/>
    </font>
    <font>
      <sz val="11.0"/>
      <color rgb="FFFF0000"/>
      <name val="Calibri"/>
    </font>
    <font>
      <b/>
      <color theme="1"/>
      <name val="Cambria"/>
    </font>
    <font>
      <b/>
      <u/>
      <color rgb="FF0000FF"/>
    </font>
    <font>
      <b/>
      <sz val="11.0"/>
      <color rgb="FFFF0000"/>
      <name val="Calibri"/>
    </font>
    <font>
      <b/>
      <sz val="11.0"/>
      <color rgb="FF7030A0"/>
      <name val="Calibri"/>
    </font>
    <font>
      <sz val="11.0"/>
      <color rgb="FF7030A0"/>
      <name val="Calibri"/>
    </font>
    <font>
      <sz val="11.0"/>
      <color rgb="FFF3F3F3"/>
      <name val="Calibri"/>
    </font>
    <font>
      <sz val="10.0"/>
      <color theme="1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EF2CB"/>
        <bgColor rgb="FFFEF2CB"/>
      </patternFill>
    </fill>
    <fill>
      <patternFill patternType="solid">
        <fgColor rgb="FF660066"/>
        <bgColor rgb="FF660066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000000"/>
        <bgColor rgb="FF000000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FDDD9"/>
        <bgColor rgb="FFFFDDD9"/>
      </patternFill>
    </fill>
    <fill>
      <patternFill patternType="solid">
        <fgColor rgb="FFFE877E"/>
        <bgColor rgb="FFFE877E"/>
      </patternFill>
    </fill>
    <fill>
      <patternFill patternType="solid">
        <fgColor rgb="FFF7CAAC"/>
        <bgColor rgb="FFF7CAAC"/>
      </patternFill>
    </fill>
    <fill>
      <patternFill patternType="solid">
        <fgColor rgb="FFD9D9D9"/>
        <bgColor rgb="FFD9D9D9"/>
      </patternFill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AEABAB"/>
      </right>
      <top style="thin">
        <color rgb="FF000000"/>
      </top>
      <bottom style="thin">
        <color rgb="FFAEABAB"/>
      </bottom>
    </border>
    <border>
      <left style="thin">
        <color rgb="FFAEABAB"/>
      </left>
      <right style="thin">
        <color rgb="FFAEABAB"/>
      </right>
      <top style="thin">
        <color rgb="FF000000"/>
      </top>
      <bottom style="thin">
        <color rgb="FFAEABAB"/>
      </bottom>
    </border>
    <border>
      <left style="thin">
        <color rgb="FF000000"/>
      </left>
      <right style="thin">
        <color rgb="FFAEABAB"/>
      </right>
      <top style="thin">
        <color rgb="FFAEABAB"/>
      </top>
      <bottom style="thin">
        <color rgb="FF000000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000000"/>
      </bottom>
    </border>
    <border>
      <left style="thin">
        <color rgb="FF000000"/>
      </left>
      <right style="thin">
        <color rgb="FFAEABAB"/>
      </right>
      <top/>
      <bottom style="thin">
        <color rgb="FFAEABAB"/>
      </bottom>
    </border>
    <border>
      <left style="thin">
        <color rgb="FFAEABAB"/>
      </left>
      <right style="thin">
        <color rgb="FFAEABAB"/>
      </right>
      <top/>
      <bottom style="thin">
        <color rgb="FFAEABAB"/>
      </bottom>
    </border>
    <border>
      <left style="thin">
        <color rgb="FF000000"/>
      </left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AEABAB"/>
      </left>
      <right/>
      <top style="thin">
        <color rgb="FFAEABAB"/>
      </top>
      <bottom style="thin">
        <color rgb="FFAEABAB"/>
      </bottom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</border>
    <border>
      <left style="thin">
        <color rgb="FFAEABAB"/>
      </left>
      <right style="thin">
        <color rgb="FF000000"/>
      </right>
      <top style="thin">
        <color rgb="FF000000"/>
      </top>
      <bottom style="thin">
        <color rgb="FFAEABAB"/>
      </bottom>
    </border>
    <border>
      <left style="thin">
        <color rgb="FFAEABAB"/>
      </left>
      <right style="thin">
        <color rgb="FF000000"/>
      </right>
      <top style="thin">
        <color rgb="FFAEABAB"/>
      </top>
      <bottom style="thin">
        <color rgb="FFAEABAB"/>
      </bottom>
    </border>
    <border>
      <left style="thin">
        <color rgb="FF000000"/>
      </left>
      <right style="thin">
        <color rgb="FFAEABAB"/>
      </right>
      <top style="thin">
        <color rgb="FFAEABAB"/>
      </top>
      <bottom/>
    </border>
    <border>
      <left style="thin">
        <color rgb="FFAEABAB"/>
      </left>
      <right style="thin">
        <color rgb="FF000000"/>
      </right>
      <top style="thin">
        <color rgb="FFAEABAB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AEABAB"/>
      </right>
      <top style="thin">
        <color rgb="FFAEABAB"/>
      </top>
    </border>
    <border>
      <left style="thin">
        <color rgb="FFAEABAB"/>
      </left>
      <right style="thin">
        <color rgb="FF000000"/>
      </right>
      <top style="thin">
        <color rgb="FFAEABAB"/>
      </top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</border>
    <border>
      <left style="thin">
        <color rgb="FFAEABAB"/>
      </left>
      <right style="thin">
        <color rgb="FF000000"/>
      </right>
      <top style="thin">
        <color rgb="FFAEABAB"/>
      </top>
      <bottom/>
    </border>
    <border>
      <left style="thin">
        <color rgb="FF000000"/>
      </left>
      <right style="thin">
        <color rgb="FFAEABAB"/>
      </right>
      <top/>
      <bottom style="thin">
        <color rgb="FF000000"/>
      </bottom>
    </border>
    <border>
      <left style="thin">
        <color rgb="FFAEABAB"/>
      </left>
      <right style="thin">
        <color rgb="FF000000"/>
      </right>
      <top/>
      <bottom style="thin">
        <color rgb="FF000000"/>
      </bottom>
    </border>
    <border>
      <left style="thin">
        <color rgb="FFAEABAB"/>
      </left>
      <right/>
      <top style="thin">
        <color rgb="FFAEABAB"/>
      </top>
      <bottom/>
    </border>
    <border>
      <left/>
      <right/>
      <top/>
    </border>
    <border>
      <left/>
      <right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vertical="center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1" fillId="3" fontId="2" numFmtId="3" xfId="0" applyAlignment="1" applyBorder="1" applyFill="1" applyFont="1" applyNumberFormat="1">
      <alignment readingOrder="0" shrinkToFit="0" wrapText="1"/>
    </xf>
    <xf borderId="1" fillId="4" fontId="2" numFmtId="164" xfId="0" applyAlignment="1" applyBorder="1" applyFill="1" applyFont="1" applyNumberFormat="1">
      <alignment readingOrder="0" shrinkToFit="0" wrapText="1"/>
    </xf>
    <xf borderId="1" fillId="5" fontId="2" numFmtId="164" xfId="0" applyAlignment="1" applyBorder="1" applyFill="1" applyFont="1" applyNumberFormat="1">
      <alignment readingOrder="0" shrinkToFit="0" wrapText="1"/>
    </xf>
    <xf borderId="1" fillId="6" fontId="2" numFmtId="165" xfId="0" applyAlignment="1" applyBorder="1" applyFill="1" applyFont="1" applyNumberFormat="1">
      <alignment readingOrder="0" shrinkToFit="0" wrapText="1"/>
    </xf>
    <xf borderId="1" fillId="7" fontId="2" numFmtId="166" xfId="0" applyAlignment="1" applyBorder="1" applyFill="1" applyFont="1" applyNumberFormat="1">
      <alignment horizontal="left" readingOrder="0" shrinkToFit="0" wrapText="1"/>
    </xf>
    <xf borderId="1" fillId="5" fontId="2" numFmtId="3" xfId="0" applyAlignment="1" applyBorder="1" applyFont="1" applyNumberFormat="1">
      <alignment readingOrder="0" shrinkToFit="0" wrapText="1"/>
    </xf>
    <xf borderId="1" fillId="8" fontId="2" numFmtId="3" xfId="0" applyAlignment="1" applyBorder="1" applyFill="1" applyFont="1" applyNumberFormat="1">
      <alignment readingOrder="0" shrinkToFit="0" wrapText="1"/>
    </xf>
    <xf borderId="1" fillId="9" fontId="2" numFmtId="0" xfId="0" applyAlignment="1" applyBorder="1" applyFill="1" applyFont="1">
      <alignment readingOrder="0" shrinkToFit="0" wrapText="1"/>
    </xf>
    <xf borderId="1" fillId="10" fontId="2" numFmtId="0" xfId="0" applyAlignment="1" applyBorder="1" applyFill="1" applyFont="1">
      <alignment readingOrder="0" shrinkToFit="0" wrapText="1"/>
    </xf>
    <xf borderId="1" fillId="11" fontId="3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horizontal="right" readingOrder="0" shrinkToFit="0" vertical="top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2" fontId="2" numFmtId="0" xfId="0" applyAlignment="1" applyFont="1">
      <alignment horizontal="center" readingOrder="0" vertical="center"/>
    </xf>
    <xf borderId="0" fillId="3" fontId="2" numFmtId="3" xfId="0" applyFont="1" applyNumberFormat="1"/>
    <xf borderId="0" fillId="4" fontId="2" numFmtId="164" xfId="0" applyAlignment="1" applyFont="1" applyNumberFormat="1">
      <alignment horizontal="center" readingOrder="0"/>
    </xf>
    <xf borderId="0" fillId="6" fontId="2" numFmtId="165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5" fontId="2" numFmtId="164" xfId="0" applyAlignment="1" applyFont="1" applyNumberFormat="1">
      <alignment horizontal="center" readingOrder="0"/>
    </xf>
    <xf borderId="0" fillId="7" fontId="2" numFmtId="166" xfId="0" applyAlignment="1" applyFont="1" applyNumberFormat="1">
      <alignment readingOrder="0"/>
    </xf>
    <xf borderId="0" fillId="3" fontId="1" numFmtId="3" xfId="0" applyFont="1" applyNumberFormat="1"/>
    <xf borderId="0" fillId="4" fontId="1" numFmtId="164" xfId="0" applyAlignment="1" applyFont="1" applyNumberFormat="1">
      <alignment horizontal="center" readingOrder="0"/>
    </xf>
    <xf borderId="0" fillId="6" fontId="1" numFmtId="165" xfId="0" applyAlignment="1" applyFont="1" applyNumberFormat="1">
      <alignment readingOrder="0"/>
    </xf>
    <xf borderId="0" fillId="5" fontId="1" numFmtId="164" xfId="0" applyFont="1" applyNumberFormat="1"/>
    <xf borderId="0" fillId="5" fontId="1" numFmtId="164" xfId="0" applyAlignment="1" applyFont="1" applyNumberFormat="1">
      <alignment horizontal="center"/>
    </xf>
    <xf borderId="0" fillId="7" fontId="1" numFmtId="166" xfId="0" applyFont="1" applyNumberFormat="1"/>
    <xf borderId="0" fillId="12" fontId="2" numFmtId="0" xfId="0" applyFill="1" applyFont="1"/>
    <xf borderId="0" fillId="12" fontId="2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1" fillId="13" fontId="1" numFmtId="0" xfId="0" applyAlignment="1" applyBorder="1" applyFill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0" fillId="14" fontId="1" numFmtId="0" xfId="0" applyAlignment="1" applyFill="1" applyFont="1">
      <alignment readingOrder="0" shrinkToFit="0" vertical="center" wrapText="1"/>
    </xf>
    <xf borderId="0" fillId="14" fontId="2" numFmtId="3" xfId="0" applyAlignment="1" applyFont="1" applyNumberFormat="1">
      <alignment horizontal="left" vertical="center"/>
    </xf>
    <xf borderId="1" fillId="9" fontId="1" numFmtId="0" xfId="0" applyAlignment="1" applyBorder="1" applyFont="1">
      <alignment readingOrder="0" vertical="center"/>
    </xf>
    <xf borderId="1" fillId="9" fontId="1" numFmtId="0" xfId="0" applyAlignment="1" applyBorder="1" applyFont="1">
      <alignment readingOrder="0" shrinkToFit="0" vertical="center" wrapText="1"/>
    </xf>
    <xf borderId="0" fillId="14" fontId="2" numFmtId="10" xfId="0" applyAlignment="1" applyFont="1" applyNumberFormat="1">
      <alignment horizontal="left" readingOrder="0" vertical="center"/>
    </xf>
    <xf borderId="0" fillId="14" fontId="2" numFmtId="10" xfId="0" applyAlignment="1" applyFont="1" applyNumberFormat="1">
      <alignment horizontal="left" vertical="center"/>
    </xf>
    <xf borderId="1" fillId="15" fontId="8" numFmtId="0" xfId="0" applyAlignment="1" applyBorder="1" applyFill="1" applyFont="1">
      <alignment readingOrder="0"/>
    </xf>
    <xf borderId="1" fillId="15" fontId="8" numFmtId="167" xfId="0" applyAlignment="1" applyBorder="1" applyFont="1" applyNumberFormat="1">
      <alignment readingOrder="0"/>
    </xf>
    <xf borderId="1" fillId="15" fontId="2" numFmtId="167" xfId="0" applyAlignment="1" applyBorder="1" applyFont="1" applyNumberFormat="1">
      <alignment readingOrder="0"/>
    </xf>
    <xf borderId="0" fillId="14" fontId="2" numFmtId="10" xfId="0" applyAlignment="1" applyFont="1" applyNumberFormat="1">
      <alignment horizontal="center" vertical="center"/>
    </xf>
    <xf borderId="0" fillId="12" fontId="2" numFmtId="0" xfId="0" applyAlignment="1" applyFont="1">
      <alignment readingOrder="0"/>
    </xf>
    <xf borderId="1" fillId="15" fontId="1" numFmtId="0" xfId="0" applyAlignment="1" applyBorder="1" applyFont="1">
      <alignment readingOrder="0"/>
    </xf>
    <xf borderId="1" fillId="15" fontId="1" numFmtId="167" xfId="0" applyAlignment="1" applyBorder="1" applyFont="1" applyNumberFormat="1">
      <alignment readingOrder="0"/>
    </xf>
    <xf borderId="1" fillId="15" fontId="8" numFmtId="167" xfId="0" applyBorder="1" applyFont="1" applyNumberFormat="1"/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12" fontId="2" numFmtId="3" xfId="0" applyAlignment="1" applyFont="1" applyNumberFormat="1">
      <alignment readingOrder="0"/>
    </xf>
    <xf borderId="0" fillId="12" fontId="2" numFmtId="165" xfId="0" applyAlignment="1" applyFont="1" applyNumberFormat="1">
      <alignment readingOrder="0"/>
    </xf>
    <xf borderId="0" fillId="0" fontId="1" numFmtId="0" xfId="0" applyFont="1"/>
    <xf borderId="0" fillId="0" fontId="2" numFmtId="168" xfId="0" applyFont="1" applyNumberFormat="1"/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0" fillId="2" fontId="1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ont="1">
      <alignment readingOrder="0" vertical="center"/>
    </xf>
    <xf borderId="0" fillId="4" fontId="2" numFmtId="164" xfId="0" applyAlignment="1" applyFont="1" applyNumberFormat="1">
      <alignment readingOrder="0"/>
    </xf>
    <xf borderId="0" fillId="2" fontId="1" numFmtId="0" xfId="0" applyAlignment="1" applyFont="1">
      <alignment readingOrder="0" vertical="center"/>
    </xf>
    <xf borderId="0" fillId="2" fontId="1" numFmtId="3" xfId="0" applyAlignment="1" applyFont="1" applyNumberFormat="1">
      <alignment readingOrder="0" vertical="center"/>
    </xf>
    <xf borderId="0" fillId="2" fontId="1" numFmtId="165" xfId="0" applyAlignment="1" applyFont="1" applyNumberFormat="1">
      <alignment readingOrder="0" vertical="center"/>
    </xf>
    <xf borderId="0" fillId="2" fontId="1" numFmtId="164" xfId="0" applyAlignment="1" applyFont="1" applyNumberFormat="1">
      <alignment readingOrder="0" vertical="center"/>
    </xf>
    <xf borderId="0" fillId="2" fontId="1" numFmtId="3" xfId="0" applyAlignment="1" applyFont="1" applyNumberFormat="1">
      <alignment readingOrder="0" shrinkToFit="0" vertical="center" wrapText="1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  <xf borderId="0" fillId="0" fontId="2" numFmtId="10" xfId="0" applyFont="1" applyNumberFormat="1"/>
    <xf borderId="0" fillId="0" fontId="1" numFmtId="0" xfId="0" applyAlignment="1" applyFont="1">
      <alignment readingOrder="0" vertical="center"/>
    </xf>
    <xf borderId="0" fillId="16" fontId="9" numFmtId="0" xfId="0" applyFill="1" applyFont="1"/>
    <xf borderId="0" fillId="0" fontId="2" numFmtId="9" xfId="0" applyAlignment="1" applyFont="1" applyNumberFormat="1">
      <alignment horizontal="right"/>
    </xf>
    <xf borderId="0" fillId="16" fontId="10" numFmtId="0" xfId="0" applyAlignment="1" applyFont="1">
      <alignment horizontal="center" shrinkToFit="0" wrapText="1"/>
    </xf>
    <xf borderId="0" fillId="16" fontId="10" numFmtId="0" xfId="0" applyAlignment="1" applyFont="1">
      <alignment shrinkToFit="0" wrapText="1"/>
    </xf>
    <xf borderId="0" fillId="14" fontId="2" numFmtId="3" xfId="0" applyAlignment="1" applyFont="1" applyNumberFormat="1">
      <alignment horizontal="right" vertical="center"/>
    </xf>
    <xf borderId="0" fillId="0" fontId="2" numFmtId="0" xfId="0" applyAlignment="1" applyFont="1">
      <alignment readingOrder="0"/>
    </xf>
    <xf borderId="0" fillId="16" fontId="11" numFmtId="0" xfId="0" applyFont="1"/>
    <xf borderId="0" fillId="16" fontId="11" numFmtId="164" xfId="0" applyAlignment="1" applyFont="1" applyNumberFormat="1">
      <alignment horizontal="right" vertical="bottom"/>
    </xf>
    <xf borderId="0" fillId="14" fontId="2" numFmtId="10" xfId="0" applyAlignment="1" applyFont="1" applyNumberFormat="1">
      <alignment horizontal="right" readingOrder="0" vertical="center"/>
    </xf>
    <xf borderId="0" fillId="14" fontId="2" numFmtId="10" xfId="0" applyAlignment="1" applyFont="1" applyNumberFormat="1">
      <alignment horizontal="right" vertical="center"/>
    </xf>
    <xf borderId="1" fillId="15" fontId="2" numFmtId="165" xfId="0" applyAlignment="1" applyBorder="1" applyFont="1" applyNumberFormat="1">
      <alignment readingOrder="0"/>
    </xf>
    <xf borderId="5" fillId="15" fontId="1" numFmtId="0" xfId="0" applyAlignment="1" applyBorder="1" applyFont="1">
      <alignment readingOrder="0" shrinkToFit="0" wrapText="1"/>
    </xf>
    <xf borderId="6" fillId="0" fontId="5" numFmtId="0" xfId="0" applyBorder="1" applyFont="1"/>
    <xf borderId="2" fillId="15" fontId="2" numFmtId="165" xfId="0" applyAlignment="1" applyBorder="1" applyFont="1" applyNumberFormat="1">
      <alignment horizontal="center" readingOrder="0"/>
    </xf>
    <xf borderId="1" fillId="15" fontId="1" numFmtId="0" xfId="0" applyAlignment="1" applyBorder="1" applyFont="1">
      <alignment readingOrder="0" shrinkToFit="0" wrapText="1"/>
    </xf>
    <xf borderId="2" fillId="15" fontId="2" numFmtId="165" xfId="0" applyAlignment="1" applyBorder="1" applyFont="1" applyNumberFormat="1">
      <alignment horizontal="center" readingOrder="0" vertical="center"/>
    </xf>
    <xf borderId="1" fillId="15" fontId="2" numFmtId="10" xfId="0" applyAlignment="1" applyBorder="1" applyFont="1" applyNumberFormat="1">
      <alignment readingOrder="0"/>
    </xf>
    <xf borderId="0" fillId="16" fontId="10" numFmtId="0" xfId="0" applyFont="1"/>
    <xf borderId="0" fillId="16" fontId="10" numFmtId="164" xfId="0" applyAlignment="1" applyFont="1" applyNumberFormat="1">
      <alignment horizontal="right"/>
    </xf>
    <xf borderId="0" fillId="0" fontId="2" numFmtId="4" xfId="0" applyFont="1" applyNumberFormat="1"/>
    <xf borderId="0" fillId="16" fontId="9" numFmtId="0" xfId="0" applyAlignment="1" applyFont="1">
      <alignment readingOrder="0"/>
    </xf>
    <xf borderId="0" fillId="16" fontId="9" numFmtId="3" xfId="0" applyFont="1" applyNumberFormat="1"/>
    <xf borderId="2" fillId="0" fontId="1" numFmtId="0" xfId="0" applyAlignment="1" applyBorder="1" applyFont="1">
      <alignment horizontal="center" readingOrder="0" shrinkToFit="0" wrapText="1"/>
    </xf>
    <xf borderId="0" fillId="12" fontId="2" numFmtId="2" xfId="0" applyFont="1" applyNumberFormat="1"/>
    <xf borderId="1" fillId="9" fontId="12" numFmtId="0" xfId="0" applyAlignment="1" applyBorder="1" applyFont="1">
      <alignment horizontal="center"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5" fontId="2" numFmtId="3" xfId="0" applyAlignment="1" applyFont="1" applyNumberFormat="1">
      <alignment readingOrder="0"/>
    </xf>
    <xf borderId="0" fillId="5" fontId="2" numFmtId="169" xfId="0" applyAlignment="1" applyFont="1" applyNumberFormat="1">
      <alignment readingOrder="0"/>
    </xf>
    <xf borderId="0" fillId="5" fontId="2" numFmtId="4" xfId="0" applyAlignment="1" applyFont="1" applyNumberFormat="1">
      <alignment readingOrder="0"/>
    </xf>
    <xf borderId="0" fillId="5" fontId="2" numFmtId="165" xfId="0" applyFont="1" applyNumberFormat="1"/>
    <xf borderId="0" fillId="8" fontId="2" numFmtId="3" xfId="0" applyAlignment="1" applyFont="1" applyNumberFormat="1">
      <alignment readingOrder="0"/>
    </xf>
    <xf borderId="0" fillId="16" fontId="2" numFmtId="164" xfId="0" applyAlignment="1" applyFont="1" applyNumberFormat="1">
      <alignment readingOrder="0"/>
    </xf>
    <xf borderId="0" fillId="16" fontId="2" numFmtId="165" xfId="0" applyAlignment="1" applyFont="1" applyNumberFormat="1">
      <alignment readingOrder="0"/>
    </xf>
    <xf borderId="1" fillId="15" fontId="2" numFmtId="9" xfId="0" applyAlignment="1" applyBorder="1" applyFont="1" applyNumberFormat="1">
      <alignment horizontal="center" readingOrder="0" shrinkToFit="0" wrapText="1"/>
    </xf>
    <xf borderId="1" fillId="15" fontId="2" numFmtId="164" xfId="0" applyAlignment="1" applyBorder="1" applyFont="1" applyNumberFormat="1">
      <alignment horizontal="center" readingOrder="0" shrinkToFit="0" wrapText="1"/>
    </xf>
    <xf borderId="1" fillId="15" fontId="2" numFmtId="165" xfId="0" applyAlignment="1" applyBorder="1" applyFont="1" applyNumberFormat="1">
      <alignment horizontal="center" readingOrder="0" shrinkToFit="0" wrapText="1"/>
    </xf>
    <xf borderId="0" fillId="17" fontId="2" numFmtId="4" xfId="0" applyAlignment="1" applyFill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10" fontId="2" numFmtId="164" xfId="0" applyAlignment="1" applyFont="1" applyNumberFormat="1">
      <alignment readingOrder="0"/>
    </xf>
    <xf borderId="0" fillId="10" fontId="2" numFmtId="165" xfId="0" applyAlignment="1" applyFont="1" applyNumberFormat="1">
      <alignment readingOrder="0"/>
    </xf>
    <xf borderId="0" fillId="12" fontId="2" numFmtId="164" xfId="0" applyAlignment="1" applyFont="1" applyNumberFormat="1">
      <alignment readingOrder="0"/>
    </xf>
    <xf borderId="0" fillId="2" fontId="1" numFmtId="169" xfId="0" applyAlignment="1" applyFont="1" applyNumberFormat="1">
      <alignment readingOrder="0" shrinkToFit="0" vertical="center" wrapText="1"/>
    </xf>
    <xf borderId="0" fillId="2" fontId="1" numFmtId="4" xfId="0" applyAlignment="1" applyFont="1" applyNumberFormat="1">
      <alignment readingOrder="0" shrinkToFit="0" vertical="center" wrapText="1"/>
    </xf>
    <xf borderId="0" fillId="2" fontId="1" numFmtId="165" xfId="0" applyAlignment="1" applyFont="1" applyNumberFormat="1">
      <alignment readingOrder="0" shrinkToFit="0" vertical="center" wrapText="1"/>
    </xf>
    <xf borderId="0" fillId="0" fontId="1" numFmtId="2" xfId="0" applyFont="1" applyNumberFormat="1"/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 shrinkToFit="0" vertical="center" wrapText="1"/>
    </xf>
    <xf borderId="0" fillId="0" fontId="2" numFmtId="170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2" fillId="0" fontId="13" numFmtId="0" xfId="0" applyAlignment="1" applyBorder="1" applyFont="1">
      <alignment horizontal="center" readingOrder="0"/>
    </xf>
    <xf borderId="0" fillId="0" fontId="14" numFmtId="0" xfId="0" applyAlignment="1" applyFont="1">
      <alignment readingOrder="0" shrinkToFit="0" wrapText="0"/>
    </xf>
    <xf borderId="7" fillId="2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readingOrder="0" shrinkToFit="0" vertical="center" wrapText="1"/>
    </xf>
    <xf borderId="1" fillId="0" fontId="2" numFmtId="171" xfId="0" applyBorder="1" applyFont="1" applyNumberFormat="1"/>
    <xf borderId="1" fillId="2" fontId="1" numFmtId="172" xfId="0" applyAlignment="1" applyBorder="1" applyFont="1" applyNumberFormat="1">
      <alignment readingOrder="0" shrinkToFit="0" vertical="bottom" wrapText="1"/>
    </xf>
    <xf borderId="1" fillId="0" fontId="2" numFmtId="0" xfId="0" applyBorder="1" applyFont="1"/>
    <xf borderId="0" fillId="16" fontId="15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vertical="bottom" wrapText="1"/>
    </xf>
    <xf borderId="2" fillId="18" fontId="16" numFmtId="0" xfId="0" applyAlignment="1" applyBorder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10" fillId="19" fontId="17" numFmtId="0" xfId="0" applyAlignment="1" applyBorder="1" applyFill="1" applyFont="1">
      <alignment readingOrder="0" vertical="bottom"/>
    </xf>
    <xf borderId="2" fillId="20" fontId="18" numFmtId="0" xfId="0" applyAlignment="1" applyBorder="1" applyFill="1" applyFont="1">
      <alignment horizontal="center" vertical="top"/>
    </xf>
    <xf borderId="0" fillId="0" fontId="4" numFmtId="0" xfId="0" applyAlignment="1" applyFont="1">
      <alignment vertical="top"/>
    </xf>
    <xf borderId="2" fillId="21" fontId="18" numFmtId="0" xfId="0" applyAlignment="1" applyBorder="1" applyFill="1" applyFont="1">
      <alignment horizontal="center" readingOrder="0" vertical="top"/>
    </xf>
    <xf borderId="2" fillId="20" fontId="18" numFmtId="0" xfId="0" applyAlignment="1" applyBorder="1" applyFont="1">
      <alignment horizontal="center" readingOrder="0" vertical="top"/>
    </xf>
    <xf borderId="7" fillId="18" fontId="19" numFmtId="0" xfId="0" applyAlignment="1" applyBorder="1" applyFont="1">
      <alignment horizontal="center" vertical="bottom"/>
    </xf>
    <xf borderId="11" fillId="0" fontId="5" numFmtId="0" xfId="0" applyBorder="1" applyFont="1"/>
    <xf borderId="1" fillId="2" fontId="18" numFmtId="0" xfId="0" applyAlignment="1" applyBorder="1" applyFont="1">
      <alignment readingOrder="0" shrinkToFit="0" vertical="top" wrapText="1"/>
    </xf>
    <xf borderId="0" fillId="0" fontId="20" numFmtId="0" xfId="0" applyAlignment="1" applyFont="1">
      <alignment vertical="top"/>
    </xf>
    <xf borderId="1" fillId="22" fontId="18" numFmtId="0" xfId="0" applyAlignment="1" applyBorder="1" applyFill="1" applyFont="1">
      <alignment shrinkToFit="0" vertical="top" wrapText="1"/>
    </xf>
    <xf borderId="1" fillId="22" fontId="4" numFmtId="173" xfId="0" applyAlignment="1" applyBorder="1" applyFont="1" applyNumberFormat="1">
      <alignment horizontal="right" shrinkToFit="0" vertical="top" wrapText="1"/>
    </xf>
    <xf borderId="1" fillId="2" fontId="4" numFmtId="3" xfId="0" applyAlignment="1" applyBorder="1" applyFont="1" applyNumberFormat="1">
      <alignment horizontal="right" shrinkToFit="0" vertical="top" wrapText="1"/>
    </xf>
    <xf borderId="2" fillId="18" fontId="1" numFmtId="0" xfId="0" applyAlignment="1" applyBorder="1" applyFont="1">
      <alignment horizontal="center" readingOrder="0" shrinkToFit="0" vertical="center" wrapText="1"/>
    </xf>
    <xf borderId="1" fillId="23" fontId="21" numFmtId="0" xfId="0" applyAlignment="1" applyBorder="1" applyFill="1" applyFont="1">
      <alignment readingOrder="0" shrinkToFit="0" vertical="top" wrapText="1"/>
    </xf>
    <xf borderId="1" fillId="17" fontId="22" numFmtId="174" xfId="0" applyAlignment="1" applyBorder="1" applyFont="1" applyNumberFormat="1">
      <alignment horizontal="right" readingOrder="0" shrinkToFit="0" vertical="top" wrapText="1"/>
    </xf>
    <xf borderId="1" fillId="2" fontId="23" numFmtId="0" xfId="0" applyAlignment="1" applyBorder="1" applyFont="1">
      <alignment readingOrder="0" shrinkToFit="0" vertical="top" wrapText="1"/>
    </xf>
    <xf borderId="1" fillId="2" fontId="4" numFmtId="10" xfId="0" applyAlignment="1" applyBorder="1" applyFont="1" applyNumberFormat="1">
      <alignment readingOrder="0" shrinkToFit="0" vertical="top" wrapText="1"/>
    </xf>
    <xf borderId="1" fillId="21" fontId="18" numFmtId="0" xfId="0" applyAlignment="1" applyBorder="1" applyFont="1">
      <alignment readingOrder="0" shrinkToFit="0" vertical="top" wrapText="1"/>
    </xf>
    <xf borderId="1" fillId="21" fontId="18" numFmtId="164" xfId="0" applyAlignment="1" applyBorder="1" applyFont="1" applyNumberFormat="1">
      <alignment readingOrder="0" shrinkToFit="0" vertical="top" wrapText="1"/>
    </xf>
    <xf borderId="1" fillId="21" fontId="18" numFmtId="164" xfId="0" applyAlignment="1" applyBorder="1" applyFont="1" applyNumberFormat="1">
      <alignment horizontal="right" vertical="top"/>
    </xf>
    <xf borderId="0" fillId="0" fontId="4" numFmtId="0" xfId="0" applyAlignment="1" applyFont="1">
      <alignment readingOrder="0" shrinkToFit="0" vertical="top" wrapText="1"/>
    </xf>
    <xf borderId="1" fillId="2" fontId="4" numFmtId="175" xfId="0" applyAlignment="1" applyBorder="1" applyFont="1" applyNumberFormat="1">
      <alignment horizontal="right" shrinkToFit="0" vertical="top" wrapText="1"/>
    </xf>
    <xf borderId="1" fillId="24" fontId="18" numFmtId="0" xfId="0" applyAlignment="1" applyBorder="1" applyFill="1" applyFont="1">
      <alignment horizontal="left" readingOrder="0" shrinkToFit="0" vertical="top" wrapText="1"/>
    </xf>
    <xf borderId="1" fillId="24" fontId="18" numFmtId="176" xfId="0" applyAlignment="1" applyBorder="1" applyFont="1" applyNumberFormat="1">
      <alignment horizontal="right" shrinkToFit="0" vertical="top" wrapText="1"/>
    </xf>
    <xf borderId="1" fillId="8" fontId="18" numFmtId="0" xfId="0" applyAlignment="1" applyBorder="1" applyFont="1">
      <alignment readingOrder="0" shrinkToFit="0" vertical="top" wrapText="1"/>
    </xf>
    <xf borderId="1" fillId="8" fontId="18" numFmtId="164" xfId="0" applyAlignment="1" applyBorder="1" applyFont="1" applyNumberFormat="1">
      <alignment shrinkToFit="0" vertical="top" wrapText="1"/>
    </xf>
    <xf borderId="0" fillId="0" fontId="4" numFmtId="0" xfId="0" applyAlignment="1" applyFont="1">
      <alignment readingOrder="0" vertical="bottom"/>
    </xf>
    <xf borderId="1" fillId="2" fontId="4" numFmtId="9" xfId="0" applyAlignment="1" applyBorder="1" applyFont="1" applyNumberFormat="1">
      <alignment horizontal="right" readingOrder="0" shrinkToFit="0" vertical="top" wrapText="1"/>
    </xf>
    <xf borderId="1" fillId="25" fontId="17" numFmtId="0" xfId="0" applyAlignment="1" applyBorder="1" applyFill="1" applyFont="1">
      <alignment readingOrder="0" shrinkToFit="0" vertical="bottom" wrapText="1"/>
    </xf>
    <xf borderId="1" fillId="25" fontId="22" numFmtId="177" xfId="0" applyAlignment="1" applyBorder="1" applyFont="1" applyNumberFormat="1">
      <alignment horizontal="right" readingOrder="0" shrinkToFit="0" vertical="top" wrapText="1"/>
    </xf>
    <xf borderId="0" fillId="0" fontId="2" numFmtId="0" xfId="0" applyAlignment="1" applyFont="1">
      <alignment vertical="top"/>
    </xf>
    <xf borderId="0" fillId="0" fontId="4" numFmtId="9" xfId="0" applyAlignment="1" applyFont="1" applyNumberFormat="1">
      <alignment vertical="top"/>
    </xf>
    <xf borderId="1" fillId="23" fontId="24" numFmtId="0" xfId="0" applyAlignment="1" applyBorder="1" applyFont="1">
      <alignment readingOrder="0" shrinkToFit="0" vertical="top" wrapText="1"/>
    </xf>
    <xf borderId="1" fillId="23" fontId="22" numFmtId="165" xfId="0" applyAlignment="1" applyBorder="1" applyFont="1" applyNumberFormat="1">
      <alignment horizontal="right" readingOrder="0" shrinkToFit="0" vertical="top" wrapText="1"/>
    </xf>
    <xf borderId="1" fillId="25" fontId="22" numFmtId="164" xfId="0" applyAlignment="1" applyBorder="1" applyFont="1" applyNumberFormat="1">
      <alignment horizontal="right" shrinkToFit="0" vertical="top" wrapText="1"/>
    </xf>
    <xf borderId="0" fillId="0" fontId="4" numFmtId="175" xfId="0" applyAlignment="1" applyFont="1" applyNumberFormat="1">
      <alignment vertical="top"/>
    </xf>
    <xf borderId="10" fillId="25" fontId="25" numFmtId="0" xfId="0" applyAlignment="1" applyBorder="1" applyFont="1">
      <alignment horizontal="left" readingOrder="0" shrinkToFit="0" vertical="bottom" wrapText="1"/>
    </xf>
    <xf borderId="0" fillId="0" fontId="4" numFmtId="176" xfId="0" applyAlignment="1" applyFont="1" applyNumberFormat="1">
      <alignment vertical="bottom"/>
    </xf>
    <xf borderId="0" fillId="0" fontId="4" numFmtId="172" xfId="0" applyAlignment="1" applyFont="1" applyNumberFormat="1">
      <alignment readingOrder="0" vertical="bottom"/>
    </xf>
    <xf borderId="1" fillId="25" fontId="17" numFmtId="0" xfId="0" applyAlignment="1" applyBorder="1" applyFont="1">
      <alignment vertical="bottom"/>
    </xf>
    <xf borderId="1" fillId="25" fontId="17" numFmtId="0" xfId="0" applyAlignment="1" applyBorder="1" applyFont="1">
      <alignment horizontal="right" readingOrder="0" vertical="bottom"/>
    </xf>
    <xf borderId="7" fillId="25" fontId="17" numFmtId="0" xfId="0" applyAlignment="1" applyBorder="1" applyFont="1">
      <alignment vertical="bottom"/>
    </xf>
    <xf borderId="9" fillId="25" fontId="17" numFmtId="0" xfId="0" applyAlignment="1" applyBorder="1" applyFont="1">
      <alignment horizontal="right" readingOrder="0" vertical="bottom"/>
    </xf>
    <xf borderId="12" fillId="20" fontId="18" numFmtId="0" xfId="0" applyAlignment="1" applyBorder="1" applyFont="1">
      <alignment readingOrder="0" shrinkToFit="0" vertical="top" wrapText="1"/>
    </xf>
    <xf borderId="13" fillId="20" fontId="4" numFmtId="176" xfId="0" applyAlignment="1" applyBorder="1" applyFont="1" applyNumberFormat="1">
      <alignment horizontal="right" vertical="bottom"/>
    </xf>
    <xf borderId="14" fillId="20" fontId="18" numFmtId="0" xfId="0" applyAlignment="1" applyBorder="1" applyFont="1">
      <alignment readingOrder="0" shrinkToFit="0" vertical="top" wrapText="1"/>
    </xf>
    <xf borderId="15" fillId="20" fontId="4" numFmtId="3" xfId="0" applyAlignment="1" applyBorder="1" applyFont="1" applyNumberFormat="1">
      <alignment horizontal="right" vertical="bottom"/>
    </xf>
    <xf borderId="16" fillId="22" fontId="18" numFmtId="0" xfId="0" applyAlignment="1" applyBorder="1" applyFont="1">
      <alignment readingOrder="0" shrinkToFit="0" vertical="top" wrapText="1"/>
    </xf>
    <xf borderId="17" fillId="22" fontId="4" numFmtId="164" xfId="0" applyAlignment="1" applyBorder="1" applyFont="1" applyNumberFormat="1">
      <alignment horizontal="right" vertical="bottom"/>
    </xf>
    <xf borderId="14" fillId="22" fontId="18" numFmtId="0" xfId="0" applyAlignment="1" applyBorder="1" applyFont="1">
      <alignment readingOrder="0" shrinkToFit="0" vertical="top" wrapText="1"/>
    </xf>
    <xf borderId="15" fillId="22" fontId="4" numFmtId="164" xfId="0" applyAlignment="1" applyBorder="1" applyFont="1" applyNumberFormat="1">
      <alignment horizontal="right" vertical="bottom"/>
    </xf>
    <xf borderId="14" fillId="18" fontId="18" numFmtId="0" xfId="0" applyAlignment="1" applyBorder="1" applyFont="1">
      <alignment readingOrder="0" shrinkToFit="0" vertical="top" wrapText="1"/>
    </xf>
    <xf borderId="15" fillId="18" fontId="4" numFmtId="164" xfId="0" applyAlignment="1" applyBorder="1" applyFont="1" applyNumberFormat="1">
      <alignment horizontal="right" vertical="bottom"/>
    </xf>
    <xf borderId="18" fillId="18" fontId="18" numFmtId="0" xfId="0" applyAlignment="1" applyBorder="1" applyFont="1">
      <alignment readingOrder="0" shrinkToFit="0" vertical="top" wrapText="1"/>
    </xf>
    <xf borderId="19" fillId="18" fontId="18" numFmtId="164" xfId="0" applyAlignment="1" applyBorder="1" applyFont="1" applyNumberFormat="1">
      <alignment horizontal="right" vertical="bottom"/>
    </xf>
    <xf borderId="0" fillId="0" fontId="4" numFmtId="178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20" fillId="25" fontId="25" numFmtId="0" xfId="0" applyAlignment="1" applyBorder="1" applyFont="1">
      <alignment readingOrder="0" shrinkToFit="0" vertical="bottom" wrapText="1"/>
    </xf>
    <xf borderId="21" fillId="0" fontId="5" numFmtId="0" xfId="0" applyBorder="1" applyFont="1"/>
    <xf borderId="22" fillId="25" fontId="17" numFmtId="0" xfId="0" applyAlignment="1" applyBorder="1" applyFont="1">
      <alignment vertical="bottom"/>
    </xf>
    <xf borderId="22" fillId="25" fontId="17" numFmtId="0" xfId="0" applyAlignment="1" applyBorder="1" applyFont="1">
      <alignment horizontal="right" vertical="bottom"/>
    </xf>
    <xf borderId="5" fillId="25" fontId="17" numFmtId="0" xfId="0" applyAlignment="1" applyBorder="1" applyFont="1">
      <alignment horizontal="right" readingOrder="0" vertical="bottom"/>
    </xf>
    <xf borderId="23" fillId="26" fontId="18" numFmtId="0" xfId="0" applyAlignment="1" applyBorder="1" applyFill="1" applyFont="1">
      <alignment readingOrder="0" shrinkToFit="0" vertical="top" wrapText="1"/>
    </xf>
    <xf borderId="23" fillId="26" fontId="4" numFmtId="179" xfId="0" applyAlignment="1" applyBorder="1" applyFont="1" applyNumberFormat="1">
      <alignment horizontal="right" vertical="top"/>
    </xf>
    <xf borderId="23" fillId="26" fontId="18" numFmtId="0" xfId="0" applyAlignment="1" applyBorder="1" applyFont="1">
      <alignment shrinkToFit="0" vertical="top" wrapText="1"/>
    </xf>
    <xf borderId="16" fillId="26" fontId="18" numFmtId="0" xfId="0" applyAlignment="1" applyBorder="1" applyFont="1">
      <alignment readingOrder="0" shrinkToFit="0" vertical="top" wrapText="1"/>
    </xf>
    <xf borderId="17" fillId="26" fontId="4" numFmtId="164" xfId="0" applyAlignment="1" applyBorder="1" applyFont="1" applyNumberFormat="1">
      <alignment horizontal="right" vertical="top"/>
    </xf>
    <xf borderId="24" fillId="26" fontId="4" numFmtId="164" xfId="0" applyAlignment="1" applyBorder="1" applyFont="1" applyNumberFormat="1">
      <alignment horizontal="right" vertical="top"/>
    </xf>
    <xf borderId="15" fillId="18" fontId="4" numFmtId="164" xfId="0" applyAlignment="1" applyBorder="1" applyFont="1" applyNumberFormat="1">
      <alignment horizontal="right" vertical="top"/>
    </xf>
    <xf borderId="10" fillId="26" fontId="18" numFmtId="0" xfId="0" applyAlignment="1" applyBorder="1" applyFont="1">
      <alignment shrinkToFit="0" vertical="top" wrapText="1"/>
    </xf>
    <xf borderId="19" fillId="26" fontId="18" numFmtId="164" xfId="0" applyAlignment="1" applyBorder="1" applyFont="1" applyNumberFormat="1">
      <alignment horizontal="right" vertical="top"/>
    </xf>
    <xf borderId="19" fillId="18" fontId="18" numFmtId="164" xfId="0" applyAlignment="1" applyBorder="1" applyFont="1" applyNumberFormat="1">
      <alignment horizontal="right" vertical="top"/>
    </xf>
    <xf borderId="0" fillId="0" fontId="4" numFmtId="179" xfId="0" applyAlignment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2" fillId="18" fontId="16" numFmtId="0" xfId="0" applyAlignment="1" applyBorder="1" applyFont="1">
      <alignment horizontal="center" readingOrder="0" vertical="bottom"/>
    </xf>
    <xf borderId="10" fillId="19" fontId="17" numFmtId="0" xfId="0" applyAlignment="1" applyBorder="1" applyFont="1">
      <alignment readingOrder="0" shrinkToFit="0" vertical="center" wrapText="1"/>
    </xf>
    <xf borderId="1" fillId="22" fontId="4" numFmtId="0" xfId="0" applyAlignment="1" applyBorder="1" applyFont="1">
      <alignment readingOrder="0" shrinkToFit="0" vertical="top" wrapText="1"/>
    </xf>
    <xf borderId="1" fillId="22" fontId="4" numFmtId="173" xfId="0" applyAlignment="1" applyBorder="1" applyFont="1" applyNumberFormat="1">
      <alignment horizontal="right" readingOrder="0"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1" fillId="2" fontId="26" numFmtId="0" xfId="0" applyAlignment="1" applyBorder="1" applyFont="1">
      <alignment readingOrder="0" shrinkToFit="0" vertical="top" wrapText="1"/>
    </xf>
    <xf borderId="0" fillId="0" fontId="2" numFmtId="10" xfId="0" applyAlignment="1" applyFont="1" applyNumberFormat="1">
      <alignment readingOrder="0"/>
    </xf>
    <xf borderId="1" fillId="21" fontId="18" numFmtId="164" xfId="0" applyAlignment="1" applyBorder="1" applyFont="1" applyNumberFormat="1">
      <alignment horizontal="left" readingOrder="0" shrinkToFit="0" vertical="top" wrapText="1"/>
    </xf>
    <xf borderId="1" fillId="21" fontId="4" numFmtId="164" xfId="0" applyAlignment="1" applyBorder="1" applyFont="1" applyNumberFormat="1">
      <alignment horizontal="right" vertical="top"/>
    </xf>
    <xf borderId="1" fillId="8" fontId="4" numFmtId="164" xfId="0" applyAlignment="1" applyBorder="1" applyFont="1" applyNumberFormat="1">
      <alignment readingOrder="0" shrinkToFit="0" vertical="top" wrapText="1"/>
    </xf>
    <xf borderId="1" fillId="21" fontId="18" numFmtId="0" xfId="0" applyAlignment="1" applyBorder="1" applyFont="1">
      <alignment horizontal="left" readingOrder="0" shrinkToFit="0" vertical="top" wrapText="1"/>
    </xf>
    <xf borderId="1" fillId="21" fontId="4" numFmtId="3" xfId="0" applyAlignment="1" applyBorder="1" applyFont="1" applyNumberFormat="1">
      <alignment horizontal="right" shrinkToFit="0" vertical="top" wrapText="1"/>
    </xf>
    <xf borderId="1" fillId="24" fontId="4" numFmtId="164" xfId="0" applyAlignment="1" applyBorder="1" applyFont="1" applyNumberFormat="1">
      <alignment horizontal="right" shrinkToFit="0" vertical="top" wrapText="1"/>
    </xf>
    <xf borderId="1" fillId="25" fontId="22" numFmtId="0" xfId="0" applyAlignment="1" applyBorder="1" applyFont="1">
      <alignment readingOrder="0" shrinkToFit="0" vertical="bottom" wrapText="1"/>
    </xf>
    <xf borderId="1" fillId="23" fontId="27" numFmtId="0" xfId="0" applyAlignment="1" applyBorder="1" applyFont="1">
      <alignment readingOrder="0" shrinkToFit="0" vertical="top" wrapText="1"/>
    </xf>
    <xf borderId="10" fillId="25" fontId="25" numFmtId="0" xfId="0" applyAlignment="1" applyBorder="1" applyFont="1">
      <alignment vertical="bottom"/>
    </xf>
    <xf borderId="23" fillId="26" fontId="4" numFmtId="164" xfId="0" applyAlignment="1" applyBorder="1" applyFont="1" applyNumberFormat="1">
      <alignment horizontal="right" vertical="top"/>
    </xf>
    <xf borderId="10" fillId="26" fontId="18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4" numFmtId="164" xfId="0" applyAlignment="1" applyFont="1" applyNumberFormat="1">
      <alignment readingOrder="0" vertical="bottom"/>
    </xf>
    <xf borderId="10" fillId="19" fontId="17" numFmtId="0" xfId="0" applyAlignment="1" applyBorder="1" applyFont="1">
      <alignment readingOrder="0" shrinkToFit="0" vertical="bottom" wrapText="1"/>
    </xf>
    <xf borderId="2" fillId="27" fontId="18" numFmtId="0" xfId="0" applyAlignment="1" applyBorder="1" applyFill="1" applyFont="1">
      <alignment horizontal="center" vertical="top"/>
    </xf>
    <xf borderId="2" fillId="28" fontId="18" numFmtId="0" xfId="0" applyAlignment="1" applyBorder="1" applyFill="1" applyFont="1">
      <alignment horizontal="center" vertical="top"/>
    </xf>
    <xf borderId="12" fillId="2" fontId="18" numFmtId="0" xfId="0" applyAlignment="1" applyBorder="1" applyFont="1">
      <alignment shrinkToFit="0" vertical="top" wrapText="1"/>
    </xf>
    <xf borderId="25" fillId="2" fontId="4" numFmtId="0" xfId="0" applyAlignment="1" applyBorder="1" applyFont="1">
      <alignment horizontal="right" readingOrder="0" shrinkToFit="0" vertical="top" wrapText="1"/>
    </xf>
    <xf borderId="12" fillId="2" fontId="4" numFmtId="0" xfId="0" applyAlignment="1" applyBorder="1" applyFont="1">
      <alignment shrinkToFit="0" vertical="top" wrapText="1"/>
    </xf>
    <xf borderId="25" fillId="2" fontId="4" numFmtId="173" xfId="0" applyAlignment="1" applyBorder="1" applyFont="1" applyNumberFormat="1">
      <alignment horizontal="right" shrinkToFit="0" vertical="top" wrapText="1"/>
    </xf>
    <xf borderId="2" fillId="21" fontId="18" numFmtId="0" xfId="0" applyAlignment="1" applyBorder="1" applyFont="1">
      <alignment horizontal="center" shrinkToFit="0" vertical="top" wrapText="1"/>
    </xf>
    <xf borderId="25" fillId="2" fontId="4" numFmtId="180" xfId="0" applyAlignment="1" applyBorder="1" applyFont="1" applyNumberFormat="1">
      <alignment horizontal="right" shrinkToFit="0" vertical="top" wrapText="1"/>
    </xf>
    <xf borderId="25" fillId="2" fontId="4" numFmtId="173" xfId="0" applyAlignment="1" applyBorder="1" applyFont="1" applyNumberFormat="1">
      <alignment horizontal="right" readingOrder="0" shrinkToFit="0" vertical="top" wrapText="1"/>
    </xf>
    <xf borderId="18" fillId="2" fontId="4" numFmtId="0" xfId="0" applyAlignment="1" applyBorder="1" applyFont="1">
      <alignment shrinkToFit="0" vertical="top" wrapText="1"/>
    </xf>
    <xf borderId="26" fillId="2" fontId="4" numFmtId="9" xfId="0" applyAlignment="1" applyBorder="1" applyFont="1" applyNumberFormat="1">
      <alignment horizontal="right" readingOrder="0" shrinkToFit="0" vertical="top" wrapText="1"/>
    </xf>
    <xf borderId="27" fillId="2" fontId="4" numFmtId="0" xfId="0" applyAlignment="1" applyBorder="1" applyFont="1">
      <alignment readingOrder="0" shrinkToFit="0" vertical="top" wrapText="1"/>
    </xf>
    <xf borderId="1" fillId="14" fontId="4" numFmtId="9" xfId="0" applyAlignment="1" applyBorder="1" applyFont="1" applyNumberFormat="1">
      <alignment horizontal="right" readingOrder="0" shrinkToFit="0" vertical="top" wrapText="1"/>
    </xf>
    <xf borderId="12" fillId="2" fontId="28" numFmtId="0" xfId="0" applyAlignment="1" applyBorder="1" applyFont="1">
      <alignment readingOrder="0" shrinkToFit="0" vertical="top" wrapText="1"/>
    </xf>
    <xf borderId="25" fillId="2" fontId="4" numFmtId="9" xfId="0" applyAlignment="1" applyBorder="1" applyFont="1" applyNumberFormat="1">
      <alignment horizontal="right" readingOrder="0" shrinkToFit="0" vertical="top" wrapText="1"/>
    </xf>
    <xf borderId="26" fillId="2" fontId="4" numFmtId="176" xfId="0" applyAlignment="1" applyBorder="1" applyFont="1" applyNumberFormat="1">
      <alignment horizontal="right" shrinkToFit="0" vertical="top" wrapText="1"/>
    </xf>
    <xf borderId="26" fillId="2" fontId="4" numFmtId="175" xfId="0" applyAlignment="1" applyBorder="1" applyFont="1" applyNumberFormat="1">
      <alignment horizontal="right" shrinkToFit="0" vertical="top" wrapText="1"/>
    </xf>
    <xf borderId="26" fillId="2" fontId="4" numFmtId="180" xfId="0" applyAlignment="1" applyBorder="1" applyFont="1" applyNumberFormat="1">
      <alignment horizontal="right" shrinkToFit="0" vertical="top" wrapText="1"/>
    </xf>
    <xf borderId="14" fillId="2" fontId="4" numFmtId="0" xfId="0" applyAlignment="1" applyBorder="1" applyFont="1">
      <alignment shrinkToFit="0" vertical="top" wrapText="1"/>
    </xf>
    <xf borderId="28" fillId="2" fontId="29" numFmtId="174" xfId="0" applyAlignment="1" applyBorder="1" applyFont="1" applyNumberFormat="1">
      <alignment shrinkToFit="0" vertical="top" wrapText="1"/>
    </xf>
    <xf borderId="14" fillId="2" fontId="4" numFmtId="0" xfId="0" applyAlignment="1" applyBorder="1" applyFont="1">
      <alignment readingOrder="0" shrinkToFit="0" vertical="top" wrapText="1"/>
    </xf>
    <xf borderId="28" fillId="2" fontId="4" numFmtId="175" xfId="0" applyAlignment="1" applyBorder="1" applyFont="1" applyNumberFormat="1">
      <alignment horizontal="right" shrinkToFit="0" vertical="top" wrapText="1"/>
    </xf>
    <xf borderId="29" fillId="25" fontId="22" numFmtId="0" xfId="0" applyAlignment="1" applyBorder="1" applyFont="1">
      <alignment readingOrder="0" shrinkToFit="0" vertical="bottom" wrapText="1"/>
    </xf>
    <xf borderId="30" fillId="25" fontId="22" numFmtId="177" xfId="0" applyAlignment="1" applyBorder="1" applyFont="1" applyNumberFormat="1">
      <alignment horizontal="right" readingOrder="0" shrinkToFit="0" vertical="top" wrapText="1"/>
    </xf>
    <xf borderId="31" fillId="2" fontId="18" numFmtId="0" xfId="0" applyAlignment="1" applyBorder="1" applyFont="1">
      <alignment shrinkToFit="0" vertical="top" wrapText="1"/>
    </xf>
    <xf borderId="32" fillId="2" fontId="18" numFmtId="166" xfId="0" applyAlignment="1" applyBorder="1" applyFont="1" applyNumberFormat="1">
      <alignment horizontal="right" shrinkToFit="0" vertical="top" wrapText="1"/>
    </xf>
    <xf borderId="33" fillId="23" fontId="30" numFmtId="0" xfId="0" applyAlignment="1" applyBorder="1" applyFont="1">
      <alignment readingOrder="0" shrinkToFit="0" vertical="top" wrapText="1"/>
    </xf>
    <xf borderId="2" fillId="21" fontId="18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34" fillId="25" fontId="22" numFmtId="0" xfId="0" applyAlignment="1" applyBorder="1" applyFont="1">
      <alignment readingOrder="0" shrinkToFit="0" vertical="bottom" wrapText="1"/>
    </xf>
    <xf borderId="35" fillId="25" fontId="22" numFmtId="164" xfId="0" applyAlignment="1" applyBorder="1" applyFont="1" applyNumberFormat="1">
      <alignment horizontal="right" readingOrder="0" shrinkToFit="0" vertical="top" wrapText="1"/>
    </xf>
    <xf borderId="25" fillId="2" fontId="4" numFmtId="175" xfId="0" applyAlignment="1" applyBorder="1" applyFont="1" applyNumberFormat="1">
      <alignment horizontal="right" readingOrder="0" shrinkToFit="0" vertical="top" wrapText="1"/>
    </xf>
    <xf borderId="27" fillId="2" fontId="4" numFmtId="0" xfId="0" applyAlignment="1" applyBorder="1" applyFont="1">
      <alignment shrinkToFit="0" vertical="top" wrapText="1"/>
    </xf>
    <xf borderId="36" fillId="2" fontId="4" numFmtId="0" xfId="0" applyAlignment="1" applyBorder="1" applyFont="1">
      <alignment horizontal="right" readingOrder="0" vertical="bottom"/>
    </xf>
    <xf borderId="26" fillId="2" fontId="4" numFmtId="0" xfId="0" applyAlignment="1" applyBorder="1" applyFont="1">
      <alignment horizontal="right" readingOrder="0" vertical="bottom"/>
    </xf>
    <xf borderId="10" fillId="25" fontId="25" numFmtId="0" xfId="0" applyAlignment="1" applyBorder="1" applyFont="1">
      <alignment shrinkToFit="0" vertical="bottom" wrapText="1"/>
    </xf>
    <xf borderId="37" fillId="2" fontId="4" numFmtId="0" xfId="0" applyAlignment="1" applyBorder="1" applyFont="1">
      <alignment shrinkToFit="0" vertical="top" wrapText="1"/>
    </xf>
    <xf borderId="38" fillId="2" fontId="4" numFmtId="0" xfId="0" applyAlignment="1" applyBorder="1" applyFont="1">
      <alignment horizontal="right" readingOrder="0" vertical="bottom"/>
    </xf>
    <xf borderId="0" fillId="12" fontId="4" numFmtId="0" xfId="0" applyAlignment="1" applyFont="1">
      <alignment readingOrder="0" shrinkToFit="0" vertical="bottom" wrapText="1"/>
    </xf>
    <xf borderId="0" fillId="25" fontId="17" numFmtId="0" xfId="0" applyAlignment="1" applyFont="1">
      <alignment vertical="bottom"/>
    </xf>
    <xf borderId="1" fillId="25" fontId="17" numFmtId="0" xfId="0" applyAlignment="1" applyBorder="1" applyFont="1">
      <alignment horizontal="right" vertical="bottom"/>
    </xf>
    <xf borderId="12" fillId="20" fontId="4" numFmtId="0" xfId="0" applyAlignment="1" applyBorder="1" applyFont="1">
      <alignment shrinkToFit="0" vertical="top" wrapText="1"/>
    </xf>
    <xf borderId="13" fillId="20" fontId="4" numFmtId="1" xfId="0" applyAlignment="1" applyBorder="1" applyFont="1" applyNumberFormat="1">
      <alignment horizontal="right" vertical="bottom"/>
    </xf>
    <xf borderId="14" fillId="20" fontId="4" numFmtId="0" xfId="0" applyAlignment="1" applyBorder="1" applyFont="1">
      <alignment shrinkToFit="0" vertical="top" wrapText="1"/>
    </xf>
    <xf borderId="15" fillId="20" fontId="4" numFmtId="1" xfId="0" applyAlignment="1" applyBorder="1" applyFont="1" applyNumberFormat="1">
      <alignment horizontal="right" vertical="bottom"/>
    </xf>
    <xf borderId="0" fillId="0" fontId="4" numFmtId="176" xfId="0" applyAlignment="1" applyFont="1" applyNumberFormat="1">
      <alignment horizontal="right" vertical="bottom"/>
    </xf>
    <xf borderId="16" fillId="22" fontId="4" numFmtId="0" xfId="0" applyAlignment="1" applyBorder="1" applyFont="1">
      <alignment shrinkToFit="0" vertical="top" wrapText="1"/>
    </xf>
    <xf borderId="14" fillId="22" fontId="4" numFmtId="0" xfId="0" applyAlignment="1" applyBorder="1" applyFont="1">
      <alignment shrinkToFit="0" vertical="top" wrapText="1"/>
    </xf>
    <xf borderId="0" fillId="0" fontId="4" numFmtId="166" xfId="0" applyAlignment="1" applyFont="1" applyNumberFormat="1">
      <alignment horizontal="right" vertical="bottom"/>
    </xf>
    <xf borderId="16" fillId="29" fontId="4" numFmtId="0" xfId="0" applyAlignment="1" applyBorder="1" applyFill="1" applyFont="1">
      <alignment shrinkToFit="0" vertical="top" wrapText="1"/>
    </xf>
    <xf borderId="17" fillId="29" fontId="4" numFmtId="164" xfId="0" applyAlignment="1" applyBorder="1" applyFont="1" applyNumberFormat="1">
      <alignment horizontal="right" vertical="bottom"/>
    </xf>
    <xf borderId="17" fillId="29" fontId="4" numFmtId="164" xfId="0" applyAlignment="1" applyBorder="1" applyFont="1" applyNumberFormat="1">
      <alignment horizontal="center" readingOrder="0" vertical="center"/>
    </xf>
    <xf borderId="18" fillId="29" fontId="4" numFmtId="0" xfId="0" applyAlignment="1" applyBorder="1" applyFont="1">
      <alignment shrinkToFit="0" vertical="top" wrapText="1"/>
    </xf>
    <xf borderId="24" fillId="29" fontId="4" numFmtId="164" xfId="0" applyAlignment="1" applyBorder="1" applyFont="1" applyNumberFormat="1">
      <alignment vertical="bottom"/>
    </xf>
    <xf borderId="24" fillId="29" fontId="4" numFmtId="164" xfId="0" applyAlignment="1" applyBorder="1" applyFont="1" applyNumberFormat="1">
      <alignment horizontal="right" vertical="bottom"/>
    </xf>
    <xf borderId="24" fillId="29" fontId="4" numFmtId="164" xfId="0" applyAlignment="1" applyBorder="1" applyFont="1" applyNumberFormat="1">
      <alignment readingOrder="0" vertical="bottom"/>
    </xf>
    <xf borderId="18" fillId="30" fontId="18" numFmtId="0" xfId="0" applyAlignment="1" applyBorder="1" applyFill="1" applyFont="1">
      <alignment shrinkToFit="0" vertical="top" wrapText="1"/>
    </xf>
    <xf borderId="24" fillId="30" fontId="4" numFmtId="164" xfId="0" applyAlignment="1" applyBorder="1" applyFont="1" applyNumberFormat="1">
      <alignment horizontal="right" vertical="bottom"/>
    </xf>
    <xf borderId="18" fillId="8" fontId="18" numFmtId="0" xfId="0" applyAlignment="1" applyBorder="1" applyFont="1">
      <alignment shrinkToFit="0" vertical="top" wrapText="1"/>
    </xf>
    <xf borderId="24" fillId="8" fontId="4" numFmtId="164" xfId="0" applyAlignment="1" applyBorder="1" applyFont="1" applyNumberFormat="1">
      <alignment horizontal="right" vertical="bottom"/>
    </xf>
    <xf borderId="14" fillId="18" fontId="18" numFmtId="0" xfId="0" applyAlignment="1" applyBorder="1" applyFont="1">
      <alignment shrinkToFit="0" vertical="top" wrapText="1"/>
    </xf>
    <xf borderId="27" fillId="18" fontId="18" numFmtId="0" xfId="0" applyAlignment="1" applyBorder="1" applyFont="1">
      <alignment shrinkToFit="0" vertical="top" wrapText="1"/>
    </xf>
    <xf borderId="39" fillId="18" fontId="4" numFmtId="3" xfId="0" applyAlignment="1" applyBorder="1" applyFont="1" applyNumberFormat="1">
      <alignment horizontal="right" vertical="bottom"/>
    </xf>
    <xf borderId="39" fillId="18" fontId="18" numFmtId="3" xfId="0" applyAlignment="1" applyBorder="1" applyFont="1" applyNumberFormat="1">
      <alignment horizontal="right" vertical="bottom"/>
    </xf>
    <xf borderId="18" fillId="18" fontId="18" numFmtId="0" xfId="0" applyAlignment="1" applyBorder="1" applyFont="1">
      <alignment shrinkToFit="0" vertical="top" wrapText="1"/>
    </xf>
    <xf borderId="24" fillId="18" fontId="18" numFmtId="9" xfId="0" applyAlignment="1" applyBorder="1" applyFont="1" applyNumberFormat="1">
      <alignment horizontal="right" vertical="bottom"/>
    </xf>
    <xf borderId="24" fillId="18" fontId="18" numFmtId="167" xfId="0" applyAlignment="1" applyBorder="1" applyFont="1" applyNumberFormat="1">
      <alignment horizontal="right" vertical="bottom"/>
    </xf>
    <xf borderId="23" fillId="26" fontId="4" numFmtId="0" xfId="0" applyAlignment="1" applyBorder="1" applyFont="1">
      <alignment readingOrder="0" shrinkToFit="0" vertical="top" wrapText="1"/>
    </xf>
    <xf borderId="23" fillId="26" fontId="4" numFmtId="181" xfId="0" applyAlignment="1" applyBorder="1" applyFont="1" applyNumberFormat="1">
      <alignment horizontal="right" readingOrder="0" vertical="top"/>
    </xf>
    <xf borderId="23" fillId="26" fontId="4" numFmtId="165" xfId="0" applyAlignment="1" applyBorder="1" applyFont="1" applyNumberFormat="1">
      <alignment horizontal="right" vertical="top"/>
    </xf>
    <xf borderId="39" fillId="18" fontId="4" numFmtId="3" xfId="0" applyAlignment="1" applyBorder="1" applyFont="1" applyNumberFormat="1">
      <alignment horizontal="right" vertical="top"/>
    </xf>
    <xf borderId="39" fillId="18" fontId="18" numFmtId="3" xfId="0" applyAlignment="1" applyBorder="1" applyFont="1" applyNumberFormat="1">
      <alignment horizontal="right" vertical="top"/>
    </xf>
    <xf borderId="0" fillId="0" fontId="4" numFmtId="3" xfId="0" applyAlignment="1" applyFont="1" applyNumberFormat="1">
      <alignment vertical="top"/>
    </xf>
    <xf borderId="24" fillId="18" fontId="18" numFmtId="9" xfId="0" applyAlignment="1" applyBorder="1" applyFont="1" applyNumberFormat="1">
      <alignment horizontal="right" vertical="top"/>
    </xf>
    <xf borderId="24" fillId="18" fontId="18" numFmtId="167" xfId="0" applyAlignment="1" applyBorder="1" applyFont="1" applyNumberFormat="1">
      <alignment horizontal="right" vertical="top"/>
    </xf>
    <xf borderId="1" fillId="21" fontId="19" numFmtId="0" xfId="0" applyAlignment="1" applyBorder="1" applyFont="1">
      <alignment shrinkToFit="0" vertical="bottom" wrapText="1"/>
    </xf>
    <xf borderId="1" fillId="21" fontId="4" numFmtId="0" xfId="0" applyAlignment="1" applyBorder="1" applyFont="1">
      <alignment vertical="bottom"/>
    </xf>
    <xf borderId="1" fillId="29" fontId="18" numFmtId="0" xfId="0" applyAlignment="1" applyBorder="1" applyFont="1">
      <alignment shrinkToFit="0" vertical="bottom" wrapText="1"/>
    </xf>
    <xf borderId="1" fillId="29" fontId="4" numFmtId="164" xfId="0" applyAlignment="1" applyBorder="1" applyFont="1" applyNumberFormat="1">
      <alignment horizontal="right" vertical="bottom"/>
    </xf>
    <xf borderId="0" fillId="0" fontId="31" numFmtId="0" xfId="0" applyAlignment="1" applyFont="1">
      <alignment vertical="bottom"/>
    </xf>
    <xf borderId="1" fillId="24" fontId="18" numFmtId="0" xfId="0" applyAlignment="1" applyBorder="1" applyFont="1">
      <alignment shrinkToFit="0" vertical="bottom" wrapText="1"/>
    </xf>
    <xf borderId="1" fillId="24" fontId="4" numFmtId="164" xfId="0" applyAlignment="1" applyBorder="1" applyFont="1" applyNumberFormat="1">
      <alignment horizontal="right" vertical="bottom"/>
    </xf>
    <xf borderId="1" fillId="29" fontId="4" numFmtId="0" xfId="0" applyAlignment="1" applyBorder="1" applyFont="1">
      <alignment shrinkToFit="0" vertical="bottom" wrapText="1"/>
    </xf>
    <xf borderId="1" fillId="31" fontId="4" numFmtId="0" xfId="0" applyAlignment="1" applyBorder="1" applyFill="1" applyFont="1">
      <alignment shrinkToFit="0" vertical="bottom" wrapText="1"/>
    </xf>
    <xf borderId="1" fillId="31" fontId="4" numFmtId="176" xfId="0" applyAlignment="1" applyBorder="1" applyFont="1" applyNumberFormat="1">
      <alignment horizontal="right" vertical="bottom"/>
    </xf>
    <xf borderId="1" fillId="18" fontId="4" numFmtId="0" xfId="0" applyAlignment="1" applyBorder="1" applyFont="1">
      <alignment shrinkToFit="0" vertical="bottom" wrapText="1"/>
    </xf>
    <xf borderId="1" fillId="18" fontId="4" numFmtId="182" xfId="0" applyAlignment="1" applyBorder="1" applyFont="1" applyNumberFormat="1">
      <alignment horizontal="right" vertical="bottom"/>
    </xf>
    <xf borderId="1" fillId="27" fontId="4" numFmtId="0" xfId="0" applyAlignment="1" applyBorder="1" applyFont="1">
      <alignment shrinkToFit="0" vertical="bottom" wrapText="1"/>
    </xf>
    <xf borderId="1" fillId="27" fontId="4" numFmtId="3" xfId="0" applyAlignment="1" applyBorder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14" fontId="3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33" numFmtId="0" xfId="0" applyAlignment="1" applyFont="1">
      <alignment readingOrder="0" shrinkToFit="0" wrapText="1"/>
    </xf>
    <xf borderId="0" fillId="0" fontId="2" numFmtId="3" xfId="0" applyFont="1" applyNumberFormat="1"/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4" numFmtId="0" xfId="0" applyAlignment="1" applyFont="1">
      <alignment shrinkToFit="0" vertical="top" wrapText="1"/>
    </xf>
    <xf borderId="10" fillId="2" fontId="18" numFmtId="0" xfId="0" applyAlignment="1" applyBorder="1" applyFont="1">
      <alignment horizontal="center" shrinkToFit="0" vertical="top" wrapText="1"/>
    </xf>
    <xf borderId="10" fillId="2" fontId="18" numFmtId="0" xfId="0" applyAlignment="1" applyBorder="1" applyFont="1">
      <alignment horizontal="center" readingOrder="0" shrinkToFit="0" vertical="top" wrapText="1"/>
    </xf>
    <xf borderId="0" fillId="2" fontId="18" numFmtId="0" xfId="0" applyAlignment="1" applyFont="1">
      <alignment horizontal="center" readingOrder="0" shrinkToFit="0" vertical="top" wrapText="1"/>
    </xf>
    <xf borderId="0" fillId="0" fontId="18" numFmtId="0" xfId="0" applyAlignment="1" applyFont="1">
      <alignment horizontal="center" readingOrder="0" shrinkToFit="0" vertical="top" wrapText="1"/>
    </xf>
    <xf borderId="0" fillId="0" fontId="35" numFmtId="0" xfId="0" applyAlignment="1" applyFont="1">
      <alignment horizontal="center" readingOrder="0" shrinkToFit="0" vertical="top" wrapText="1"/>
    </xf>
    <xf borderId="0" fillId="0" fontId="18" numFmtId="0" xfId="0" applyAlignment="1" applyFont="1">
      <alignment horizontal="center" shrinkToFit="0" vertical="top" wrapText="1"/>
    </xf>
    <xf borderId="0" fillId="0" fontId="35" numFmtId="0" xfId="0" applyAlignment="1" applyFont="1">
      <alignment horizontal="center" shrinkToFit="0" vertical="top" wrapText="1"/>
    </xf>
    <xf borderId="10" fillId="2" fontId="4" numFmtId="164" xfId="0" applyAlignment="1" applyBorder="1" applyFont="1" applyNumberFormat="1">
      <alignment horizontal="right" readingOrder="0" vertical="bottom"/>
    </xf>
    <xf borderId="10" fillId="2" fontId="4" numFmtId="174" xfId="0" applyAlignment="1" applyBorder="1" applyFont="1" applyNumberFormat="1">
      <alignment horizontal="right" readingOrder="0" vertical="bottom"/>
    </xf>
    <xf borderId="40" fillId="2" fontId="4" numFmtId="174" xfId="0" applyAlignment="1" applyBorder="1" applyFont="1" applyNumberFormat="1">
      <alignment horizontal="right" readingOrder="0" vertical="bottom"/>
    </xf>
    <xf borderId="0" fillId="2" fontId="4" numFmtId="165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36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vertical="bottom"/>
    </xf>
    <xf borderId="0" fillId="0" fontId="36" numFmtId="164" xfId="0" applyAlignment="1" applyFont="1" applyNumberFormat="1">
      <alignment horizontal="right" vertical="bottom"/>
    </xf>
    <xf borderId="0" fillId="32" fontId="37" numFmtId="164" xfId="0" applyAlignment="1" applyFill="1" applyFont="1" applyNumberFormat="1">
      <alignment horizontal="right" readingOrder="0" shrinkToFit="0" vertical="top" wrapText="1"/>
    </xf>
    <xf borderId="0" fillId="32" fontId="37" numFmtId="174" xfId="0" applyAlignment="1" applyFont="1" applyNumberFormat="1">
      <alignment horizontal="right" readingOrder="0" shrinkToFit="0" vertical="top" wrapText="1"/>
    </xf>
    <xf borderId="0" fillId="2" fontId="4" numFmtId="9" xfId="0" applyAlignment="1" applyFont="1" applyNumberFormat="1">
      <alignment horizontal="right" readingOrder="0" shrinkToFit="0" vertical="top" wrapText="1"/>
    </xf>
    <xf borderId="0" fillId="2" fontId="4" numFmtId="173" xfId="0" applyAlignment="1" applyFont="1" applyNumberFormat="1">
      <alignment horizontal="right" readingOrder="0" shrinkToFit="0" vertical="top" wrapText="1"/>
    </xf>
    <xf borderId="0" fillId="2" fontId="4" numFmtId="164" xfId="0" applyAlignment="1" applyFont="1" applyNumberFormat="1">
      <alignment horizontal="right" readingOrder="0" vertical="bottom"/>
    </xf>
    <xf borderId="0" fillId="2" fontId="4" numFmtId="174" xfId="0" applyAlignment="1" applyFont="1" applyNumberFormat="1">
      <alignment horizontal="right" readingOrder="0" vertical="bottom"/>
    </xf>
    <xf borderId="41" fillId="2" fontId="4" numFmtId="174" xfId="0" applyAlignment="1" applyBorder="1" applyFont="1" applyNumberFormat="1">
      <alignment horizontal="right" readingOrder="0" vertical="bottom"/>
    </xf>
    <xf borderId="0" fillId="16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readingOrder="0" vertical="center"/>
    </xf>
    <xf borderId="0" fillId="0" fontId="4" numFmtId="9" xfId="0" applyAlignment="1" applyFont="1" applyNumberFormat="1">
      <alignment horizontal="right" readingOrder="0" vertical="bottom"/>
    </xf>
    <xf borderId="0" fillId="0" fontId="36" numFmtId="9" xfId="0" applyAlignment="1" applyFont="1" applyNumberFormat="1">
      <alignment horizontal="right" readingOrder="0" vertical="bottom"/>
    </xf>
    <xf borderId="0" fillId="0" fontId="4" numFmtId="182" xfId="0" applyAlignment="1" applyFont="1" applyNumberFormat="1">
      <alignment horizontal="right" readingOrder="0" vertical="bottom"/>
    </xf>
    <xf borderId="0" fillId="0" fontId="36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vertical="bottom"/>
    </xf>
    <xf borderId="0" fillId="0" fontId="34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36" numFmtId="0" xfId="0" applyAlignment="1" applyFont="1">
      <alignment horizontal="right" readingOrder="0" vertical="bottom"/>
    </xf>
    <xf borderId="0" fillId="0" fontId="34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7" fillId="14" fontId="1" numFmtId="0" xfId="0" applyAlignment="1" applyBorder="1" applyFont="1">
      <alignment readingOrder="0"/>
    </xf>
    <xf borderId="9" fillId="14" fontId="1" numFmtId="0" xfId="0" applyAlignment="1" applyBorder="1" applyFont="1">
      <alignment readingOrder="0" shrinkToFit="0" wrapText="1"/>
    </xf>
    <xf borderId="11" fillId="14" fontId="1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/>
    </xf>
    <xf borderId="0" fillId="12" fontId="2" numFmtId="165" xfId="0" applyAlignment="1" applyFont="1" applyNumberFormat="1">
      <alignment horizontal="center" readingOrder="0"/>
    </xf>
    <xf borderId="0" fillId="0" fontId="2" numFmtId="9" xfId="0" applyFont="1" applyNumberFormat="1"/>
    <xf borderId="0" fillId="0" fontId="2" numFmtId="164" xfId="0" applyAlignment="1" applyFont="1" applyNumberFormat="1">
      <alignment horizontal="right" readingOrder="0"/>
    </xf>
    <xf borderId="42" fillId="0" fontId="2" numFmtId="9" xfId="0" applyBorder="1" applyFont="1" applyNumberFormat="1"/>
    <xf borderId="0" fillId="12" fontId="38" numFmtId="164" xfId="0" applyAlignment="1" applyFont="1" applyNumberFormat="1">
      <alignment readingOrder="0"/>
    </xf>
    <xf borderId="43" fillId="14" fontId="1" numFmtId="0" xfId="0" applyAlignment="1" applyBorder="1" applyFont="1">
      <alignment readingOrder="0"/>
    </xf>
    <xf borderId="44" fillId="14" fontId="1" numFmtId="164" xfId="0" applyBorder="1" applyFont="1" applyNumberFormat="1"/>
    <xf borderId="44" fillId="14" fontId="1" numFmtId="9" xfId="0" applyBorder="1" applyFont="1" applyNumberFormat="1"/>
    <xf borderId="45" fillId="14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Town of Bethel Electricity Consumption Data for Facilities FY23-25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FY23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Data'!$B$3:$B$8</c:f>
              <c:numCache/>
            </c:numRef>
          </c:val>
        </c:ser>
        <c:ser>
          <c:idx val="1"/>
          <c:order val="1"/>
          <c:tx>
            <c:v>FY24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Data'!$D$3:$D$8</c:f>
              <c:numCache/>
            </c:numRef>
          </c:val>
        </c:ser>
        <c:ser>
          <c:idx val="2"/>
          <c:order val="2"/>
          <c:tx>
            <c:v>FY25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Data'!$H$3:$H$8</c:f>
              <c:numCache/>
            </c:numRef>
          </c:val>
        </c:ser>
        <c:axId val="1690426441"/>
        <c:axId val="356192704"/>
      </c:barChart>
      <c:catAx>
        <c:axId val="169042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Facility</a:t>
                </a:r>
              </a:p>
            </c:rich>
          </c:tx>
          <c:layout>
            <c:manualLayout>
              <c:xMode val="edge"/>
              <c:yMode val="edge"/>
              <c:x val="0.07555251667974883"/>
              <c:y val="0.86614035087719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92704"/>
      </c:catAx>
      <c:valAx>
        <c:axId val="35619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Electricity Consumed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42644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erif"/>
              </a:defRPr>
            </a:pPr>
            <a:r>
              <a:rPr b="1" sz="1600">
                <a:solidFill>
                  <a:srgbClr val="000000"/>
                </a:solidFill>
                <a:latin typeface="serif"/>
              </a:rPr>
              <a:t>Present Value of Fuel Expenditure for 25 Years</a:t>
            </a:r>
          </a:p>
        </c:rich>
      </c:tx>
      <c:layout>
        <c:manualLayout>
          <c:xMode val="edge"/>
          <c:yMode val="edge"/>
          <c:x val="0.030853391684901536"/>
          <c:y val="0.032269503546099296"/>
        </c:manualLayout>
      </c:layout>
      <c:overlay val="0"/>
    </c:title>
    <c:plotArea>
      <c:layout/>
      <c:lineChart>
        <c:ser>
          <c:idx val="0"/>
          <c:order val="0"/>
          <c:tx>
            <c:v>PV of Fuel Expenditure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'Cost Analysis - Fuel'!$B$46:$B$47</c:f>
            </c:strRef>
          </c:cat>
          <c:val>
            <c:numRef>
              <c:f>'Cost Analysis - Fuel'!$C$46:$C$47</c:f>
              <c:numCache/>
            </c:numRef>
          </c:val>
          <c:smooth val="1"/>
        </c:ser>
        <c:ser>
          <c:idx val="1"/>
          <c:order val="1"/>
          <c:tx>
            <c:v>PV of Fuel Social Expenditure</c:v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'Cost Analysis - Fuel'!$B$46:$B$47</c:f>
            </c:strRef>
          </c:cat>
          <c:val>
            <c:numRef>
              <c:f>'Cost Analysis - Fuel'!$D$46:$D$47</c:f>
              <c:numCache/>
            </c:numRef>
          </c:val>
          <c:smooth val="1"/>
        </c:ser>
        <c:axId val="246358595"/>
        <c:axId val="1032379266"/>
      </c:lineChart>
      <c:catAx>
        <c:axId val="246358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Project Planning Year</a:t>
                </a:r>
              </a:p>
            </c:rich>
          </c:tx>
          <c:layout>
            <c:manualLayout>
              <c:xMode val="edge"/>
              <c:yMode val="edge"/>
              <c:x val="0.25417635393873084"/>
              <c:y val="0.813829787234042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379266"/>
      </c:catAx>
      <c:valAx>
        <c:axId val="103237926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Present Value of Expenditure ($)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58595"/>
      </c:valAx>
    </c:plotArea>
    <c:legend>
      <c:legendPos val="b"/>
      <c:layout>
        <c:manualLayout>
          <c:xMode val="edge"/>
          <c:yMode val="edge"/>
          <c:x val="0.2618961125547045"/>
          <c:y val="0.9074468085106382"/>
        </c:manualLayout>
      </c:layout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erif"/>
              </a:defRPr>
            </a:pPr>
            <a:r>
              <a:rPr b="1" sz="1600">
                <a:solidFill>
                  <a:srgbClr val="000000"/>
                </a:solidFill>
                <a:latin typeface="serif"/>
              </a:rPr>
              <a:t>Net Present Value of Solar Investment for 25 Years</a:t>
            </a:r>
          </a:p>
        </c:rich>
      </c:tx>
      <c:layout>
        <c:manualLayout>
          <c:xMode val="edge"/>
          <c:yMode val="edge"/>
          <c:x val="0.030853391684901536"/>
          <c:y val="0.032269503546099296"/>
        </c:manualLayout>
      </c:layout>
      <c:overlay val="0"/>
    </c:title>
    <c:plotArea>
      <c:layout/>
      <c:lineChart>
        <c:ser>
          <c:idx val="0"/>
          <c:order val="0"/>
          <c:tx>
            <c:v>NPV Solar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'SCBA-Solar'!$B$76:$B$77</c:f>
            </c:strRef>
          </c:cat>
          <c:val>
            <c:numRef>
              <c:f>'SCBA-Solar'!$C$76:$C$77</c:f>
              <c:numCache/>
            </c:numRef>
          </c:val>
          <c:smooth val="1"/>
        </c:ser>
        <c:ser>
          <c:idx val="1"/>
          <c:order val="1"/>
          <c:tx>
            <c:v>NPV Solar Social</c:v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'SCBA-Solar'!$B$76:$B$77</c:f>
            </c:strRef>
          </c:cat>
          <c:val>
            <c:numRef>
              <c:f>'SCBA-Solar'!$D$76:$D$77</c:f>
              <c:numCache/>
            </c:numRef>
          </c:val>
          <c:smooth val="1"/>
        </c:ser>
        <c:axId val="1422151850"/>
        <c:axId val="1269791717"/>
      </c:lineChart>
      <c:catAx>
        <c:axId val="142215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Project Planning Year</a:t>
                </a:r>
              </a:p>
            </c:rich>
          </c:tx>
          <c:layout>
            <c:manualLayout>
              <c:xMode val="edge"/>
              <c:yMode val="edge"/>
              <c:x val="0.25417635393873084"/>
              <c:y val="0.813829787234042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91717"/>
      </c:catAx>
      <c:valAx>
        <c:axId val="12697917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000">
                    <a:solidFill>
                      <a:srgbClr val="000000"/>
                    </a:solidFill>
                    <a:latin typeface="serif"/>
                  </a:rPr>
                  <a:t>Net Present Value of Investment ($)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151850"/>
      </c:valAx>
    </c:plotArea>
    <c:legend>
      <c:legendPos val="b"/>
      <c:layout>
        <c:manualLayout>
          <c:xMode val="edge"/>
          <c:yMode val="edge"/>
          <c:x val="0.3975207706509846"/>
          <c:y val="0.9074468085106382"/>
        </c:manualLayout>
      </c:layout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Georgia"/>
              </a:defRPr>
            </a:pPr>
            <a:r>
              <a:rPr b="0" sz="1400">
                <a:solidFill>
                  <a:srgbClr val="000000"/>
                </a:solidFill>
                <a:latin typeface="Georgia"/>
              </a:rPr>
              <a:t>Energy Mix of Bethel Town Departments</a:t>
            </a:r>
          </a:p>
        </c:rich>
      </c:tx>
      <c:layout>
        <c:manualLayout>
          <c:xMode val="edge"/>
          <c:yMode val="edge"/>
          <c:x val="0.026066350710900472"/>
          <c:y val="0.04230769230769231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36526226809627645"/>
          <c:y val="0.06180938374741431"/>
          <c:w val="0.9348370927318297"/>
          <c:h val="0.8480370665603826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1400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1400"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sz="1400"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sz="1400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Results!$C$3:$C$6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layout>
        <c:manualLayout>
          <c:xMode val="edge"/>
          <c:yMode val="edge"/>
          <c:x val="0.11252466009614608"/>
          <c:y val="0.8865452905806679"/>
        </c:manualLayout>
      </c:layout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Georgia"/>
              </a:defRPr>
            </a:pPr>
            <a:r>
              <a:rPr b="0" sz="1400">
                <a:solidFill>
                  <a:srgbClr val="000000"/>
                </a:solidFill>
                <a:latin typeface="Georgia"/>
              </a:rPr>
              <a:t>Net Present Value for Energy Options</a:t>
            </a:r>
          </a:p>
        </c:rich>
      </c:tx>
      <c:layout>
        <c:manualLayout>
          <c:xMode val="edge"/>
          <c:yMode val="edge"/>
          <c:x val="0.035224839400428275"/>
          <c:y val="0.02577854671280277"/>
        </c:manualLayout>
      </c:layout>
      <c:overlay val="0"/>
    </c:title>
    <c:plotArea>
      <c:layout>
        <c:manualLayout>
          <c:xMode val="edge"/>
          <c:yMode val="edge"/>
          <c:x val="0.20021413276231265"/>
          <c:y val="0.13958309473489777"/>
          <c:w val="0.522503475939805"/>
          <c:h val="0.6235656941924379"/>
        </c:manualLayout>
      </c:layout>
      <c:lineChart>
        <c:ser>
          <c:idx val="0"/>
          <c:order val="0"/>
          <c:tx>
            <c:v>Electricity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Results!$E$16:$E$18</c:f>
              <c:numCache/>
            </c:numRef>
          </c:val>
          <c:smooth val="1"/>
        </c:ser>
        <c:ser>
          <c:idx val="1"/>
          <c:order val="1"/>
          <c:tx>
            <c:v>Electricity (Social)</c:v>
          </c:tx>
          <c:spPr>
            <a:ln cmpd="sng" w="3810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Results!$F$16:$F$18</c:f>
              <c:numCache/>
            </c:numRef>
          </c:val>
          <c:smooth val="1"/>
        </c:ser>
        <c:ser>
          <c:idx val="2"/>
          <c:order val="2"/>
          <c:tx>
            <c:v>Fuel</c:v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Results!$G$16:$G$18</c:f>
              <c:numCache/>
            </c:numRef>
          </c:val>
          <c:smooth val="1"/>
        </c:ser>
        <c:ser>
          <c:idx val="3"/>
          <c:order val="3"/>
          <c:tx>
            <c:v>Fuel (Social)</c:v>
          </c:tx>
          <c:spPr>
            <a:ln cmpd="sng" w="3810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Results!$H$16:$H$18</c:f>
              <c:numCache/>
            </c:numRef>
          </c:val>
          <c:smooth val="1"/>
        </c:ser>
        <c:ser>
          <c:idx val="4"/>
          <c:order val="4"/>
          <c:tx>
            <c:v>Solar</c:v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Results!$I$16:$I$18</c:f>
              <c:numCache/>
            </c:numRef>
          </c:val>
          <c:smooth val="1"/>
        </c:ser>
        <c:ser>
          <c:idx val="5"/>
          <c:order val="5"/>
          <c:tx>
            <c:v>Solar (Social)</c:v>
          </c:tx>
          <c:spPr>
            <a:ln cmpd="sng" w="3810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Results!$B$16:$B$18</c:f>
            </c:strRef>
          </c:cat>
          <c:val>
            <c:numRef>
              <c:f>Results!$J$16:$J$18</c:f>
              <c:numCache/>
            </c:numRef>
          </c:val>
          <c:smooth val="1"/>
        </c:ser>
        <c:axId val="406709784"/>
        <c:axId val="1171787685"/>
      </c:lineChart>
      <c:catAx>
        <c:axId val="40670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200">
                    <a:solidFill>
                      <a:srgbClr val="000000"/>
                    </a:solidFill>
                    <a:latin typeface="serif"/>
                  </a:rPr>
                  <a:t>Discount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1787685"/>
      </c:catAx>
      <c:valAx>
        <c:axId val="11717876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erif"/>
                  </a:defRPr>
                </a:pPr>
                <a:r>
                  <a:rPr b="1">
                    <a:solidFill>
                      <a:srgbClr val="000000"/>
                    </a:solidFill>
                    <a:latin typeface="serif"/>
                  </a:rPr>
                  <a:t>Net Present Value ($1000)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6709784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Georgia"/>
              </a:defRPr>
            </a:pPr>
            <a:r>
              <a:rPr b="0" sz="1400">
                <a:solidFill>
                  <a:schemeClr val="dk1"/>
                </a:solidFill>
                <a:latin typeface="Georgia"/>
              </a:rPr>
              <a:t>Internal Rate of Return for Energy Options</a:t>
            </a:r>
          </a:p>
        </c:rich>
      </c:tx>
      <c:layout>
        <c:manualLayout>
          <c:xMode val="edge"/>
          <c:yMode val="edge"/>
          <c:x val="0.035224839400428275"/>
          <c:y val="0.032698961937716264"/>
        </c:manualLayout>
      </c:layout>
      <c:overlay val="0"/>
    </c:title>
    <c:plotArea>
      <c:layout/>
      <c:lineChart>
        <c:ser>
          <c:idx val="0"/>
          <c:order val="0"/>
          <c:tx>
            <c:v>Solar PV</c:v>
          </c:tx>
          <c:spPr>
            <a:ln cmpd="sng" w="38100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Results!$A$21:$A$24</c:f>
            </c:strRef>
          </c:cat>
          <c:val>
            <c:numRef>
              <c:f>Results!$I$21:$I$24</c:f>
              <c:numCache/>
            </c:numRef>
          </c:val>
          <c:smooth val="1"/>
        </c:ser>
        <c:ser>
          <c:idx val="1"/>
          <c:order val="1"/>
          <c:tx>
            <c:v>Solar PV (Social)</c:v>
          </c:tx>
          <c:spPr>
            <a:ln cmpd="sng" w="38100">
              <a:solidFill>
                <a:srgbClr val="93C47D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Results!$A$21:$A$24</c:f>
            </c:strRef>
          </c:cat>
          <c:val>
            <c:numRef>
              <c:f>Results!$J$21:$J$24</c:f>
              <c:numCache/>
            </c:numRef>
          </c:val>
          <c:smooth val="1"/>
        </c:ser>
        <c:axId val="453483555"/>
        <c:axId val="678851253"/>
      </c:lineChart>
      <c:catAx>
        <c:axId val="45348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851253"/>
      </c:catAx>
      <c:valAx>
        <c:axId val="6788512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Internal Rate of Return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83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Georgia"/>
              </a:defRPr>
            </a:pPr>
            <a:r>
              <a:rPr b="0" sz="1400">
                <a:solidFill>
                  <a:schemeClr val="dk1"/>
                </a:solidFill>
                <a:latin typeface="Georgia"/>
              </a:rPr>
              <a:t>Discounted and Simple Payback Period for Energy Options</a:t>
            </a:r>
          </a:p>
        </c:rich>
      </c:tx>
      <c:layout>
        <c:manualLayout>
          <c:xMode val="edge"/>
          <c:yMode val="edge"/>
          <c:x val="0.032119914346895075"/>
          <c:y val="0.03333333333333333"/>
        </c:manualLayout>
      </c:layout>
      <c:overlay val="0"/>
    </c:title>
    <c:plotArea>
      <c:layout>
        <c:manualLayout>
          <c:xMode val="edge"/>
          <c:yMode val="edge"/>
          <c:x val="0.1684084936660447"/>
          <c:y val="0.14999999999999994"/>
          <c:w val="0.5285936476615785"/>
          <c:h val="0.6929121083559979"/>
        </c:manualLayout>
      </c:layout>
      <c:lineChart>
        <c:ser>
          <c:idx val="0"/>
          <c:order val="0"/>
          <c:tx>
            <c:v>Solar PV - Simple PBP</c:v>
          </c:tx>
          <c:spPr>
            <a:ln cmpd="sng" w="38100">
              <a:solidFill>
                <a:srgbClr val="38761D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Results!$I$40:$I$42</c:f>
              <c:numCache/>
            </c:numRef>
          </c:val>
          <c:smooth val="0"/>
        </c:ser>
        <c:ser>
          <c:idx val="1"/>
          <c:order val="1"/>
          <c:tx>
            <c:v>Solar PV - SPBP (Social)</c:v>
          </c:tx>
          <c:spPr>
            <a:ln cmpd="sng" w="38100">
              <a:solidFill>
                <a:srgbClr val="38761D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Results!$J$40:$J$42</c:f>
              <c:numCache/>
            </c:numRef>
          </c:val>
          <c:smooth val="0"/>
        </c:ser>
        <c:ser>
          <c:idx val="2"/>
          <c:order val="2"/>
          <c:tx>
            <c:v>Solar PV - DPBP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Results!$I$34:$I$36</c:f>
              <c:numCache/>
            </c:numRef>
          </c:val>
          <c:smooth val="0"/>
        </c:ser>
        <c:ser>
          <c:idx val="3"/>
          <c:order val="3"/>
          <c:tx>
            <c:v>Solar PV - DPBP (Social)</c:v>
          </c:tx>
          <c:spPr>
            <a:ln cmpd="sng" w="38100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Results!$J$34:$J$36</c:f>
              <c:numCache/>
            </c:numRef>
          </c:val>
          <c:smooth val="0"/>
        </c:ser>
        <c:axId val="2025695653"/>
        <c:axId val="2073459368"/>
      </c:lineChart>
      <c:catAx>
        <c:axId val="2025695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459368"/>
      </c:catAx>
      <c:valAx>
        <c:axId val="20734593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06930022573363431"/>
              <c:y val="0.1344282238442822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695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Georgia"/>
              </a:defRPr>
            </a:pPr>
            <a:r>
              <a:rPr b="0" sz="1400">
                <a:solidFill>
                  <a:schemeClr val="dk1"/>
                </a:solidFill>
                <a:latin typeface="Georgia"/>
              </a:rPr>
              <a:t>Levelized Cost of Energy for Solar</a:t>
            </a:r>
          </a:p>
        </c:rich>
      </c:tx>
      <c:layout>
        <c:manualLayout>
          <c:xMode val="edge"/>
          <c:yMode val="edge"/>
          <c:x val="0.03094218415417559"/>
          <c:y val="0.043079584775086506"/>
        </c:manualLayout>
      </c:layout>
      <c:overlay val="0"/>
    </c:title>
    <c:plotArea>
      <c:layout/>
      <c:lineChart>
        <c:ser>
          <c:idx val="0"/>
          <c:order val="0"/>
          <c:tx>
            <c:v>Solar</c:v>
          </c:tx>
          <c:spPr>
            <a:ln cmpd="sng" w="38100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Results!$B$28:$B$30</c:f>
            </c:strRef>
          </c:cat>
          <c:val>
            <c:numRef>
              <c:f>Results!$I$28:$I$30</c:f>
              <c:numCache/>
            </c:numRef>
          </c:val>
          <c:smooth val="1"/>
        </c:ser>
        <c:ser>
          <c:idx val="1"/>
          <c:order val="1"/>
          <c:tx>
            <c:v>Solar (Social)</c:v>
          </c:tx>
          <c:spPr>
            <a:ln cmpd="sng" w="38100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Results!$B$28:$B$30</c:f>
            </c:strRef>
          </c:cat>
          <c:val>
            <c:numRef>
              <c:f>Results!$J$28:$J$30</c:f>
              <c:numCache/>
            </c:numRef>
          </c:val>
          <c:smooth val="1"/>
        </c:ser>
        <c:axId val="1438246575"/>
        <c:axId val="2100038930"/>
      </c:lineChart>
      <c:catAx>
        <c:axId val="14382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038930"/>
      </c:catAx>
      <c:valAx>
        <c:axId val="210003893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Levelized Cost of Energy ($/kwh)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24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Georgia"/>
              </a:defRPr>
            </a:pPr>
            <a:r>
              <a:rPr b="0" sz="1400">
                <a:solidFill>
                  <a:srgbClr val="000000"/>
                </a:solidFill>
                <a:latin typeface="Georgia"/>
              </a:rPr>
              <a:t>Benefit-Cost Ratio of Energy Options</a:t>
            </a:r>
          </a:p>
        </c:rich>
      </c:tx>
      <c:layout>
        <c:manualLayout>
          <c:xMode val="edge"/>
          <c:yMode val="edge"/>
          <c:x val="0.035398230088495575"/>
          <c:y val="0.02857142857142857"/>
        </c:manualLayout>
      </c:layout>
      <c:overlay val="0"/>
    </c:title>
    <c:plotArea>
      <c:layout/>
      <c:lineChart>
        <c:ser>
          <c:idx val="0"/>
          <c:order val="0"/>
          <c:tx>
            <c:v>Solar PV</c:v>
          </c:tx>
          <c:spPr>
            <a:ln cmpd="sng" w="38100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Results!$B$46:$B$48</c:f>
            </c:strRef>
          </c:cat>
          <c:val>
            <c:numRef>
              <c:f>Results!$I$46:$I$48</c:f>
              <c:numCache/>
            </c:numRef>
          </c:val>
          <c:smooth val="1"/>
        </c:ser>
        <c:ser>
          <c:idx val="1"/>
          <c:order val="1"/>
          <c:tx>
            <c:v>Solar PV (Social)</c:v>
          </c:tx>
          <c:spPr>
            <a:ln cmpd="sng" w="38100">
              <a:solidFill>
                <a:srgbClr val="93C47D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Results!$B$46:$B$48</c:f>
            </c:strRef>
          </c:cat>
          <c:val>
            <c:numRef>
              <c:f>Results!$J$46:$J$48</c:f>
              <c:numCache/>
            </c:numRef>
          </c:val>
          <c:smooth val="1"/>
        </c:ser>
        <c:axId val="301497354"/>
        <c:axId val="1145541853"/>
      </c:lineChart>
      <c:catAx>
        <c:axId val="30149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Discount Rate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45541853"/>
      </c:catAx>
      <c:valAx>
        <c:axId val="114554185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Benefit-Cost Ratio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1497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Georgia"/>
              </a:defRPr>
            </a:pPr>
            <a:r>
              <a:rPr b="0" sz="1400">
                <a:solidFill>
                  <a:srgbClr val="000000"/>
                </a:solidFill>
                <a:latin typeface="Georgia"/>
              </a:rPr>
              <a:t>Share of Energy Use for Heating and Electricity in Bethel Town Departments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sz="1400"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sz="1400">
                      <a:solidFill>
                        <a:srgbClr val="FFFFFF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Results!$C$7:$C$8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legendEntry>
        <c:idx val="0"/>
        <c:txPr>
          <a:bodyPr/>
          <a:lstStyle/>
          <a:p>
            <a:pPr lvl="0">
              <a:defRPr sz="1400">
                <a:latin typeface="serif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400">
                <a:latin typeface="serif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Georgia"/>
              </a:defRPr>
            </a:pPr>
            <a:r>
              <a:rPr b="0" sz="1400">
                <a:solidFill>
                  <a:srgbClr val="000000"/>
                </a:solidFill>
                <a:latin typeface="Georgia"/>
              </a:rPr>
              <a:t>Heating Fuels Use in Bethel Town Departments 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rgbClr val="66666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sz="1400"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sz="1400"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sz="1400"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Results!$C$4:$C$6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Average Electricity Price (FY24) in Different Facilities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'Electricity Data'!$F$1:$F$2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'Electricity Data'!$A$3:$A$8</c:f>
            </c:strRef>
          </c:cat>
          <c:val>
            <c:numRef>
              <c:f>'Electricity Data'!$F$3:$F$8</c:f>
              <c:numCache/>
            </c:numRef>
          </c:val>
        </c:ser>
        <c:axId val="1907726592"/>
        <c:axId val="965022919"/>
      </c:barChart>
      <c:catAx>
        <c:axId val="19077265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400">
                    <a:solidFill>
                      <a:srgbClr val="000000"/>
                    </a:solidFill>
                    <a:latin typeface="sans-serif"/>
                  </a:rPr>
                  <a:t>Facilities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22919"/>
      </c:catAx>
      <c:valAx>
        <c:axId val="9650229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Average Electricity Price (FY24)</a:t>
                </a:r>
              </a:p>
            </c:rich>
          </c:tx>
          <c:layout>
            <c:manualLayout>
              <c:xMode val="edge"/>
              <c:yMode val="edge"/>
              <c:x val="0.18877799479166668"/>
              <c:y val="0.91226415094339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7265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chemeClr val="dk1"/>
                </a:solidFill>
                <a:latin typeface="serif"/>
              </a:defRPr>
            </a:pPr>
            <a:r>
              <a:rPr b="0" sz="1400">
                <a:solidFill>
                  <a:schemeClr val="dk1"/>
                </a:solidFill>
                <a:latin typeface="serif"/>
              </a:rPr>
              <a:t>Bethel Facilities Electricity Consumption in Fiscal Years 2023-2025</a:t>
            </a:r>
          </a:p>
        </c:rich>
      </c:tx>
      <c:layout>
        <c:manualLayout>
          <c:xMode val="edge"/>
          <c:yMode val="edge"/>
          <c:x val="0.028800856531049253"/>
          <c:y val="0.01539792387543253"/>
        </c:manualLayout>
      </c:layout>
      <c:overlay val="0"/>
    </c:title>
    <c:plotArea>
      <c:layout>
        <c:manualLayout>
          <c:xMode val="edge"/>
          <c:yMode val="edge"/>
          <c:x val="0.20091424652034265"/>
          <c:y val="0.15253748558246827"/>
          <c:w val="0.5778923378417973"/>
          <c:h val="0.5343137254901962"/>
        </c:manualLayout>
      </c:layout>
      <c:barChart>
        <c:barDir val="col"/>
        <c:ser>
          <c:idx val="0"/>
          <c:order val="0"/>
          <c:tx>
            <c:v>FY23 Electricity Consumed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Results!$A$54:$A$59</c:f>
            </c:strRef>
          </c:cat>
          <c:val>
            <c:numRef>
              <c:f>Results!$B$54:$B$59</c:f>
              <c:numCache/>
            </c:numRef>
          </c:val>
        </c:ser>
        <c:ser>
          <c:idx val="1"/>
          <c:order val="1"/>
          <c:tx>
            <c:v>FY 24 Electricity Consumed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Results!$A$54:$A$59</c:f>
            </c:strRef>
          </c:cat>
          <c:val>
            <c:numRef>
              <c:f>Results!$C$54:$C$59</c:f>
              <c:numCache/>
            </c:numRef>
          </c:val>
        </c:ser>
        <c:ser>
          <c:idx val="2"/>
          <c:order val="2"/>
          <c:tx>
            <c:v>FY25 Projected Electricity Consumption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Results!$A$54:$A$59</c:f>
            </c:strRef>
          </c:cat>
          <c:val>
            <c:numRef>
              <c:f>Results!$D$54:$D$59</c:f>
              <c:numCache/>
            </c:numRef>
          </c:val>
        </c:ser>
        <c:axId val="1082155349"/>
        <c:axId val="1141385025"/>
      </c:barChart>
      <c:catAx>
        <c:axId val="108215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Facility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Garamond"/>
              </a:defRPr>
            </a:pPr>
          </a:p>
        </c:txPr>
        <c:crossAx val="1141385025"/>
      </c:catAx>
      <c:valAx>
        <c:axId val="1141385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Electricity Consumption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155349"/>
      </c:valAx>
    </c:plotArea>
    <c:legend>
      <c:legendPos val="r"/>
      <c:layout>
        <c:manualLayout>
          <c:xMode val="edge"/>
          <c:yMode val="edge"/>
          <c:x val="0.8021159489253709"/>
          <c:y val="0.2563437139561706"/>
        </c:manualLayout>
      </c:layout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Energy Share in Individual Facilities Annual Expenditure (FY23-25)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FY23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Results!$A$67:$A$72</c:f>
            </c:strRef>
          </c:cat>
          <c:val>
            <c:numRef>
              <c:f>Results!$E$67:$E$72</c:f>
              <c:numCache/>
            </c:numRef>
          </c:val>
        </c:ser>
        <c:ser>
          <c:idx val="1"/>
          <c:order val="1"/>
          <c:tx>
            <c:v>FY24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Results!$A$67:$A$72</c:f>
            </c:strRef>
          </c:cat>
          <c:val>
            <c:numRef>
              <c:f>Results!$I$67:$I$72</c:f>
              <c:numCache/>
            </c:numRef>
          </c:val>
        </c:ser>
        <c:ser>
          <c:idx val="2"/>
          <c:order val="2"/>
          <c:tx>
            <c:v>FY25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Results!$A$67:$A$72</c:f>
            </c:strRef>
          </c:cat>
          <c:val>
            <c:numRef>
              <c:f>Results!$M$67:$M$72</c:f>
              <c:numCache/>
            </c:numRef>
          </c:val>
        </c:ser>
        <c:axId val="1186839575"/>
        <c:axId val="375987861"/>
      </c:barChart>
      <c:catAx>
        <c:axId val="118683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Facility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375987861"/>
      </c:catAx>
      <c:valAx>
        <c:axId val="375987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Energy Share in Facilities Expenditure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86839575"/>
      </c:valAx>
    </c:plotArea>
    <c:legend>
      <c:legendPos val="b"/>
      <c:legendEntry>
        <c:idx val="0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sz="100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serif"/>
              </a:defRPr>
            </a:pPr>
            <a:r>
              <a:rPr b="0" sz="1400">
                <a:solidFill>
                  <a:srgbClr val="000000"/>
                </a:solidFill>
                <a:latin typeface="serif"/>
              </a:rPr>
              <a:t>Energy Share in Bethel's Total Facilities Annual Expenditure (FY23-25)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FY23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Results!$E$73</c:f>
              <c:numCache/>
            </c:numRef>
          </c:val>
        </c:ser>
        <c:ser>
          <c:idx val="1"/>
          <c:order val="1"/>
          <c:tx>
            <c:v>FY24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Results!$I$73</c:f>
              <c:numCache/>
            </c:numRef>
          </c:val>
        </c:ser>
        <c:ser>
          <c:idx val="2"/>
          <c:order val="2"/>
          <c:tx>
            <c:v>FY25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Results!$M$73</c:f>
              <c:numCache/>
            </c:numRef>
          </c:val>
        </c:ser>
        <c:axId val="1272186127"/>
        <c:axId val="1171973092"/>
      </c:barChart>
      <c:catAx>
        <c:axId val="12721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ans-serif"/>
                  </a:rPr>
                  <a:t>Fiscal Year (FY)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973092"/>
      </c:catAx>
      <c:valAx>
        <c:axId val="117197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Percentage Share in Expenditure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272186127"/>
      </c:valAx>
    </c:plotArea>
    <c:legend>
      <c:legendPos val="b"/>
      <c:legendEntry>
        <c:idx val="0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serif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serif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serif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Cost-Effectiveness of Bethel's Traditional Energy Options and Potential Solar Energy in 5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Results!$B$94:$G$94</c:f>
            </c:strRef>
          </c:cat>
          <c:val>
            <c:numRef>
              <c:f>Results!$B$95:$G$95</c:f>
              <c:numCache/>
            </c:numRef>
          </c:val>
        </c:ser>
        <c:axId val="1558040600"/>
        <c:axId val="2000435670"/>
      </c:barChart>
      <c:catAx>
        <c:axId val="15580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Energy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serif"/>
              </a:defRPr>
            </a:pPr>
          </a:p>
        </c:txPr>
        <c:crossAx val="2000435670"/>
      </c:catAx>
      <c:valAx>
        <c:axId val="2000435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erif"/>
                  </a:defRPr>
                </a:pPr>
                <a:r>
                  <a:rPr b="1">
                    <a:solidFill>
                      <a:srgbClr val="000000"/>
                    </a:solidFill>
                    <a:latin typeface="serif"/>
                  </a:rPr>
                  <a:t>Present Cost and NPV of Energy Option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serif"/>
              </a:defRPr>
            </a:pPr>
          </a:p>
        </c:txPr>
        <c:crossAx val="1558040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Town of Bethel Electricity Budgetary Data for Facilities FY23-25 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FY 23 (Actual Energy Expenditure)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Data'!$C$3:$C$8</c:f>
              <c:numCache/>
            </c:numRef>
          </c:val>
        </c:ser>
        <c:ser>
          <c:idx val="1"/>
          <c:order val="1"/>
          <c:tx>
            <c:v>FY 24 (Actual Energy Spending)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Data'!$E$3:$E$8</c:f>
              <c:numCache/>
            </c:numRef>
          </c:val>
        </c:ser>
        <c:ser>
          <c:idx val="2"/>
          <c:order val="2"/>
          <c:tx>
            <c:v>FY 25 (Allocated Energy Budget) 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'Electricity Data'!$A$3:$A$8</c:f>
            </c:strRef>
          </c:cat>
          <c:val>
            <c:numRef>
              <c:f>'Electricity Data'!$I$3:$I$8</c:f>
              <c:numCache/>
            </c:numRef>
          </c:val>
        </c:ser>
        <c:axId val="751134812"/>
        <c:axId val="268879053"/>
      </c:barChart>
      <c:catAx>
        <c:axId val="75113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Facility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79053"/>
      </c:catAx>
      <c:valAx>
        <c:axId val="268879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Expenditure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13481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Prices of Electricity (FY15-FY25)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'Electricity Data'!$I$19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@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'Electricity Data'!$H$20:$H$30</c:f>
            </c:strRef>
          </c:cat>
          <c:val>
            <c:numRef>
              <c:f>'Electricity Data'!$I$20:$I$30</c:f>
              <c:numCache/>
            </c:numRef>
          </c:val>
          <c:smooth val="0"/>
        </c:ser>
        <c:axId val="976721586"/>
        <c:axId val="1988383556"/>
      </c:lineChart>
      <c:catAx>
        <c:axId val="97672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Fiscal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383556"/>
      </c:catAx>
      <c:valAx>
        <c:axId val="1988383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Average Prices per kWh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72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Aggregate Fuel Consumption of Bethel's different Facilities (FY23-25)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'Heating Fuel Data'!$C$37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Fuel Data'!$D$36:$F$36</c:f>
            </c:strRef>
          </c:cat>
          <c:val>
            <c:numRef>
              <c:f>'Heating Fuel Data'!$D$37:$F$37</c:f>
              <c:numCache/>
            </c:numRef>
          </c:val>
        </c:ser>
        <c:axId val="1490278350"/>
        <c:axId val="593540547"/>
      </c:barChart>
      <c:catAx>
        <c:axId val="14902783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540547"/>
      </c:catAx>
      <c:valAx>
        <c:axId val="593540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B3B3B"/>
                    </a:solidFill>
                    <a:latin typeface="+mn-lt"/>
                  </a:defRPr>
                </a:pPr>
                <a:r>
                  <a:rPr b="1">
                    <a:solidFill>
                      <a:srgbClr val="3B3B3B"/>
                    </a:solidFill>
                    <a:latin typeface="+mn-lt"/>
                  </a:rPr>
                  <a:t>Gallon (Weighted- Fuel and Propane)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2783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Town of Bethel Fuel Expenditure Data for Facilities FY23-25 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FY23 (Actual Expenditure)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'Heating Fuel Data'!$Q$16:$Q$23</c:f>
            </c:strRef>
          </c:cat>
          <c:val>
            <c:numRef>
              <c:f>'Heating Fuel Data'!$R$16:$R$23</c:f>
              <c:numCache/>
            </c:numRef>
          </c:val>
        </c:ser>
        <c:ser>
          <c:idx val="1"/>
          <c:order val="1"/>
          <c:tx>
            <c:v>FY24 (Actual Expenditure)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'Heating Fuel Data'!$Q$16:$Q$23</c:f>
            </c:strRef>
          </c:cat>
          <c:val>
            <c:numRef>
              <c:f>'Heating Fuel Data'!$S$16:$S$23</c:f>
              <c:numCache/>
            </c:numRef>
          </c:val>
        </c:ser>
        <c:ser>
          <c:idx val="2"/>
          <c:order val="2"/>
          <c:tx>
            <c:v>FY25 (Projected Expenditure)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'Heating Fuel Data'!$Q$16:$Q$23</c:f>
            </c:strRef>
          </c:cat>
          <c:val>
            <c:numRef>
              <c:f>'Heating Fuel Data'!$T$16:$T$23</c:f>
              <c:numCache/>
            </c:numRef>
          </c:val>
        </c:ser>
        <c:axId val="1011522124"/>
        <c:axId val="1070684947"/>
      </c:barChart>
      <c:catAx>
        <c:axId val="1011522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Facility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684947"/>
      </c:catAx>
      <c:valAx>
        <c:axId val="1070684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Expenditure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52212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Fuel Price Trend (FY23-FY25)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'Heating Fuel Data'!$I$16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'Heating Fuel Data'!$H$17:$H$19</c:f>
            </c:strRef>
          </c:cat>
          <c:val>
            <c:numRef>
              <c:f>'Heating Fuel Data'!$I$17:$I$19</c:f>
              <c:numCache/>
            </c:numRef>
          </c:val>
        </c:ser>
        <c:ser>
          <c:idx val="1"/>
          <c:order val="1"/>
          <c:tx>
            <c:strRef>
              <c:f>'Heating Fuel Data'!$J$16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'Heating Fuel Data'!$H$17:$H$19</c:f>
            </c:strRef>
          </c:cat>
          <c:val>
            <c:numRef>
              <c:f>'Heating Fuel Data'!$J$17:$J$19</c:f>
              <c:numCache/>
            </c:numRef>
          </c:val>
        </c:ser>
        <c:axId val="1852067598"/>
        <c:axId val="450883716"/>
      </c:barChart>
      <c:catAx>
        <c:axId val="185206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Fiscal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883716"/>
      </c:catAx>
      <c:valAx>
        <c:axId val="450883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Average Fuel Price per Gallon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0675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ans-serif"/>
              </a:defRPr>
            </a:pPr>
            <a:r>
              <a:rPr b="1" sz="1400">
                <a:solidFill>
                  <a:srgbClr val="000000"/>
                </a:solidFill>
                <a:latin typeface="sans-serif"/>
              </a:rPr>
              <a:t>Potential Solar Generation Based on Actual Electricity by Facilites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Potential Solar Generation (kW)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'Solar Data'!$A$3:$A$9</c:f>
            </c:strRef>
          </c:cat>
          <c:val>
            <c:numRef>
              <c:f>'Solar Data'!$E$3:$E$9</c:f>
              <c:numCache/>
            </c:numRef>
          </c:val>
        </c:ser>
        <c:ser>
          <c:idx val="1"/>
          <c:order val="1"/>
          <c:tx>
            <c:v>Actual Electricity Consumption (kW)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'Solar Data'!$A$3:$A$9</c:f>
            </c:strRef>
          </c:cat>
          <c:val>
            <c:numRef>
              <c:f>'Solar Data'!$K$3:$K$9</c:f>
              <c:numCache/>
            </c:numRef>
          </c:val>
        </c:ser>
        <c:axId val="8590287"/>
        <c:axId val="2059495925"/>
      </c:barChart>
      <c:catAx>
        <c:axId val="859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ans-serif"/>
                  </a:rPr>
                  <a:t>Facility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1" sz="1200">
                <a:solidFill>
                  <a:srgbClr val="000000"/>
                </a:solidFill>
                <a:latin typeface="sans-serif"/>
              </a:defRPr>
            </a:pPr>
          </a:p>
        </c:txPr>
        <c:crossAx val="2059495925"/>
      </c:catAx>
      <c:valAx>
        <c:axId val="205949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ans-serif"/>
                  </a:rPr>
                  <a:t>Electricity Generation/Consumption (kW)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serif"/>
              </a:defRPr>
            </a:pPr>
          </a:p>
        </c:txPr>
        <c:crossAx val="8590287"/>
      </c:valAx>
    </c:plotArea>
    <c:legend>
      <c:legendPos val="b"/>
      <c:legendEntry>
        <c:idx val="0"/>
        <c:txPr>
          <a:bodyPr/>
          <a:lstStyle/>
          <a:p>
            <a:pPr lvl="0">
              <a:defRPr>
                <a:latin typeface="sans-serif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sans-serif"/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serif"/>
              </a:defRPr>
            </a:pPr>
            <a:r>
              <a:rPr b="1" sz="1600">
                <a:solidFill>
                  <a:srgbClr val="000000"/>
                </a:solidFill>
                <a:latin typeface="serif"/>
              </a:rPr>
              <a:t>Present Value of Electricity Expenditure for 25 Years</a:t>
            </a:r>
          </a:p>
        </c:rich>
      </c:tx>
      <c:layout>
        <c:manualLayout>
          <c:xMode val="edge"/>
          <c:yMode val="edge"/>
          <c:x val="0.030853391684901536"/>
          <c:y val="0.032269503546099296"/>
        </c:manualLayout>
      </c:layout>
      <c:overlay val="0"/>
    </c:title>
    <c:plotArea>
      <c:layout/>
      <c:lineChart>
        <c:ser>
          <c:idx val="0"/>
          <c:order val="0"/>
          <c:tx>
            <c:v>PV of Electricity Expenditure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'Cost Analysis - Electricity'!$B$48:$B$49</c:f>
            </c:strRef>
          </c:cat>
          <c:val>
            <c:numRef>
              <c:f>'Cost Analysis - Electricity'!$C$48:$C$49</c:f>
              <c:numCache/>
            </c:numRef>
          </c:val>
          <c:smooth val="1"/>
        </c:ser>
        <c:ser>
          <c:idx val="1"/>
          <c:order val="1"/>
          <c:tx>
            <c:v>PV of Electricity Social Expenditure</c:v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'Cost Analysis - Electricity'!$B$48:$B$49</c:f>
            </c:strRef>
          </c:cat>
          <c:val>
            <c:numRef>
              <c:f>'Cost Analysis - Electricity'!$D$48:$D$49</c:f>
              <c:numCache/>
            </c:numRef>
          </c:val>
          <c:smooth val="1"/>
        </c:ser>
        <c:axId val="1211382031"/>
        <c:axId val="1231676583"/>
      </c:lineChart>
      <c:catAx>
        <c:axId val="121138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Project Planning Year</a:t>
                </a:r>
              </a:p>
            </c:rich>
          </c:tx>
          <c:layout>
            <c:manualLayout>
              <c:xMode val="edge"/>
              <c:yMode val="edge"/>
              <c:x val="0.25417635393873084"/>
              <c:y val="0.8138297872340424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676583"/>
      </c:catAx>
      <c:valAx>
        <c:axId val="123167658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200">
                    <a:solidFill>
                      <a:srgbClr val="000000"/>
                    </a:solidFill>
                    <a:latin typeface="serif"/>
                  </a:rPr>
                  <a:t>Present Value of Expenditure ($)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382031"/>
      </c:valAx>
    </c:plotArea>
    <c:legend>
      <c:legendPos val="b"/>
      <c:layout>
        <c:manualLayout>
          <c:xMode val="edge"/>
          <c:yMode val="edge"/>
          <c:x val="0.22754097732843132"/>
          <c:y val="0.9074468085106382"/>
        </c:manualLayout>
      </c:layout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1" Type="http://schemas.openxmlformats.org/officeDocument/2006/relationships/chart" Target="../charts/chart22.xml"/><Relationship Id="rId10" Type="http://schemas.openxmlformats.org/officeDocument/2006/relationships/chart" Target="../charts/chart21.xml"/><Relationship Id="rId12" Type="http://schemas.openxmlformats.org/officeDocument/2006/relationships/chart" Target="../charts/chart23.xml"/><Relationship Id="rId9" Type="http://schemas.openxmlformats.org/officeDocument/2006/relationships/chart" Target="../charts/chart20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37</xdr:row>
      <xdr:rowOff>171450</xdr:rowOff>
    </xdr:from>
    <xdr:ext cx="6553200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838200</xdr:colOff>
      <xdr:row>37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733425</xdr:colOff>
      <xdr:row>62</xdr:row>
      <xdr:rowOff>47625</xdr:rowOff>
    </xdr:from>
    <xdr:ext cx="58388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323850</xdr:colOff>
      <xdr:row>15</xdr:row>
      <xdr:rowOff>180975</xdr:rowOff>
    </xdr:from>
    <xdr:ext cx="6353175" cy="5067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28</xdr:row>
      <xdr:rowOff>66675</xdr:rowOff>
    </xdr:from>
    <xdr:ext cx="5153025" cy="2924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409575</xdr:colOff>
      <xdr:row>30</xdr:row>
      <xdr:rowOff>9525</xdr:rowOff>
    </xdr:from>
    <xdr:ext cx="57340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752475</xdr:colOff>
      <xdr:row>46</xdr:row>
      <xdr:rowOff>133350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10</xdr:row>
      <xdr:rowOff>171450</xdr:rowOff>
    </xdr:from>
    <xdr:ext cx="62007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457200</xdr:colOff>
      <xdr:row>49</xdr:row>
      <xdr:rowOff>180975</xdr:rowOff>
    </xdr:from>
    <xdr:ext cx="4857750" cy="26860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44</xdr:row>
      <xdr:rowOff>114300</xdr:rowOff>
    </xdr:from>
    <xdr:ext cx="4352925" cy="2686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72</xdr:row>
      <xdr:rowOff>85725</xdr:rowOff>
    </xdr:from>
    <xdr:ext cx="4352925" cy="26860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19050</xdr:rowOff>
    </xdr:from>
    <xdr:ext cx="4029075" cy="30003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952500</xdr:colOff>
      <xdr:row>11</xdr:row>
      <xdr:rowOff>28575</xdr:rowOff>
    </xdr:from>
    <xdr:ext cx="4448175" cy="27527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400050</xdr:colOff>
      <xdr:row>19</xdr:row>
      <xdr:rowOff>457200</xdr:rowOff>
    </xdr:from>
    <xdr:ext cx="3990975" cy="27527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171450</xdr:colOff>
      <xdr:row>37</xdr:row>
      <xdr:rowOff>142875</xdr:rowOff>
    </xdr:from>
    <xdr:ext cx="5200650" cy="28575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171450</xdr:colOff>
      <xdr:row>27</xdr:row>
      <xdr:rowOff>161925</xdr:rowOff>
    </xdr:from>
    <xdr:ext cx="4448175" cy="27527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171450</xdr:colOff>
      <xdr:row>48</xdr:row>
      <xdr:rowOff>190500</xdr:rowOff>
    </xdr:from>
    <xdr:ext cx="4448175" cy="28575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371475</xdr:colOff>
      <xdr:row>0</xdr:row>
      <xdr:rowOff>19050</xdr:rowOff>
    </xdr:from>
    <xdr:ext cx="3695700" cy="30003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876300</xdr:colOff>
      <xdr:row>0</xdr:row>
      <xdr:rowOff>0</xdr:rowOff>
    </xdr:from>
    <xdr:ext cx="3838575" cy="30003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228600</xdr:colOff>
      <xdr:row>52</xdr:row>
      <xdr:rowOff>38100</xdr:rowOff>
    </xdr:from>
    <xdr:ext cx="4638675" cy="27527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</xdr:col>
      <xdr:colOff>333375</xdr:colOff>
      <xdr:row>73</xdr:row>
      <xdr:rowOff>180975</xdr:rowOff>
    </xdr:from>
    <xdr:ext cx="4162425" cy="37338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923925</xdr:colOff>
      <xdr:row>75</xdr:row>
      <xdr:rowOff>66675</xdr:rowOff>
    </xdr:from>
    <xdr:ext cx="4505325" cy="29051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428625</xdr:colOff>
      <xdr:row>96</xdr:row>
      <xdr:rowOff>95250</xdr:rowOff>
    </xdr:from>
    <xdr:ext cx="4686300" cy="31242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7Q_tittCl2Q00oqWUcKDg5glkEjHrYO/edit?usp=sharing&amp;ouid=101055445651979024308&amp;rtpof=true&amp;sd=true" TargetMode="External"/><Relationship Id="rId2" Type="http://schemas.openxmlformats.org/officeDocument/2006/relationships/hyperlink" Target="https://www.maine.gov/energy/electricity-price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maine.gov/energy/heating-fuel-prices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poweroutage.us/solar/me" TargetMode="External"/><Relationship Id="rId3" Type="http://schemas.openxmlformats.org/officeDocument/2006/relationships/hyperlink" Target="https://poweroutage.us/solar/me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ystem/files/documents/2025-01/ghg-emission-factors-hub-2025.pdf" TargetMode="External"/><Relationship Id="rId2" Type="http://schemas.openxmlformats.org/officeDocument/2006/relationships/hyperlink" Target="https://legislature.maine.gov/legis/bills/bills_129th/billtexts/HP034301.asp" TargetMode="External"/><Relationship Id="rId3" Type="http://schemas.openxmlformats.org/officeDocument/2006/relationships/hyperlink" Target="https://www.epa.gov/system/files/documents/2025-01/ghg-emission-factors-hub-2025.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ralreserve.gov/newsevents/pressreleases/files/monetary20250225a1.pdf" TargetMode="External"/><Relationship Id="rId2" Type="http://schemas.openxmlformats.org/officeDocument/2006/relationships/hyperlink" Target="https://pages.nist.gov/eerc/" TargetMode="External"/><Relationship Id="rId3" Type="http://schemas.openxmlformats.org/officeDocument/2006/relationships/hyperlink" Target="https://legislature.maine.gov/legis/bills/bills_129th/billtexts/HP034301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federalreserve.gov/newsevents/pressreleases/files/monetary20250225a1.pdf" TargetMode="External"/><Relationship Id="rId3" Type="http://schemas.openxmlformats.org/officeDocument/2006/relationships/hyperlink" Target="https://pages.nist.gov/eerc/" TargetMode="External"/><Relationship Id="rId4" Type="http://schemas.openxmlformats.org/officeDocument/2006/relationships/hyperlink" Target="https://legislature.maine.gov/legis/bills/bills_129th/billtexts/HP034301.asp" TargetMode="External"/><Relationship Id="rId5" Type="http://schemas.openxmlformats.org/officeDocument/2006/relationships/drawing" Target="../drawings/drawing7.xml"/><Relationship Id="rId6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ralreserve.gov/newsevents/pressreleases/files/monetary20250225a1.pdf" TargetMode="External"/><Relationship Id="rId2" Type="http://schemas.openxmlformats.org/officeDocument/2006/relationships/hyperlink" Target="https://pages.nist.gov/eerc/" TargetMode="External"/><Relationship Id="rId3" Type="http://schemas.openxmlformats.org/officeDocument/2006/relationships/hyperlink" Target="https://www.energysage.com/local-data/solar-rebates-incentives/me/" TargetMode="External"/><Relationship Id="rId4" Type="http://schemas.openxmlformats.org/officeDocument/2006/relationships/hyperlink" Target="https://legislature.maine.gov/legis/bills/bills_129th/billtexts/HP034301.asp" TargetMode="External"/><Relationship Id="rId5" Type="http://schemas.openxmlformats.org/officeDocument/2006/relationships/hyperlink" Target="https://www.lazard.com/media/2ozoovyg/lazards-lcoeplus-april-2023.pdf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nrg.com/resources/energy-tools/energy-conversion-calculator.html" TargetMode="External"/><Relationship Id="rId3" Type="http://schemas.openxmlformats.org/officeDocument/2006/relationships/drawing" Target="../drawings/drawing9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2" t="s">
        <v>2</v>
      </c>
      <c r="F1" s="3" t="s">
        <v>3</v>
      </c>
      <c r="N1" s="4" t="s">
        <v>4</v>
      </c>
    </row>
    <row r="2">
      <c r="A2" s="5" t="s">
        <v>5</v>
      </c>
      <c r="B2" s="6" t="s">
        <v>6</v>
      </c>
      <c r="D2" s="7" t="s">
        <v>7</v>
      </c>
      <c r="F2" s="8" t="s">
        <v>8</v>
      </c>
      <c r="G2" s="9" t="s">
        <v>9</v>
      </c>
      <c r="N2" s="8" t="s">
        <v>10</v>
      </c>
      <c r="O2" s="9" t="s">
        <v>11</v>
      </c>
    </row>
    <row r="3">
      <c r="A3" s="5" t="s">
        <v>12</v>
      </c>
      <c r="B3" s="6" t="s">
        <v>13</v>
      </c>
      <c r="D3" s="10" t="s">
        <v>14</v>
      </c>
      <c r="F3" s="8" t="s">
        <v>15</v>
      </c>
      <c r="G3" s="9" t="s">
        <v>16</v>
      </c>
      <c r="N3" s="8" t="s">
        <v>17</v>
      </c>
      <c r="O3" s="9" t="s">
        <v>18</v>
      </c>
    </row>
    <row r="4">
      <c r="A4" s="5" t="s">
        <v>19</v>
      </c>
      <c r="B4" s="6" t="s">
        <v>20</v>
      </c>
      <c r="D4" s="11" t="s">
        <v>21</v>
      </c>
      <c r="F4" s="8" t="s">
        <v>22</v>
      </c>
      <c r="G4" s="9" t="s">
        <v>23</v>
      </c>
      <c r="N4" s="8" t="s">
        <v>24</v>
      </c>
      <c r="O4" s="9" t="s">
        <v>25</v>
      </c>
    </row>
    <row r="5">
      <c r="A5" s="5" t="s">
        <v>26</v>
      </c>
      <c r="B5" s="6" t="s">
        <v>27</v>
      </c>
      <c r="D5" s="12" t="s">
        <v>28</v>
      </c>
      <c r="F5" s="8" t="s">
        <v>29</v>
      </c>
      <c r="G5" s="9" t="s">
        <v>30</v>
      </c>
      <c r="N5" s="8" t="s">
        <v>31</v>
      </c>
      <c r="O5" s="9" t="s">
        <v>32</v>
      </c>
    </row>
    <row r="6">
      <c r="A6" s="5" t="s">
        <v>33</v>
      </c>
      <c r="B6" s="6" t="s">
        <v>34</v>
      </c>
      <c r="D6" s="13" t="s">
        <v>35</v>
      </c>
      <c r="F6" s="8" t="s">
        <v>36</v>
      </c>
      <c r="G6" s="9" t="s">
        <v>37</v>
      </c>
    </row>
    <row r="7">
      <c r="A7" s="5" t="s">
        <v>38</v>
      </c>
      <c r="B7" s="5" t="s">
        <v>39</v>
      </c>
      <c r="D7" s="14" t="s">
        <v>40</v>
      </c>
      <c r="F7" s="8" t="s">
        <v>41</v>
      </c>
      <c r="G7" s="9" t="s">
        <v>42</v>
      </c>
    </row>
    <row r="8">
      <c r="D8" s="15" t="s">
        <v>43</v>
      </c>
      <c r="F8" s="8" t="s">
        <v>44</v>
      </c>
      <c r="G8" s="9" t="s">
        <v>45</v>
      </c>
    </row>
    <row r="9">
      <c r="D9" s="16" t="s">
        <v>46</v>
      </c>
      <c r="F9" s="8" t="s">
        <v>47</v>
      </c>
      <c r="G9" s="9" t="s">
        <v>48</v>
      </c>
    </row>
    <row r="10">
      <c r="D10" s="17" t="s">
        <v>49</v>
      </c>
      <c r="F10" s="8" t="s">
        <v>50</v>
      </c>
      <c r="G10" s="9" t="s">
        <v>51</v>
      </c>
    </row>
    <row r="11">
      <c r="D11" s="18" t="s">
        <v>52</v>
      </c>
      <c r="F11" s="8" t="s">
        <v>53</v>
      </c>
      <c r="G11" s="9" t="s">
        <v>54</v>
      </c>
    </row>
    <row r="12">
      <c r="D12" s="19" t="s">
        <v>55</v>
      </c>
    </row>
    <row r="13">
      <c r="D13" s="20" t="s">
        <v>56</v>
      </c>
    </row>
    <row r="14">
      <c r="A14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7.25"/>
    <col customWidth="1" min="2" max="2" width="14.25"/>
    <col customWidth="1" min="3" max="3" width="16.25"/>
    <col customWidth="1" min="4" max="4" width="15.38"/>
    <col customWidth="1" min="5" max="5" width="13.88"/>
    <col customWidth="1" min="6" max="6" width="14.0"/>
    <col customWidth="1" min="7" max="7" width="14.13"/>
    <col customWidth="1" min="8" max="8" width="16.63"/>
    <col customWidth="1" min="9" max="9" width="15.63"/>
    <col customWidth="1" min="10" max="10" width="14.13"/>
  </cols>
  <sheetData>
    <row r="1">
      <c r="A1" s="22" t="s">
        <v>57</v>
      </c>
      <c r="B1" s="23" t="s">
        <v>58</v>
      </c>
      <c r="C1" s="24"/>
      <c r="D1" s="23" t="s">
        <v>59</v>
      </c>
      <c r="E1" s="25"/>
      <c r="F1" s="25"/>
      <c r="G1" s="24"/>
      <c r="H1" s="23" t="s">
        <v>60</v>
      </c>
      <c r="I1" s="25"/>
      <c r="J1" s="24"/>
    </row>
    <row r="2">
      <c r="A2" s="26" t="s">
        <v>61</v>
      </c>
      <c r="B2" s="4" t="s">
        <v>62</v>
      </c>
      <c r="C2" s="27" t="s">
        <v>63</v>
      </c>
      <c r="D2" s="4" t="s">
        <v>64</v>
      </c>
      <c r="E2" s="27" t="s">
        <v>65</v>
      </c>
      <c r="F2" s="4" t="s">
        <v>66</v>
      </c>
      <c r="G2" s="4" t="s">
        <v>67</v>
      </c>
      <c r="H2" s="4" t="s">
        <v>68</v>
      </c>
      <c r="I2" s="27" t="s">
        <v>69</v>
      </c>
      <c r="J2" s="28" t="s">
        <v>70</v>
      </c>
      <c r="O2" s="29"/>
      <c r="P2" s="29"/>
      <c r="Q2" s="29"/>
      <c r="R2" s="29"/>
    </row>
    <row r="3">
      <c r="A3" s="30" t="s">
        <v>5</v>
      </c>
      <c r="B3" s="31">
        <f t="shared" ref="B3:B9" si="1">C3/I$28</f>
        <v>14152.87912</v>
      </c>
      <c r="C3" s="32">
        <v>3219.78</v>
      </c>
      <c r="D3" s="31">
        <v>11410.0</v>
      </c>
      <c r="E3" s="32">
        <v>3040.0</v>
      </c>
      <c r="F3" s="33">
        <f t="shared" ref="F3:F9" si="2">E3/D3</f>
        <v>0.2664329535</v>
      </c>
      <c r="G3" s="34">
        <v>3600.0</v>
      </c>
      <c r="H3" s="31">
        <f t="shared" ref="H3:H9" si="3">I3/I$30</f>
        <v>17191.48936</v>
      </c>
      <c r="I3" s="35">
        <v>4040.0</v>
      </c>
      <c r="J3" s="36">
        <v>3072.0</v>
      </c>
    </row>
    <row r="4">
      <c r="A4" s="30" t="s">
        <v>12</v>
      </c>
      <c r="B4" s="31">
        <f t="shared" si="1"/>
        <v>12157.89011</v>
      </c>
      <c r="C4" s="32">
        <v>2765.92</v>
      </c>
      <c r="D4" s="31">
        <v>13560.0</v>
      </c>
      <c r="E4" s="32">
        <v>2522.0</v>
      </c>
      <c r="F4" s="33">
        <f t="shared" si="2"/>
        <v>0.1859882006</v>
      </c>
      <c r="G4" s="34">
        <v>16000.0</v>
      </c>
      <c r="H4" s="31">
        <f t="shared" si="3"/>
        <v>14042.55319</v>
      </c>
      <c r="I4" s="35">
        <v>3300.0</v>
      </c>
      <c r="J4" s="36">
        <v>3352.0</v>
      </c>
    </row>
    <row r="5">
      <c r="A5" s="30" t="s">
        <v>19</v>
      </c>
      <c r="B5" s="31">
        <f t="shared" si="1"/>
        <v>20235.64835</v>
      </c>
      <c r="C5" s="32">
        <v>4603.61</v>
      </c>
      <c r="D5" s="31">
        <v>21500.0</v>
      </c>
      <c r="E5" s="32">
        <v>3936.0</v>
      </c>
      <c r="F5" s="33">
        <f t="shared" si="2"/>
        <v>0.1830697674</v>
      </c>
      <c r="G5" s="34">
        <v>4500.0</v>
      </c>
      <c r="H5" s="31">
        <f t="shared" si="3"/>
        <v>21702.12766</v>
      </c>
      <c r="I5" s="35">
        <v>5100.0</v>
      </c>
      <c r="J5" s="36">
        <v>4838.0</v>
      </c>
    </row>
    <row r="6">
      <c r="A6" s="30" t="s">
        <v>26</v>
      </c>
      <c r="B6" s="31">
        <f t="shared" si="1"/>
        <v>17258.85714</v>
      </c>
      <c r="C6" s="32">
        <v>3926.39</v>
      </c>
      <c r="D6" s="31">
        <v>19900.0</v>
      </c>
      <c r="E6" s="32">
        <v>4288.51</v>
      </c>
      <c r="F6" s="33">
        <f t="shared" si="2"/>
        <v>0.2155030151</v>
      </c>
      <c r="G6" s="34">
        <v>4000.0</v>
      </c>
      <c r="H6" s="31">
        <f t="shared" si="3"/>
        <v>22553.19149</v>
      </c>
      <c r="I6" s="35">
        <v>5300.0</v>
      </c>
      <c r="J6" s="36">
        <v>4881.0</v>
      </c>
    </row>
    <row r="7">
      <c r="A7" s="30" t="s">
        <v>33</v>
      </c>
      <c r="B7" s="31">
        <f t="shared" si="1"/>
        <v>7319.296703</v>
      </c>
      <c r="C7" s="32">
        <v>1665.14</v>
      </c>
      <c r="D7" s="31">
        <v>8240.0</v>
      </c>
      <c r="E7" s="32">
        <v>2054.0</v>
      </c>
      <c r="F7" s="33">
        <f t="shared" si="2"/>
        <v>0.2492718447</v>
      </c>
      <c r="G7" s="34">
        <v>2850.0</v>
      </c>
      <c r="H7" s="31">
        <f t="shared" si="3"/>
        <v>12765.95745</v>
      </c>
      <c r="I7" s="35">
        <v>3000.0</v>
      </c>
      <c r="J7" s="36">
        <v>2221.0</v>
      </c>
    </row>
    <row r="8">
      <c r="A8" s="30" t="s">
        <v>38</v>
      </c>
      <c r="B8" s="31">
        <f t="shared" si="1"/>
        <v>157224.9231</v>
      </c>
      <c r="C8" s="32">
        <v>35768.67</v>
      </c>
      <c r="D8" s="31">
        <v>229690.0</v>
      </c>
      <c r="E8" s="32">
        <v>44978.97</v>
      </c>
      <c r="F8" s="33">
        <f t="shared" si="2"/>
        <v>0.1958246767</v>
      </c>
      <c r="G8" s="34">
        <v>30000.0</v>
      </c>
      <c r="H8" s="31">
        <f t="shared" si="3"/>
        <v>191489.3617</v>
      </c>
      <c r="I8" s="35">
        <v>45000.0</v>
      </c>
      <c r="J8" s="36">
        <v>45239.0</v>
      </c>
    </row>
    <row r="9">
      <c r="A9" s="26" t="s">
        <v>71</v>
      </c>
      <c r="B9" s="37">
        <f t="shared" si="1"/>
        <v>228349.4945</v>
      </c>
      <c r="C9" s="38">
        <f t="shared" ref="C9:E9" si="4">SUM(C3:C8)</f>
        <v>51949.51</v>
      </c>
      <c r="D9" s="37">
        <f t="shared" si="4"/>
        <v>304300</v>
      </c>
      <c r="E9" s="38">
        <f t="shared" si="4"/>
        <v>60819.48</v>
      </c>
      <c r="F9" s="39">
        <f t="shared" si="2"/>
        <v>0.1998668419</v>
      </c>
      <c r="G9" s="40">
        <f>SUM(G3:G8)</f>
        <v>60950</v>
      </c>
      <c r="H9" s="37">
        <f t="shared" si="3"/>
        <v>279744.6809</v>
      </c>
      <c r="I9" s="41">
        <f t="shared" ref="I9:J9" si="5">SUM(I3:I8)</f>
        <v>65740</v>
      </c>
      <c r="J9" s="42">
        <f t="shared" si="5"/>
        <v>63603</v>
      </c>
    </row>
    <row r="10">
      <c r="A10" s="43"/>
      <c r="B10" s="44"/>
    </row>
    <row r="12">
      <c r="A12" s="45"/>
      <c r="B12" s="45"/>
    </row>
    <row r="15">
      <c r="I15" s="46"/>
    </row>
    <row r="18">
      <c r="A18" s="47"/>
      <c r="B18" s="48"/>
      <c r="C18" s="49" t="s">
        <v>72</v>
      </c>
      <c r="D18" s="49" t="s">
        <v>73</v>
      </c>
      <c r="E18" s="49" t="s">
        <v>74</v>
      </c>
      <c r="F18" s="49" t="s">
        <v>75</v>
      </c>
      <c r="H18" s="50" t="s">
        <v>76</v>
      </c>
      <c r="I18" s="25"/>
      <c r="J18" s="24"/>
    </row>
    <row r="19">
      <c r="A19" s="47"/>
      <c r="C19" s="51" t="s">
        <v>77</v>
      </c>
      <c r="D19" s="52">
        <f>B9</f>
        <v>228349.4945</v>
      </c>
      <c r="E19" s="52">
        <f>D9</f>
        <v>304300</v>
      </c>
      <c r="F19" s="52">
        <f>H9</f>
        <v>279744.6809</v>
      </c>
      <c r="H19" s="53" t="s">
        <v>78</v>
      </c>
      <c r="I19" s="54" t="s">
        <v>79</v>
      </c>
      <c r="J19" s="54" t="s">
        <v>80</v>
      </c>
    </row>
    <row r="20">
      <c r="C20" s="51" t="s">
        <v>81</v>
      </c>
      <c r="D20" s="55">
        <v>0.0</v>
      </c>
      <c r="E20" s="56">
        <f t="shared" ref="E20:F20" si="6">(E19-D19)/D19</f>
        <v>0.3326064096</v>
      </c>
      <c r="F20" s="56">
        <f t="shared" si="6"/>
        <v>-0.08069444347</v>
      </c>
      <c r="H20" s="57" t="s">
        <v>82</v>
      </c>
      <c r="I20" s="58">
        <v>0.14</v>
      </c>
      <c r="J20" s="59">
        <v>0.0</v>
      </c>
    </row>
    <row r="21">
      <c r="C21" s="51" t="s">
        <v>83</v>
      </c>
      <c r="D21" s="60">
        <f>AVERAGE(D20:F20)</f>
        <v>0.08397065537</v>
      </c>
      <c r="H21" s="57" t="s">
        <v>84</v>
      </c>
      <c r="I21" s="58">
        <v>0.14</v>
      </c>
      <c r="J21" s="59">
        <f t="shared" ref="J21:J30" si="7">(I21-I20)/I21</f>
        <v>0</v>
      </c>
    </row>
    <row r="22">
      <c r="A22" s="61"/>
      <c r="H22" s="57" t="s">
        <v>85</v>
      </c>
      <c r="I22" s="58">
        <v>0.15</v>
      </c>
      <c r="J22" s="59">
        <f t="shared" si="7"/>
        <v>0.06666666667</v>
      </c>
    </row>
    <row r="23">
      <c r="H23" s="57" t="s">
        <v>86</v>
      </c>
      <c r="I23" s="58">
        <v>0.165</v>
      </c>
      <c r="J23" s="59">
        <f t="shared" si="7"/>
        <v>0.09090909091</v>
      </c>
    </row>
    <row r="24">
      <c r="H24" s="57" t="s">
        <v>87</v>
      </c>
      <c r="I24" s="58">
        <v>0.17</v>
      </c>
      <c r="J24" s="59">
        <f t="shared" si="7"/>
        <v>0.02941176471</v>
      </c>
    </row>
    <row r="25">
      <c r="H25" s="57" t="s">
        <v>88</v>
      </c>
      <c r="I25" s="58">
        <v>0.16</v>
      </c>
      <c r="J25" s="59">
        <f t="shared" si="7"/>
        <v>-0.0625</v>
      </c>
    </row>
    <row r="26">
      <c r="H26" s="57" t="s">
        <v>89</v>
      </c>
      <c r="I26" s="58">
        <v>0.16</v>
      </c>
      <c r="J26" s="59">
        <f t="shared" si="7"/>
        <v>0</v>
      </c>
    </row>
    <row r="27">
      <c r="H27" s="57" t="s">
        <v>90</v>
      </c>
      <c r="I27" s="58">
        <v>0.23</v>
      </c>
      <c r="J27" s="59">
        <f t="shared" si="7"/>
        <v>0.3043478261</v>
      </c>
    </row>
    <row r="28">
      <c r="H28" s="62" t="s">
        <v>91</v>
      </c>
      <c r="I28" s="63">
        <v>0.2275</v>
      </c>
      <c r="J28" s="59">
        <f t="shared" si="7"/>
        <v>-0.01098901099</v>
      </c>
    </row>
    <row r="29">
      <c r="H29" s="57" t="s">
        <v>92</v>
      </c>
      <c r="I29" s="58">
        <v>0.23</v>
      </c>
      <c r="J29" s="59">
        <f t="shared" si="7"/>
        <v>0.01086956522</v>
      </c>
    </row>
    <row r="30">
      <c r="H30" s="62" t="s">
        <v>93</v>
      </c>
      <c r="I30" s="63">
        <v>0.235</v>
      </c>
      <c r="J30" s="59">
        <f t="shared" si="7"/>
        <v>0.02127659574</v>
      </c>
    </row>
    <row r="31">
      <c r="A31" s="45"/>
      <c r="H31" s="57" t="s">
        <v>94</v>
      </c>
      <c r="I31" s="64">
        <f>AVERAGE(I20:I30)</f>
        <v>0.1825</v>
      </c>
      <c r="J31" s="59"/>
    </row>
    <row r="34">
      <c r="A34" s="45"/>
    </row>
    <row r="37">
      <c r="B37" s="65"/>
      <c r="D37" s="65"/>
      <c r="E37" s="65"/>
      <c r="G37" s="66"/>
      <c r="H37" s="67"/>
      <c r="I37" s="67"/>
    </row>
    <row r="38">
      <c r="B38" s="65"/>
      <c r="D38" s="65"/>
      <c r="E38" s="65"/>
      <c r="G38" s="66"/>
      <c r="H38" s="68"/>
      <c r="I38" s="68"/>
    </row>
    <row r="39">
      <c r="B39" s="65"/>
      <c r="D39" s="65"/>
      <c r="E39" s="65"/>
      <c r="G39" s="66"/>
      <c r="H39" s="67"/>
      <c r="I39" s="67"/>
    </row>
    <row r="40">
      <c r="B40" s="65"/>
      <c r="D40" s="65"/>
      <c r="E40" s="65"/>
      <c r="G40" s="66"/>
      <c r="H40" s="67"/>
      <c r="I40" s="67"/>
    </row>
    <row r="41">
      <c r="B41" s="69"/>
      <c r="D41" s="69"/>
      <c r="E41" s="69"/>
      <c r="G41" s="66"/>
      <c r="H41" s="67"/>
      <c r="I41" s="67"/>
    </row>
    <row r="42">
      <c r="A42" s="70"/>
      <c r="B42" s="71"/>
      <c r="D42" s="65"/>
      <c r="E42" s="65"/>
      <c r="G42" s="66"/>
      <c r="H42" s="67"/>
      <c r="I42" s="67"/>
    </row>
    <row r="43">
      <c r="B43" s="65"/>
      <c r="D43" s="65"/>
      <c r="E43" s="65"/>
      <c r="G43" s="66"/>
      <c r="H43" s="67"/>
      <c r="I43" s="67"/>
    </row>
    <row r="44">
      <c r="A44" s="45"/>
      <c r="C44" s="72"/>
      <c r="D44" s="73"/>
      <c r="E44" s="73"/>
      <c r="F44" s="72"/>
    </row>
    <row r="45">
      <c r="A45" s="70"/>
    </row>
  </sheetData>
  <mergeCells count="5">
    <mergeCell ref="B1:C1"/>
    <mergeCell ref="D1:G1"/>
    <mergeCell ref="H1:J1"/>
    <mergeCell ref="H18:J18"/>
    <mergeCell ref="D21:F21"/>
  </mergeCells>
  <hyperlinks>
    <hyperlink r:id="rId1" ref="J2"/>
    <hyperlink r:id="rId2" ref="H1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5"/>
    <col customWidth="1" min="8" max="8" width="13.13"/>
    <col customWidth="1" min="9" max="9" width="13.75"/>
    <col customWidth="1" min="10" max="10" width="14.25"/>
    <col customWidth="1" min="11" max="11" width="13.63"/>
    <col customWidth="1" min="12" max="12" width="14.38"/>
    <col customWidth="1" min="13" max="13" width="14.13"/>
    <col customWidth="1" min="14" max="14" width="13.25"/>
    <col customWidth="1" min="15" max="15" width="14.13"/>
    <col customWidth="1" min="16" max="16" width="14.25"/>
    <col customWidth="1" min="17" max="17" width="15.0"/>
    <col customWidth="1" min="18" max="18" width="14.75"/>
    <col customWidth="1" min="19" max="19" width="14.63"/>
    <col customWidth="1" min="20" max="20" width="15.75"/>
  </cols>
  <sheetData>
    <row r="1">
      <c r="A1" s="74" t="s">
        <v>95</v>
      </c>
      <c r="B1" s="75" t="s">
        <v>96</v>
      </c>
      <c r="C1" s="25"/>
      <c r="D1" s="25"/>
      <c r="E1" s="25"/>
      <c r="F1" s="24"/>
      <c r="G1" s="29"/>
      <c r="H1" s="75" t="s">
        <v>97</v>
      </c>
      <c r="I1" s="25"/>
      <c r="J1" s="25"/>
      <c r="K1" s="25"/>
      <c r="L1" s="25"/>
      <c r="M1" s="25"/>
      <c r="N1" s="25"/>
      <c r="O1" s="25"/>
      <c r="P1" s="25"/>
      <c r="Q1" s="25"/>
      <c r="R1" s="24"/>
      <c r="S1" s="29"/>
      <c r="T1" s="76" t="s">
        <v>98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>
      <c r="A2" s="27" t="s">
        <v>61</v>
      </c>
      <c r="B2" s="4" t="s">
        <v>99</v>
      </c>
      <c r="C2" s="4" t="s">
        <v>100</v>
      </c>
      <c r="D2" s="4" t="s">
        <v>101</v>
      </c>
      <c r="E2" s="4" t="s">
        <v>102</v>
      </c>
      <c r="F2" s="4" t="s">
        <v>103</v>
      </c>
      <c r="H2" s="4" t="s">
        <v>99</v>
      </c>
      <c r="I2" s="4" t="s">
        <v>100</v>
      </c>
      <c r="J2" s="4" t="s">
        <v>104</v>
      </c>
      <c r="K2" s="4" t="s">
        <v>101</v>
      </c>
      <c r="L2" s="4" t="s">
        <v>102</v>
      </c>
      <c r="M2" s="4" t="s">
        <v>105</v>
      </c>
      <c r="N2" s="4" t="s">
        <v>106</v>
      </c>
      <c r="O2" s="77" t="s">
        <v>107</v>
      </c>
      <c r="P2" s="4" t="s">
        <v>108</v>
      </c>
      <c r="Q2" s="4" t="s">
        <v>109</v>
      </c>
      <c r="R2" s="4" t="s">
        <v>110</v>
      </c>
      <c r="T2" s="4" t="s">
        <v>111</v>
      </c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</row>
    <row r="3">
      <c r="A3" s="79" t="s">
        <v>5</v>
      </c>
      <c r="B3" s="31"/>
      <c r="C3" s="33"/>
      <c r="D3" s="31"/>
      <c r="E3" s="33"/>
      <c r="F3" s="80">
        <v>5711.87</v>
      </c>
      <c r="H3" s="31">
        <v>0.0</v>
      </c>
      <c r="I3" s="33"/>
      <c r="J3" s="80">
        <f t="shared" ref="J3:J8" si="1">$I$9*H3</f>
        <v>0</v>
      </c>
      <c r="K3" s="31">
        <v>0.0</v>
      </c>
      <c r="L3" s="33"/>
      <c r="M3" s="80">
        <f t="shared" ref="M3:M8" si="2">$L$9*K3</f>
        <v>0</v>
      </c>
      <c r="N3" s="31">
        <v>13.0</v>
      </c>
      <c r="O3" s="33"/>
      <c r="P3" s="80">
        <f t="shared" ref="P3:P8" si="3">$O$9*N3</f>
        <v>4773.86</v>
      </c>
      <c r="Q3" s="80">
        <v>5104.0</v>
      </c>
      <c r="R3" s="34">
        <v>6000.0</v>
      </c>
      <c r="T3" s="34">
        <v>6500.0</v>
      </c>
    </row>
    <row r="4">
      <c r="A4" s="79" t="s">
        <v>12</v>
      </c>
      <c r="B4" s="31"/>
      <c r="C4" s="33"/>
      <c r="D4" s="31"/>
      <c r="E4" s="33"/>
      <c r="F4" s="80">
        <v>13726.14</v>
      </c>
      <c r="H4" s="31">
        <v>3363.0</v>
      </c>
      <c r="I4" s="33"/>
      <c r="J4" s="80">
        <f t="shared" si="1"/>
        <v>11299.68</v>
      </c>
      <c r="K4" s="31">
        <v>0.0</v>
      </c>
      <c r="L4" s="33"/>
      <c r="M4" s="80">
        <f t="shared" si="2"/>
        <v>0</v>
      </c>
      <c r="N4" s="31">
        <v>0.0</v>
      </c>
      <c r="O4" s="33"/>
      <c r="P4" s="80">
        <f t="shared" si="3"/>
        <v>0</v>
      </c>
      <c r="Q4" s="80">
        <v>9643.0</v>
      </c>
      <c r="R4" s="34">
        <v>16000.0</v>
      </c>
      <c r="T4" s="34">
        <v>16000.0</v>
      </c>
    </row>
    <row r="5">
      <c r="A5" s="79" t="s">
        <v>19</v>
      </c>
      <c r="B5" s="31"/>
      <c r="C5" s="33"/>
      <c r="D5" s="31"/>
      <c r="E5" s="33"/>
      <c r="F5" s="80">
        <v>12858.0</v>
      </c>
      <c r="H5" s="31">
        <v>0.0</v>
      </c>
      <c r="I5" s="33"/>
      <c r="J5" s="80">
        <f t="shared" si="1"/>
        <v>0</v>
      </c>
      <c r="K5" s="31">
        <v>2665.0</v>
      </c>
      <c r="L5" s="33"/>
      <c r="M5" s="80">
        <f t="shared" si="2"/>
        <v>15297.1</v>
      </c>
      <c r="N5" s="31">
        <v>0.0</v>
      </c>
      <c r="O5" s="33"/>
      <c r="P5" s="80">
        <f t="shared" si="3"/>
        <v>0</v>
      </c>
      <c r="Q5" s="80">
        <v>12049.0</v>
      </c>
      <c r="R5" s="34">
        <v>20000.0</v>
      </c>
      <c r="T5" s="34">
        <v>8000.0</v>
      </c>
    </row>
    <row r="6">
      <c r="A6" s="79" t="s">
        <v>26</v>
      </c>
      <c r="B6" s="31"/>
      <c r="C6" s="33"/>
      <c r="D6" s="31"/>
      <c r="E6" s="33"/>
      <c r="F6" s="80">
        <v>3121.83</v>
      </c>
      <c r="H6" s="31">
        <v>0.0</v>
      </c>
      <c r="I6" s="33"/>
      <c r="J6" s="80">
        <f t="shared" si="1"/>
        <v>0</v>
      </c>
      <c r="K6" s="31">
        <v>337.0</v>
      </c>
      <c r="L6" s="33"/>
      <c r="M6" s="80">
        <f t="shared" si="2"/>
        <v>1934.38</v>
      </c>
      <c r="N6" s="31">
        <v>0.0</v>
      </c>
      <c r="O6" s="33"/>
      <c r="P6" s="80">
        <f t="shared" si="3"/>
        <v>0</v>
      </c>
      <c r="Q6" s="80">
        <v>2186.0</v>
      </c>
      <c r="R6" s="34">
        <v>2500.0</v>
      </c>
      <c r="T6" s="34">
        <v>1425.0</v>
      </c>
    </row>
    <row r="7">
      <c r="A7" s="79" t="s">
        <v>33</v>
      </c>
      <c r="B7" s="31"/>
      <c r="C7" s="33"/>
      <c r="D7" s="31"/>
      <c r="E7" s="33"/>
      <c r="F7" s="80">
        <v>3508.64</v>
      </c>
      <c r="H7" s="31">
        <v>2150.0</v>
      </c>
      <c r="I7" s="33"/>
      <c r="J7" s="80">
        <f t="shared" si="1"/>
        <v>7224</v>
      </c>
      <c r="K7" s="31">
        <v>83.0</v>
      </c>
      <c r="L7" s="33"/>
      <c r="M7" s="80">
        <f t="shared" si="2"/>
        <v>476.42</v>
      </c>
      <c r="N7" s="31">
        <v>0.0</v>
      </c>
      <c r="O7" s="33"/>
      <c r="P7" s="80">
        <f t="shared" si="3"/>
        <v>0</v>
      </c>
      <c r="Q7" s="80">
        <v>3128.0</v>
      </c>
      <c r="R7" s="34">
        <v>7000.0</v>
      </c>
      <c r="T7" s="34">
        <v>4500.0</v>
      </c>
    </row>
    <row r="8">
      <c r="A8" s="79" t="s">
        <v>38</v>
      </c>
      <c r="B8" s="31"/>
      <c r="C8" s="33"/>
      <c r="D8" s="31"/>
      <c r="E8" s="33"/>
      <c r="F8" s="80">
        <v>2686.42</v>
      </c>
      <c r="H8" s="31">
        <v>0.0</v>
      </c>
      <c r="I8" s="33"/>
      <c r="J8" s="80">
        <f t="shared" si="1"/>
        <v>0</v>
      </c>
      <c r="K8" s="31">
        <v>1374.0</v>
      </c>
      <c r="L8" s="33"/>
      <c r="M8" s="80">
        <f t="shared" si="2"/>
        <v>7886.76</v>
      </c>
      <c r="N8" s="31">
        <v>0.0</v>
      </c>
      <c r="O8" s="33"/>
      <c r="P8" s="80">
        <f t="shared" si="3"/>
        <v>0</v>
      </c>
      <c r="Q8" s="80">
        <v>11571.52</v>
      </c>
      <c r="R8" s="34">
        <v>12000.0</v>
      </c>
      <c r="T8" s="34">
        <v>7000.0</v>
      </c>
    </row>
    <row r="9">
      <c r="A9" s="81" t="s">
        <v>112</v>
      </c>
      <c r="B9" s="82">
        <v>20065.0</v>
      </c>
      <c r="C9" s="83">
        <v>4.5</v>
      </c>
      <c r="D9" s="82">
        <v>8828.0</v>
      </c>
      <c r="E9" s="83">
        <v>1.98</v>
      </c>
      <c r="F9" s="84">
        <f>SUM(F3:F8)</f>
        <v>41612.9</v>
      </c>
      <c r="H9" s="85">
        <f>SUM(H3:H8)</f>
        <v>5513</v>
      </c>
      <c r="I9" s="83">
        <v>3.36</v>
      </c>
      <c r="J9" s="84">
        <f t="shared" ref="J9:K9" si="4">SUM(J3:J8)</f>
        <v>18523.68</v>
      </c>
      <c r="K9" s="85">
        <f t="shared" si="4"/>
        <v>4459</v>
      </c>
      <c r="L9" s="83">
        <v>5.74</v>
      </c>
      <c r="M9" s="84">
        <f t="shared" ref="M9:N9" si="5">SUM(M3:M8)</f>
        <v>25594.66</v>
      </c>
      <c r="N9" s="85">
        <f t="shared" si="5"/>
        <v>13</v>
      </c>
      <c r="O9" s="83">
        <v>367.22</v>
      </c>
      <c r="P9" s="84">
        <f t="shared" ref="P9:R9" si="6">SUM(P3:P8)</f>
        <v>4773.86</v>
      </c>
      <c r="Q9" s="84">
        <f t="shared" si="6"/>
        <v>43681.52</v>
      </c>
      <c r="R9" s="84">
        <f t="shared" si="6"/>
        <v>63500</v>
      </c>
      <c r="T9" s="84">
        <f>SUM(T3:T8)</f>
        <v>43425</v>
      </c>
    </row>
    <row r="10">
      <c r="A10" s="47" t="s">
        <v>113</v>
      </c>
      <c r="B10" s="86">
        <f>H9+K9</f>
        <v>9972</v>
      </c>
    </row>
    <row r="11">
      <c r="A11" s="47" t="s">
        <v>114</v>
      </c>
      <c r="B11" s="87">
        <f>J9+M9</f>
        <v>44118.34</v>
      </c>
      <c r="O11" s="88"/>
      <c r="P11" s="88"/>
    </row>
    <row r="13">
      <c r="C13" s="69"/>
      <c r="D13" s="69"/>
      <c r="L13" s="89"/>
      <c r="M13" s="22"/>
      <c r="P13" s="90"/>
      <c r="Q13" s="90"/>
      <c r="R13" s="90"/>
      <c r="S13" s="90"/>
      <c r="T13" s="90"/>
      <c r="U13" s="90"/>
    </row>
    <row r="14">
      <c r="C14" s="65"/>
      <c r="D14" s="65"/>
      <c r="M14" s="91"/>
      <c r="P14" s="90"/>
      <c r="Q14" s="90"/>
      <c r="R14" s="90"/>
      <c r="S14" s="90"/>
      <c r="T14" s="90"/>
      <c r="U14" s="90"/>
    </row>
    <row r="15">
      <c r="C15" s="49" t="s">
        <v>115</v>
      </c>
      <c r="D15" s="49" t="s">
        <v>73</v>
      </c>
      <c r="E15" s="49" t="s">
        <v>74</v>
      </c>
      <c r="F15" s="49" t="s">
        <v>75</v>
      </c>
      <c r="H15" s="50" t="s">
        <v>116</v>
      </c>
      <c r="I15" s="25"/>
      <c r="J15" s="24"/>
      <c r="P15" s="90"/>
      <c r="Q15" s="92" t="s">
        <v>61</v>
      </c>
      <c r="R15" s="93" t="s">
        <v>103</v>
      </c>
      <c r="S15" s="93" t="s">
        <v>109</v>
      </c>
      <c r="T15" s="93" t="s">
        <v>111</v>
      </c>
      <c r="U15" s="90"/>
    </row>
    <row r="16">
      <c r="C16" s="51" t="s">
        <v>117</v>
      </c>
      <c r="D16" s="94">
        <f>((F9*0.5911)/I17)+((F9*0.4011)/J17)</f>
        <v>13895.85034</v>
      </c>
      <c r="E16" s="94">
        <f>B10</f>
        <v>9972</v>
      </c>
      <c r="F16" s="94">
        <f>((T9*0.5911)/I19)+((T9*0.4011)/J19)</f>
        <v>11873.07293</v>
      </c>
      <c r="H16" s="53" t="s">
        <v>47</v>
      </c>
      <c r="I16" s="53" t="s">
        <v>118</v>
      </c>
      <c r="J16" s="53" t="s">
        <v>119</v>
      </c>
      <c r="N16" s="95"/>
      <c r="P16" s="90"/>
      <c r="Q16" s="96" t="s">
        <v>5</v>
      </c>
      <c r="R16" s="97">
        <v>5711.87</v>
      </c>
      <c r="S16" s="97">
        <v>5104.0</v>
      </c>
      <c r="T16" s="97">
        <v>6500.0</v>
      </c>
      <c r="U16" s="90"/>
    </row>
    <row r="17">
      <c r="A17" s="9" t="s">
        <v>120</v>
      </c>
      <c r="C17" s="51" t="s">
        <v>121</v>
      </c>
      <c r="D17" s="98">
        <v>0.0</v>
      </c>
      <c r="E17" s="99">
        <f t="shared" ref="E17:F17" si="7">(E16-D16)/E16</f>
        <v>-0.3934867971</v>
      </c>
      <c r="F17" s="99">
        <f t="shared" si="7"/>
        <v>0.1601163355</v>
      </c>
      <c r="H17" s="62" t="s">
        <v>73</v>
      </c>
      <c r="I17" s="100">
        <f>C9</f>
        <v>4.5</v>
      </c>
      <c r="J17" s="100">
        <f>E9</f>
        <v>1.98</v>
      </c>
      <c r="P17" s="90"/>
      <c r="Q17" s="96" t="s">
        <v>12</v>
      </c>
      <c r="R17" s="97">
        <v>13726.14</v>
      </c>
      <c r="S17" s="97">
        <v>9643.0</v>
      </c>
      <c r="T17" s="97">
        <v>16000.0</v>
      </c>
      <c r="U17" s="90"/>
    </row>
    <row r="18">
      <c r="A18" s="45"/>
      <c r="B18" s="22"/>
      <c r="C18" s="51" t="s">
        <v>122</v>
      </c>
      <c r="D18" s="60">
        <f>AVERAGE(D17:F17)</f>
        <v>-0.07779015385</v>
      </c>
      <c r="H18" s="62" t="s">
        <v>74</v>
      </c>
      <c r="I18" s="100">
        <f>I9</f>
        <v>3.36</v>
      </c>
      <c r="J18" s="100">
        <f>L9</f>
        <v>5.74</v>
      </c>
      <c r="P18" s="90"/>
      <c r="Q18" s="96" t="s">
        <v>19</v>
      </c>
      <c r="R18" s="97">
        <v>12858.0</v>
      </c>
      <c r="S18" s="97">
        <v>12049.0</v>
      </c>
      <c r="T18" s="97">
        <v>8000.0</v>
      </c>
      <c r="U18" s="90"/>
    </row>
    <row r="19">
      <c r="B19" s="67"/>
      <c r="H19" s="62" t="s">
        <v>75</v>
      </c>
      <c r="I19" s="100">
        <v>3.67</v>
      </c>
      <c r="J19" s="100">
        <v>3.57</v>
      </c>
      <c r="P19" s="90"/>
      <c r="Q19" s="96" t="s">
        <v>26</v>
      </c>
      <c r="R19" s="97">
        <v>3121.83</v>
      </c>
      <c r="S19" s="97">
        <v>2186.0</v>
      </c>
      <c r="T19" s="97">
        <v>1425.0</v>
      </c>
      <c r="U19" s="90"/>
    </row>
    <row r="20">
      <c r="B20" s="67"/>
      <c r="H20" s="101" t="s">
        <v>123</v>
      </c>
      <c r="I20" s="100">
        <f t="shared" ref="I20:J20" si="8">AVERAGE(I17:I19)</f>
        <v>3.843333333</v>
      </c>
      <c r="J20" s="100">
        <f t="shared" si="8"/>
        <v>3.763333333</v>
      </c>
      <c r="P20" s="90"/>
      <c r="Q20" s="96" t="s">
        <v>33</v>
      </c>
      <c r="R20" s="97">
        <v>3508.64</v>
      </c>
      <c r="S20" s="97">
        <v>3128.0</v>
      </c>
      <c r="T20" s="97">
        <v>4500.0</v>
      </c>
      <c r="U20" s="90"/>
    </row>
    <row r="21">
      <c r="B21" s="67"/>
      <c r="H21" s="102"/>
      <c r="I21" s="103">
        <f>AVERAGE(I20,J20)</f>
        <v>3.803333333</v>
      </c>
      <c r="J21" s="24"/>
      <c r="P21" s="90"/>
      <c r="Q21" s="96"/>
      <c r="R21" s="97"/>
      <c r="S21" s="97"/>
      <c r="T21" s="97"/>
      <c r="U21" s="90"/>
    </row>
    <row r="22">
      <c r="H22" s="104" t="s">
        <v>124</v>
      </c>
      <c r="I22" s="105">
        <f>(I23*I20)+(J23*J20)</f>
        <v>3.847842116</v>
      </c>
      <c r="J22" s="24"/>
      <c r="P22" s="90"/>
      <c r="Q22" s="96" t="s">
        <v>38</v>
      </c>
      <c r="R22" s="97">
        <v>2686.42</v>
      </c>
      <c r="S22" s="97">
        <v>11571.52</v>
      </c>
      <c r="T22" s="97">
        <v>7000.0</v>
      </c>
      <c r="U22" s="90"/>
    </row>
    <row r="23">
      <c r="H23" s="62" t="s">
        <v>125</v>
      </c>
      <c r="I23" s="106">
        <f>M9/Q9</f>
        <v>0.5859379436</v>
      </c>
      <c r="J23" s="106">
        <f>J9/Q9</f>
        <v>0.4240621663</v>
      </c>
      <c r="P23" s="90"/>
      <c r="Q23" s="107" t="s">
        <v>112</v>
      </c>
      <c r="R23" s="108">
        <f t="shared" ref="R23:T23" si="9">SUM(R16:R22)</f>
        <v>41612.9</v>
      </c>
      <c r="S23" s="108">
        <f t="shared" si="9"/>
        <v>43681.52</v>
      </c>
      <c r="T23" s="108">
        <f t="shared" si="9"/>
        <v>43425</v>
      </c>
      <c r="U23" s="90"/>
    </row>
    <row r="24">
      <c r="P24" s="90"/>
      <c r="Q24" s="90"/>
      <c r="R24" s="90"/>
      <c r="S24" s="90"/>
      <c r="T24" s="90"/>
      <c r="U24" s="90"/>
    </row>
    <row r="25">
      <c r="B25" s="67"/>
      <c r="G25" s="67"/>
      <c r="H25" s="67"/>
      <c r="I25" s="109"/>
      <c r="P25" s="90"/>
      <c r="Q25" s="90"/>
      <c r="R25" s="90"/>
      <c r="S25" s="90"/>
      <c r="T25" s="90"/>
      <c r="U25" s="90"/>
    </row>
    <row r="26">
      <c r="A26" s="45"/>
      <c r="G26" s="67"/>
      <c r="H26" s="67"/>
      <c r="I26" s="109"/>
    </row>
    <row r="35">
      <c r="C35" s="90"/>
      <c r="D35" s="90"/>
      <c r="E35" s="90"/>
      <c r="F35" s="90"/>
    </row>
    <row r="36">
      <c r="C36" s="110" t="s">
        <v>115</v>
      </c>
      <c r="D36" s="110" t="s">
        <v>73</v>
      </c>
      <c r="E36" s="110" t="s">
        <v>74</v>
      </c>
      <c r="F36" s="110" t="s">
        <v>75</v>
      </c>
    </row>
    <row r="37">
      <c r="C37" s="110" t="s">
        <v>117</v>
      </c>
      <c r="D37" s="111">
        <v>13895.850340202018</v>
      </c>
      <c r="E37" s="111">
        <v>9972.0</v>
      </c>
      <c r="F37" s="111">
        <v>11873.072928353904</v>
      </c>
    </row>
    <row r="38">
      <c r="C38" s="90"/>
      <c r="D38" s="90"/>
      <c r="E38" s="90"/>
      <c r="F38" s="90"/>
    </row>
    <row r="41">
      <c r="A41" s="47"/>
    </row>
    <row r="42">
      <c r="D42" s="88"/>
    </row>
  </sheetData>
  <mergeCells count="7">
    <mergeCell ref="B1:F1"/>
    <mergeCell ref="H1:R1"/>
    <mergeCell ref="H15:J15"/>
    <mergeCell ref="D18:F18"/>
    <mergeCell ref="H20:H21"/>
    <mergeCell ref="I21:J21"/>
    <mergeCell ref="I22:J22"/>
  </mergeCells>
  <hyperlinks>
    <hyperlink r:id="rId2" ref="H15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38"/>
    <col customWidth="1" min="2" max="2" width="17.13"/>
    <col customWidth="1" min="3" max="3" width="17.75"/>
    <col customWidth="1" min="4" max="4" width="17.5"/>
    <col customWidth="1" min="5" max="14" width="18.88"/>
    <col customWidth="1" min="15" max="15" width="13.25"/>
    <col customWidth="1" min="16" max="17" width="16.75"/>
  </cols>
  <sheetData>
    <row r="1">
      <c r="A1" s="22" t="s">
        <v>126</v>
      </c>
      <c r="B1" s="112" t="s">
        <v>127</v>
      </c>
      <c r="C1" s="25"/>
      <c r="D1" s="25"/>
      <c r="E1" s="25"/>
      <c r="F1" s="25"/>
      <c r="G1" s="25"/>
      <c r="H1" s="24"/>
      <c r="I1" s="47"/>
      <c r="J1" s="112" t="s">
        <v>128</v>
      </c>
      <c r="K1" s="25"/>
      <c r="L1" s="25"/>
      <c r="M1" s="24"/>
      <c r="N1" s="47"/>
      <c r="O1" s="112" t="s">
        <v>129</v>
      </c>
      <c r="P1" s="25"/>
      <c r="Q1" s="24"/>
    </row>
    <row r="2">
      <c r="A2" s="4" t="s">
        <v>61</v>
      </c>
      <c r="B2" s="4" t="s">
        <v>130</v>
      </c>
      <c r="C2" s="4" t="s">
        <v>131</v>
      </c>
      <c r="D2" s="4" t="s">
        <v>132</v>
      </c>
      <c r="E2" s="4" t="s">
        <v>133</v>
      </c>
      <c r="F2" s="4" t="s">
        <v>134</v>
      </c>
      <c r="G2" s="4" t="s">
        <v>135</v>
      </c>
      <c r="H2" s="4" t="s">
        <v>136</v>
      </c>
      <c r="I2" s="113"/>
      <c r="J2" s="4" t="s">
        <v>137</v>
      </c>
      <c r="K2" s="4" t="s">
        <v>138</v>
      </c>
      <c r="L2" s="28" t="s">
        <v>139</v>
      </c>
      <c r="M2" s="4" t="s">
        <v>140</v>
      </c>
      <c r="O2" s="54" t="s">
        <v>141</v>
      </c>
      <c r="P2" s="114" t="s">
        <v>139</v>
      </c>
      <c r="Q2" s="54" t="s">
        <v>142</v>
      </c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</row>
    <row r="3">
      <c r="A3" s="115" t="s">
        <v>5</v>
      </c>
      <c r="B3" s="116">
        <v>38941.0</v>
      </c>
      <c r="C3" s="116">
        <f t="shared" ref="C3:C9" si="1">B3/1000</f>
        <v>38.941</v>
      </c>
      <c r="D3" s="117">
        <f t="shared" ref="D3:D9" si="2">(B3/1000)/8760</f>
        <v>0.004445319635</v>
      </c>
      <c r="E3" s="118">
        <f t="shared" ref="E3:E9" si="3">B3/8760</f>
        <v>4.445319635</v>
      </c>
      <c r="F3" s="34">
        <v>115366.0</v>
      </c>
      <c r="G3" s="34">
        <f t="shared" ref="G3:G9" si="4">F3*0.7</f>
        <v>80756.2</v>
      </c>
      <c r="H3" s="119">
        <f t="shared" ref="H3:H9" si="5">G3/((B3*1000)/8760)</f>
        <v>18.16656768</v>
      </c>
      <c r="I3" s="113"/>
      <c r="J3" s="120">
        <f>'Electricity Data'!D3</f>
        <v>11410</v>
      </c>
      <c r="K3" s="120">
        <f t="shared" ref="K3:K8" si="6">(J3/8760)</f>
        <v>1.302511416</v>
      </c>
      <c r="L3" s="121">
        <f t="shared" ref="L3:L9" si="7">3.86*E3*0.7*1000</f>
        <v>12011.25365</v>
      </c>
      <c r="M3" s="122">
        <f t="shared" ref="M3:M8" si="8">L3/(E3*1000)</f>
        <v>2.702</v>
      </c>
      <c r="O3" s="123">
        <v>0.3</v>
      </c>
      <c r="P3" s="124">
        <f>3.86*E6*0.7*1000</f>
        <v>104817.5509</v>
      </c>
      <c r="Q3" s="125">
        <f t="shared" ref="Q3:Q8" si="9">P3/($E$6*1000)</f>
        <v>2.702</v>
      </c>
    </row>
    <row r="4">
      <c r="A4" s="115" t="s">
        <v>12</v>
      </c>
      <c r="B4" s="116">
        <v>63354.0</v>
      </c>
      <c r="C4" s="116">
        <f t="shared" si="1"/>
        <v>63.354</v>
      </c>
      <c r="D4" s="117">
        <f t="shared" si="2"/>
        <v>0.007232191781</v>
      </c>
      <c r="E4" s="118">
        <f t="shared" si="3"/>
        <v>7.232191781</v>
      </c>
      <c r="F4" s="34">
        <v>192276.0</v>
      </c>
      <c r="G4" s="34">
        <f t="shared" si="4"/>
        <v>134593.2</v>
      </c>
      <c r="H4" s="119">
        <f t="shared" si="5"/>
        <v>18.61029188</v>
      </c>
      <c r="I4" s="113"/>
      <c r="J4" s="120">
        <f>'Electricity Data'!D4</f>
        <v>13560</v>
      </c>
      <c r="K4" s="120">
        <f t="shared" si="6"/>
        <v>1.547945205</v>
      </c>
      <c r="L4" s="121">
        <f t="shared" si="7"/>
        <v>19541.38219</v>
      </c>
      <c r="M4" s="122">
        <f t="shared" si="8"/>
        <v>2.702</v>
      </c>
      <c r="O4" s="123">
        <v>0.28</v>
      </c>
      <c r="P4" s="124">
        <f>3.86*E6*0.72*1000</f>
        <v>107812.3381</v>
      </c>
      <c r="Q4" s="125">
        <f t="shared" si="9"/>
        <v>2.7792</v>
      </c>
    </row>
    <row r="5">
      <c r="A5" s="115" t="s">
        <v>19</v>
      </c>
      <c r="B5" s="116">
        <v>95566.0</v>
      </c>
      <c r="C5" s="116">
        <f t="shared" si="1"/>
        <v>95.566</v>
      </c>
      <c r="D5" s="117">
        <f t="shared" si="2"/>
        <v>0.01090936073</v>
      </c>
      <c r="E5" s="118">
        <f t="shared" si="3"/>
        <v>10.90936073</v>
      </c>
      <c r="F5" s="34">
        <v>393951.0</v>
      </c>
      <c r="G5" s="34">
        <f t="shared" si="4"/>
        <v>275765.7</v>
      </c>
      <c r="H5" s="119">
        <f t="shared" si="5"/>
        <v>25.27789729</v>
      </c>
      <c r="I5" s="113"/>
      <c r="J5" s="120">
        <f>'Electricity Data'!D5</f>
        <v>21500</v>
      </c>
      <c r="K5" s="120">
        <f t="shared" si="6"/>
        <v>2.4543379</v>
      </c>
      <c r="L5" s="121">
        <f t="shared" si="7"/>
        <v>29477.09269</v>
      </c>
      <c r="M5" s="122">
        <f t="shared" si="8"/>
        <v>2.702</v>
      </c>
      <c r="O5" s="123">
        <v>0.26</v>
      </c>
      <c r="P5" s="124">
        <f>3.86*E6*0.74*1000</f>
        <v>110807.1253</v>
      </c>
      <c r="Q5" s="125">
        <f t="shared" si="9"/>
        <v>2.8564</v>
      </c>
    </row>
    <row r="6">
      <c r="A6" s="115" t="s">
        <v>26</v>
      </c>
      <c r="B6" s="116">
        <v>339823.0</v>
      </c>
      <c r="C6" s="116">
        <f t="shared" si="1"/>
        <v>339.823</v>
      </c>
      <c r="D6" s="117">
        <f t="shared" si="2"/>
        <v>0.03879257991</v>
      </c>
      <c r="E6" s="126">
        <f t="shared" si="3"/>
        <v>38.79257991</v>
      </c>
      <c r="F6" s="34">
        <v>285016.0</v>
      </c>
      <c r="G6" s="34">
        <f t="shared" si="4"/>
        <v>199511.2</v>
      </c>
      <c r="H6" s="119">
        <f t="shared" si="5"/>
        <v>5.143024786</v>
      </c>
      <c r="I6" s="127"/>
      <c r="J6" s="120">
        <f>'Electricity Data'!D6</f>
        <v>19900</v>
      </c>
      <c r="K6" s="120">
        <f t="shared" si="6"/>
        <v>2.271689498</v>
      </c>
      <c r="L6" s="128">
        <f t="shared" si="7"/>
        <v>104817.5509</v>
      </c>
      <c r="M6" s="129">
        <f t="shared" si="8"/>
        <v>2.702</v>
      </c>
      <c r="O6" s="123">
        <v>0.24</v>
      </c>
      <c r="P6" s="124">
        <f>3.86*E6*0.76*1000</f>
        <v>113801.9124</v>
      </c>
      <c r="Q6" s="125">
        <f t="shared" si="9"/>
        <v>2.9336</v>
      </c>
    </row>
    <row r="7">
      <c r="A7" s="115" t="s">
        <v>33</v>
      </c>
      <c r="B7" s="116">
        <v>27967.0</v>
      </c>
      <c r="C7" s="116">
        <f t="shared" si="1"/>
        <v>27.967</v>
      </c>
      <c r="D7" s="117">
        <f t="shared" si="2"/>
        <v>0.003192579909</v>
      </c>
      <c r="E7" s="118">
        <f t="shared" si="3"/>
        <v>3.192579909</v>
      </c>
      <c r="F7" s="34">
        <v>108976.0</v>
      </c>
      <c r="G7" s="34">
        <f t="shared" si="4"/>
        <v>76283.2</v>
      </c>
      <c r="H7" s="119">
        <f t="shared" si="5"/>
        <v>23.89390467</v>
      </c>
      <c r="I7" s="113"/>
      <c r="J7" s="120">
        <f>'Electricity Data'!D7</f>
        <v>8240</v>
      </c>
      <c r="K7" s="120">
        <f t="shared" si="6"/>
        <v>0.9406392694</v>
      </c>
      <c r="L7" s="130">
        <f t="shared" si="7"/>
        <v>8626.350913</v>
      </c>
      <c r="M7" s="71">
        <f t="shared" si="8"/>
        <v>2.702</v>
      </c>
      <c r="O7" s="123">
        <v>0.22</v>
      </c>
      <c r="P7" s="124">
        <f>3.86*E6*0.78*1000</f>
        <v>116796.6996</v>
      </c>
      <c r="Q7" s="125">
        <f t="shared" si="9"/>
        <v>3.0108</v>
      </c>
    </row>
    <row r="8">
      <c r="A8" s="115" t="s">
        <v>38</v>
      </c>
      <c r="B8" s="116">
        <v>160881.0</v>
      </c>
      <c r="C8" s="116">
        <f t="shared" si="1"/>
        <v>160.881</v>
      </c>
      <c r="D8" s="117">
        <f t="shared" si="2"/>
        <v>0.01836541096</v>
      </c>
      <c r="E8" s="118">
        <f t="shared" si="3"/>
        <v>18.36541096</v>
      </c>
      <c r="F8" s="34">
        <v>151663.0</v>
      </c>
      <c r="G8" s="34">
        <f t="shared" si="4"/>
        <v>106164.1</v>
      </c>
      <c r="H8" s="119">
        <f t="shared" si="5"/>
        <v>5.780654745</v>
      </c>
      <c r="I8" s="127"/>
      <c r="J8" s="120">
        <f>'Electricity Data'!D8</f>
        <v>229690</v>
      </c>
      <c r="K8" s="120">
        <f t="shared" si="6"/>
        <v>26.22031963</v>
      </c>
      <c r="L8" s="130">
        <f t="shared" si="7"/>
        <v>49623.34041</v>
      </c>
      <c r="M8" s="71">
        <f t="shared" si="8"/>
        <v>2.702</v>
      </c>
      <c r="O8" s="123">
        <v>0.2</v>
      </c>
      <c r="P8" s="124">
        <f>3.86*E6*0.8*1000</f>
        <v>119791.4868</v>
      </c>
      <c r="Q8" s="125">
        <f t="shared" si="9"/>
        <v>3.088</v>
      </c>
    </row>
    <row r="9">
      <c r="A9" s="4" t="s">
        <v>112</v>
      </c>
      <c r="B9" s="85">
        <v>726532.0</v>
      </c>
      <c r="C9" s="85">
        <f t="shared" si="1"/>
        <v>726.532</v>
      </c>
      <c r="D9" s="131">
        <f t="shared" si="2"/>
        <v>0.08293744292</v>
      </c>
      <c r="E9" s="132">
        <f t="shared" si="3"/>
        <v>82.93744292</v>
      </c>
      <c r="F9" s="133">
        <f>SUM(F3:F8)</f>
        <v>1247248</v>
      </c>
      <c r="G9" s="77">
        <f t="shared" si="4"/>
        <v>873073.6</v>
      </c>
      <c r="H9" s="77">
        <f t="shared" si="5"/>
        <v>10.52689315</v>
      </c>
      <c r="I9" s="134"/>
      <c r="J9" s="85">
        <f t="shared" ref="J9:K9" si="10">SUM(J3:J8)</f>
        <v>304300</v>
      </c>
      <c r="K9" s="85">
        <f t="shared" si="10"/>
        <v>34.73744292</v>
      </c>
      <c r="L9" s="135">
        <f t="shared" si="7"/>
        <v>224096.9708</v>
      </c>
      <c r="M9" s="136">
        <f>AVERAGE(M3:M8)</f>
        <v>2.702</v>
      </c>
    </row>
    <row r="10">
      <c r="A10" s="45"/>
      <c r="B10" s="72"/>
      <c r="C10" s="72"/>
      <c r="D10" s="72"/>
      <c r="E10" s="137"/>
      <c r="F10" s="137"/>
    </row>
    <row r="11">
      <c r="A11" s="45"/>
    </row>
    <row r="12">
      <c r="A12" s="22"/>
      <c r="E12" s="138"/>
    </row>
    <row r="14">
      <c r="A14" s="45"/>
      <c r="B14" s="45"/>
      <c r="C14" s="45"/>
      <c r="D14" s="45"/>
    </row>
    <row r="16">
      <c r="B16" s="67"/>
      <c r="C16" s="67"/>
      <c r="D16" s="67"/>
    </row>
    <row r="17">
      <c r="B17" s="67"/>
      <c r="C17" s="67"/>
      <c r="D17" s="67"/>
    </row>
    <row r="18">
      <c r="B18" s="67"/>
      <c r="C18" s="67"/>
      <c r="D18" s="67"/>
    </row>
    <row r="19">
      <c r="B19" s="67"/>
      <c r="C19" s="67"/>
      <c r="D19" s="67"/>
    </row>
    <row r="20">
      <c r="B20" s="67"/>
      <c r="C20" s="67"/>
      <c r="D20" s="67"/>
    </row>
    <row r="21">
      <c r="B21" s="67"/>
      <c r="C21" s="67"/>
      <c r="D21" s="67"/>
    </row>
  </sheetData>
  <mergeCells count="3">
    <mergeCell ref="B1:H1"/>
    <mergeCell ref="J1:M1"/>
    <mergeCell ref="O1:Q1"/>
  </mergeCells>
  <hyperlinks>
    <hyperlink r:id="rId2" ref="L2"/>
    <hyperlink r:id="rId3" ref="P2"/>
  </hyperlinks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15.88"/>
    <col customWidth="1" min="8" max="8" width="15.38"/>
    <col customWidth="1" min="9" max="9" width="14.13"/>
    <col customWidth="1" min="10" max="10" width="13.88"/>
  </cols>
  <sheetData>
    <row r="1">
      <c r="A1" s="139" t="s">
        <v>143</v>
      </c>
      <c r="B1" s="25"/>
      <c r="C1" s="25"/>
      <c r="D1" s="24"/>
      <c r="F1" s="140" t="s">
        <v>144</v>
      </c>
    </row>
    <row r="2">
      <c r="A2" s="141" t="s">
        <v>57</v>
      </c>
      <c r="B2" s="142" t="s">
        <v>145</v>
      </c>
      <c r="C2" s="142" t="s">
        <v>146</v>
      </c>
      <c r="D2" s="143" t="s">
        <v>147</v>
      </c>
    </row>
    <row r="3">
      <c r="A3" s="144" t="s">
        <v>148</v>
      </c>
      <c r="B3" s="6">
        <v>537.2</v>
      </c>
      <c r="C3" s="145">
        <f t="shared" ref="C3:C5" si="1">(B3*0.4536)/1000</f>
        <v>0.24367392</v>
      </c>
      <c r="D3" s="146">
        <f t="shared" ref="D3:D5" si="2">(B3*0.0004536)/1000</f>
        <v>0.00024367392</v>
      </c>
    </row>
    <row r="4">
      <c r="A4" s="144" t="s">
        <v>149</v>
      </c>
      <c r="B4" s="6">
        <v>0.063</v>
      </c>
      <c r="C4" s="145">
        <f t="shared" si="1"/>
        <v>0.0000285768</v>
      </c>
      <c r="D4" s="146">
        <f t="shared" si="2"/>
        <v>0.0000000285768</v>
      </c>
    </row>
    <row r="5">
      <c r="A5" s="144" t="s">
        <v>150</v>
      </c>
      <c r="B5" s="6">
        <v>0.008</v>
      </c>
      <c r="C5" s="145">
        <f t="shared" si="1"/>
        <v>0.0000036288</v>
      </c>
      <c r="D5" s="146">
        <f t="shared" si="2"/>
        <v>0.0000000036288</v>
      </c>
    </row>
    <row r="6">
      <c r="A6" s="1" t="s">
        <v>112</v>
      </c>
      <c r="B6" s="147">
        <f t="shared" ref="B6:D6" si="3">SUM(B3:B5)</f>
        <v>537.271</v>
      </c>
      <c r="C6" s="145">
        <f t="shared" si="3"/>
        <v>0.2437061256</v>
      </c>
      <c r="D6" s="146">
        <f t="shared" si="3"/>
        <v>0.0002437061256</v>
      </c>
    </row>
    <row r="8">
      <c r="B8" s="148"/>
      <c r="F8" s="47"/>
    </row>
    <row r="11">
      <c r="A11" s="139" t="s">
        <v>151</v>
      </c>
      <c r="B11" s="25"/>
      <c r="C11" s="25"/>
      <c r="D11" s="24"/>
    </row>
    <row r="12">
      <c r="A12" s="1" t="s">
        <v>152</v>
      </c>
      <c r="B12" s="5" t="s">
        <v>153</v>
      </c>
      <c r="C12" s="5" t="s">
        <v>154</v>
      </c>
      <c r="D12" s="5" t="s">
        <v>155</v>
      </c>
      <c r="E12" s="1" t="s">
        <v>156</v>
      </c>
      <c r="F12" s="1" t="s">
        <v>157</v>
      </c>
      <c r="G12" s="5" t="s">
        <v>158</v>
      </c>
      <c r="H12" s="5" t="s">
        <v>159</v>
      </c>
      <c r="I12" s="149" t="s">
        <v>160</v>
      </c>
      <c r="J12" s="1" t="s">
        <v>161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" t="s">
        <v>148</v>
      </c>
      <c r="B13" s="6">
        <v>62.87</v>
      </c>
      <c r="C13" s="6">
        <v>75.2</v>
      </c>
      <c r="D13" s="6">
        <v>93.8</v>
      </c>
      <c r="E13" s="1">
        <f t="shared" ref="E13:E16" si="4">SUM(B13:D13)</f>
        <v>231.87</v>
      </c>
      <c r="F13" s="1">
        <f t="shared" ref="F13:F16" si="5">E13*0.0011</f>
        <v>0.255057</v>
      </c>
      <c r="G13" s="6">
        <v>5.72</v>
      </c>
      <c r="H13" s="6">
        <v>10.15</v>
      </c>
      <c r="I13" s="147"/>
      <c r="J13" s="147"/>
    </row>
    <row r="14">
      <c r="A14" s="1" t="s">
        <v>149</v>
      </c>
      <c r="B14" s="6">
        <v>3.0</v>
      </c>
      <c r="C14" s="6">
        <v>3.0</v>
      </c>
      <c r="D14" s="6">
        <v>7.2</v>
      </c>
      <c r="E14" s="1">
        <f t="shared" si="4"/>
        <v>13.2</v>
      </c>
      <c r="F14" s="1">
        <f t="shared" si="5"/>
        <v>0.01452</v>
      </c>
      <c r="G14" s="6">
        <v>0.27</v>
      </c>
      <c r="H14" s="6">
        <v>0.41</v>
      </c>
      <c r="I14" s="147"/>
      <c r="J14" s="147"/>
    </row>
    <row r="15">
      <c r="A15" s="1" t="s">
        <v>150</v>
      </c>
      <c r="B15" s="6">
        <v>0.6</v>
      </c>
      <c r="C15" s="6">
        <v>0.6</v>
      </c>
      <c r="D15" s="6">
        <v>3.6</v>
      </c>
      <c r="E15" s="1">
        <f t="shared" si="4"/>
        <v>4.8</v>
      </c>
      <c r="F15" s="1">
        <f t="shared" si="5"/>
        <v>0.00528</v>
      </c>
      <c r="G15" s="6">
        <v>0.05</v>
      </c>
      <c r="H15" s="6">
        <v>0.08</v>
      </c>
      <c r="I15" s="147"/>
      <c r="J15" s="147"/>
    </row>
    <row r="16">
      <c r="A16" s="1" t="s">
        <v>112</v>
      </c>
      <c r="B16" s="147">
        <f t="shared" ref="B16:D16" si="6">SUM(B13:B15)</f>
        <v>66.47</v>
      </c>
      <c r="C16" s="147">
        <f t="shared" si="6"/>
        <v>78.8</v>
      </c>
      <c r="D16" s="147">
        <f t="shared" si="6"/>
        <v>104.6</v>
      </c>
      <c r="E16" s="1">
        <f t="shared" si="4"/>
        <v>249.87</v>
      </c>
      <c r="F16" s="1">
        <f t="shared" si="5"/>
        <v>0.274857</v>
      </c>
      <c r="G16" s="147">
        <f t="shared" ref="G16:H16" si="7">SUM(G13:G15)</f>
        <v>6.04</v>
      </c>
      <c r="H16" s="147">
        <f t="shared" si="7"/>
        <v>10.64</v>
      </c>
      <c r="I16" s="150">
        <f>SUM(G16:H16)</f>
        <v>16.68</v>
      </c>
      <c r="J16" s="150">
        <f>I16*0.001</f>
        <v>0.01668</v>
      </c>
    </row>
  </sheetData>
  <mergeCells count="2">
    <mergeCell ref="A1:D1"/>
    <mergeCell ref="A11:D11"/>
  </mergeCells>
  <hyperlinks>
    <hyperlink r:id="rId1" ref="A1"/>
    <hyperlink r:id="rId2" ref="F1"/>
    <hyperlink r:id="rId3" ref="A11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4.13"/>
  </cols>
  <sheetData>
    <row r="1">
      <c r="A1" s="151" t="s">
        <v>162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4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</row>
    <row r="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</row>
    <row r="3">
      <c r="A3" s="153" t="s">
        <v>163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</row>
    <row r="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</row>
    <row r="5">
      <c r="A5" s="154" t="s">
        <v>164</v>
      </c>
      <c r="B5" s="24"/>
      <c r="C5" s="155"/>
      <c r="D5" s="156" t="s">
        <v>165</v>
      </c>
      <c r="E5" s="24"/>
      <c r="F5" s="155"/>
      <c r="G5" s="157" t="s">
        <v>166</v>
      </c>
      <c r="H5" s="24"/>
      <c r="I5" s="152"/>
      <c r="J5" s="152"/>
      <c r="K5" s="158" t="s">
        <v>167</v>
      </c>
      <c r="L5" s="159"/>
      <c r="M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5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</row>
    <row r="6">
      <c r="A6" s="160" t="s">
        <v>168</v>
      </c>
      <c r="B6" s="20">
        <v>25.0</v>
      </c>
      <c r="C6" s="161"/>
      <c r="D6" s="162" t="s">
        <v>169</v>
      </c>
      <c r="E6" s="163">
        <f>'Electricity Data'!F9</f>
        <v>0.1998668419</v>
      </c>
      <c r="F6" s="155"/>
      <c r="G6" s="160" t="s">
        <v>170</v>
      </c>
      <c r="H6" s="164">
        <f>'Electricity Data'!D9</f>
        <v>304300</v>
      </c>
      <c r="J6" s="165" t="s">
        <v>171</v>
      </c>
      <c r="K6" s="24"/>
      <c r="L6" s="165" t="s">
        <v>172</v>
      </c>
      <c r="M6" s="24"/>
      <c r="AD6" s="155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>
      <c r="A7" s="166" t="s">
        <v>173</v>
      </c>
      <c r="B7" s="167">
        <v>0.05</v>
      </c>
      <c r="C7" s="155"/>
      <c r="D7" s="168" t="s">
        <v>174</v>
      </c>
      <c r="E7" s="169">
        <v>0.027</v>
      </c>
      <c r="F7" s="155"/>
      <c r="G7" s="155"/>
      <c r="H7" s="155"/>
      <c r="J7" s="170" t="s">
        <v>175</v>
      </c>
      <c r="K7" s="171">
        <f>B27</f>
        <v>2250515.06</v>
      </c>
      <c r="L7" s="170" t="s">
        <v>176</v>
      </c>
      <c r="M7" s="172">
        <f>B44</f>
        <v>2365696.994</v>
      </c>
      <c r="AD7" s="155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>
      <c r="A8" s="173"/>
      <c r="B8" s="155"/>
      <c r="C8" s="155"/>
      <c r="D8" s="160" t="s">
        <v>177</v>
      </c>
      <c r="E8" s="174">
        <f>'Electricity Data'!E9</f>
        <v>60819.48</v>
      </c>
      <c r="J8" s="175" t="s">
        <v>178</v>
      </c>
      <c r="K8" s="176">
        <f>Sum(B23:AA23)</f>
        <v>11260072.15</v>
      </c>
      <c r="L8" s="177" t="s">
        <v>179</v>
      </c>
      <c r="M8" s="178">
        <f>SUM(B38:AA38)</f>
        <v>115181.9344</v>
      </c>
      <c r="AD8" s="155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>
      <c r="A9" s="47"/>
      <c r="B9" s="179"/>
      <c r="C9" s="155"/>
      <c r="D9" s="160" t="s">
        <v>180</v>
      </c>
      <c r="E9" s="180">
        <v>0.05</v>
      </c>
      <c r="F9" s="155"/>
      <c r="G9" s="155"/>
      <c r="H9" s="155"/>
      <c r="I9" s="155"/>
      <c r="J9" s="155"/>
      <c r="K9" s="155"/>
      <c r="L9" s="155"/>
      <c r="M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>
      <c r="A10" s="47"/>
      <c r="B10" s="179"/>
      <c r="C10" s="155"/>
      <c r="D10" s="181" t="s">
        <v>181</v>
      </c>
      <c r="E10" s="182">
        <f>B22*'CO2 Emission Data'!D6</f>
        <v>74.15977402</v>
      </c>
      <c r="F10" s="155"/>
      <c r="G10" s="155"/>
      <c r="H10" s="155"/>
      <c r="I10" s="155"/>
      <c r="J10" s="183"/>
      <c r="K10" s="183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>
      <c r="A11" s="155"/>
      <c r="B11" s="184"/>
      <c r="C11" s="155"/>
      <c r="D11" s="185" t="s">
        <v>182</v>
      </c>
      <c r="E11" s="186">
        <v>40.0</v>
      </c>
      <c r="F11" s="155"/>
      <c r="G11" s="155"/>
      <c r="H11" s="155"/>
      <c r="I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>
      <c r="A12" s="155"/>
      <c r="B12" s="155"/>
      <c r="C12" s="155"/>
      <c r="D12" s="181" t="s">
        <v>183</v>
      </c>
      <c r="E12" s="187">
        <f>E10*E11</f>
        <v>2966.390961</v>
      </c>
      <c r="F12" s="155"/>
      <c r="AD12" s="155"/>
      <c r="AE12" s="155"/>
      <c r="AF12" s="155"/>
      <c r="AG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</row>
    <row r="13">
      <c r="A13" s="155"/>
      <c r="B13" s="155"/>
      <c r="C13" s="155"/>
      <c r="D13" s="155"/>
      <c r="E13" s="155"/>
      <c r="F13" s="155"/>
      <c r="AD13" s="155"/>
      <c r="AE13" s="155"/>
      <c r="AF13" s="155"/>
      <c r="AG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</row>
    <row r="14">
      <c r="A14" s="155"/>
      <c r="B14" s="155"/>
      <c r="C14" s="155"/>
      <c r="D14" s="152"/>
      <c r="E14" s="152"/>
      <c r="F14" s="155"/>
      <c r="AD14" s="155"/>
      <c r="AE14" s="155"/>
      <c r="AF14" s="155"/>
      <c r="AG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</row>
    <row r="15">
      <c r="A15" s="152"/>
      <c r="B15" s="152"/>
      <c r="C15" s="152"/>
      <c r="D15" s="152"/>
      <c r="E15" s="152"/>
      <c r="F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</row>
    <row r="16">
      <c r="A16" s="152"/>
      <c r="B16" s="152"/>
      <c r="C16" s="152"/>
      <c r="D16" s="152"/>
      <c r="E16" s="152"/>
      <c r="F16" s="152"/>
      <c r="J16" s="188"/>
      <c r="K16" s="188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</row>
    <row r="17">
      <c r="A17" s="152"/>
      <c r="B17" s="152"/>
      <c r="C17" s="152"/>
      <c r="D17" s="152"/>
      <c r="E17" s="152"/>
      <c r="F17" s="152"/>
      <c r="J17" s="152"/>
      <c r="K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</row>
    <row r="18">
      <c r="A18" s="189" t="s">
        <v>184</v>
      </c>
      <c r="B18" s="152"/>
      <c r="C18" s="190"/>
      <c r="D18" s="191"/>
      <c r="E18" s="179"/>
      <c r="F18" s="152"/>
      <c r="G18" s="155"/>
      <c r="H18" s="188"/>
      <c r="I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</row>
    <row r="19">
      <c r="A19" s="152"/>
      <c r="B19" s="152"/>
      <c r="C19" s="152"/>
      <c r="F19" s="152"/>
      <c r="G19" s="152"/>
      <c r="H19" s="152"/>
      <c r="I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</row>
    <row r="20">
      <c r="A20" s="192" t="s">
        <v>185</v>
      </c>
      <c r="B20" s="193" t="s">
        <v>186</v>
      </c>
      <c r="C20" s="193">
        <v>2025.0</v>
      </c>
      <c r="D20" s="193">
        <v>2026.0</v>
      </c>
      <c r="E20" s="193">
        <v>2027.0</v>
      </c>
      <c r="F20" s="193">
        <v>2028.0</v>
      </c>
      <c r="G20" s="193">
        <v>2029.0</v>
      </c>
      <c r="H20" s="193">
        <v>2030.0</v>
      </c>
      <c r="I20" s="193">
        <v>2031.0</v>
      </c>
      <c r="J20" s="193">
        <v>2032.0</v>
      </c>
      <c r="K20" s="193">
        <v>2033.0</v>
      </c>
      <c r="L20" s="193">
        <v>2034.0</v>
      </c>
      <c r="M20" s="193">
        <v>2035.0</v>
      </c>
      <c r="N20" s="193">
        <v>2036.0</v>
      </c>
      <c r="O20" s="193">
        <v>2037.0</v>
      </c>
      <c r="P20" s="193">
        <v>2038.0</v>
      </c>
      <c r="Q20" s="193">
        <v>2039.0</v>
      </c>
      <c r="R20" s="193">
        <v>2040.0</v>
      </c>
      <c r="S20" s="193">
        <v>2041.0</v>
      </c>
      <c r="T20" s="193">
        <v>2042.0</v>
      </c>
      <c r="U20" s="193">
        <v>2043.0</v>
      </c>
      <c r="V20" s="193">
        <v>2044.0</v>
      </c>
      <c r="W20" s="193">
        <v>2045.0</v>
      </c>
      <c r="X20" s="193">
        <v>2046.0</v>
      </c>
      <c r="Y20" s="193">
        <v>2047.0</v>
      </c>
      <c r="Z20" s="193">
        <v>2048.0</v>
      </c>
      <c r="AA20" s="193">
        <v>2049.0</v>
      </c>
    </row>
    <row r="21">
      <c r="A21" s="194"/>
      <c r="B21" s="195">
        <v>0.0</v>
      </c>
      <c r="C21" s="195">
        <v>1.0</v>
      </c>
      <c r="D21" s="195">
        <v>2.0</v>
      </c>
      <c r="E21" s="195">
        <v>3.0</v>
      </c>
      <c r="F21" s="195">
        <v>4.0</v>
      </c>
      <c r="G21" s="195">
        <v>5.0</v>
      </c>
      <c r="H21" s="193">
        <v>6.0</v>
      </c>
      <c r="I21" s="193">
        <v>7.0</v>
      </c>
      <c r="J21" s="193">
        <v>8.0</v>
      </c>
      <c r="K21" s="193">
        <v>9.0</v>
      </c>
      <c r="L21" s="193">
        <v>10.0</v>
      </c>
      <c r="M21" s="193">
        <v>11.0</v>
      </c>
      <c r="N21" s="193">
        <v>12.0</v>
      </c>
      <c r="O21" s="193">
        <v>13.0</v>
      </c>
      <c r="P21" s="193">
        <v>14.0</v>
      </c>
      <c r="Q21" s="193">
        <v>15.0</v>
      </c>
      <c r="R21" s="193">
        <v>16.0</v>
      </c>
      <c r="S21" s="193">
        <v>17.0</v>
      </c>
      <c r="T21" s="193">
        <v>18.0</v>
      </c>
      <c r="U21" s="193">
        <v>19.0</v>
      </c>
      <c r="V21" s="193">
        <v>20.0</v>
      </c>
      <c r="W21" s="193">
        <v>21.0</v>
      </c>
      <c r="X21" s="193">
        <v>22.0</v>
      </c>
      <c r="Y21" s="193">
        <v>23.0</v>
      </c>
      <c r="Z21" s="193">
        <v>24.0</v>
      </c>
      <c r="AA21" s="193">
        <v>25.0</v>
      </c>
    </row>
    <row r="22">
      <c r="A22" s="196" t="s">
        <v>187</v>
      </c>
      <c r="B22" s="197">
        <f>H6</f>
        <v>304300</v>
      </c>
      <c r="C22" s="197">
        <f t="shared" ref="C22:AA22" si="1">B22*((1+$E$7)*(1+$E$9))</f>
        <v>328141.905</v>
      </c>
      <c r="D22" s="197">
        <f t="shared" si="1"/>
        <v>353851.8233</v>
      </c>
      <c r="E22" s="197">
        <f t="shared" si="1"/>
        <v>381576.1136</v>
      </c>
      <c r="F22" s="197">
        <f t="shared" si="1"/>
        <v>411472.6021</v>
      </c>
      <c r="G22" s="197">
        <f t="shared" si="1"/>
        <v>443711.4805</v>
      </c>
      <c r="H22" s="197">
        <f t="shared" si="1"/>
        <v>478476.275</v>
      </c>
      <c r="I22" s="197">
        <f t="shared" si="1"/>
        <v>515964.8911</v>
      </c>
      <c r="J22" s="197">
        <f t="shared" si="1"/>
        <v>556390.7403</v>
      </c>
      <c r="K22" s="197">
        <f t="shared" si="1"/>
        <v>599983.9549</v>
      </c>
      <c r="L22" s="197">
        <f t="shared" si="1"/>
        <v>646992.6977</v>
      </c>
      <c r="M22" s="197">
        <f t="shared" si="1"/>
        <v>697684.5756</v>
      </c>
      <c r="N22" s="197">
        <f t="shared" si="1"/>
        <v>752348.1621</v>
      </c>
      <c r="O22" s="197">
        <f t="shared" si="1"/>
        <v>811294.6406</v>
      </c>
      <c r="P22" s="197">
        <f t="shared" si="1"/>
        <v>874859.5757</v>
      </c>
      <c r="Q22" s="197">
        <f t="shared" si="1"/>
        <v>943404.8234</v>
      </c>
      <c r="R22" s="197">
        <f t="shared" si="1"/>
        <v>1017320.591</v>
      </c>
      <c r="S22" s="197">
        <f t="shared" si="1"/>
        <v>1097027.66</v>
      </c>
      <c r="T22" s="197">
        <f t="shared" si="1"/>
        <v>1182979.777</v>
      </c>
      <c r="U22" s="197">
        <f t="shared" si="1"/>
        <v>1275666.242</v>
      </c>
      <c r="V22" s="197">
        <f t="shared" si="1"/>
        <v>1375614.692</v>
      </c>
      <c r="W22" s="197">
        <f t="shared" si="1"/>
        <v>1483394.104</v>
      </c>
      <c r="X22" s="197">
        <f t="shared" si="1"/>
        <v>1599618.032</v>
      </c>
      <c r="Y22" s="197">
        <f t="shared" si="1"/>
        <v>1724948.104</v>
      </c>
      <c r="Z22" s="197">
        <f t="shared" si="1"/>
        <v>1860097.788</v>
      </c>
      <c r="AA22" s="197">
        <f t="shared" si="1"/>
        <v>2005836.45</v>
      </c>
    </row>
    <row r="23">
      <c r="A23" s="198" t="s">
        <v>188</v>
      </c>
      <c r="B23" s="199">
        <f t="shared" ref="B23:AA23" si="2">B22/(1+$B$7)^B21</f>
        <v>304300</v>
      </c>
      <c r="C23" s="199">
        <f t="shared" si="2"/>
        <v>312516.1</v>
      </c>
      <c r="D23" s="199">
        <f t="shared" si="2"/>
        <v>320954.0347</v>
      </c>
      <c r="E23" s="199">
        <f t="shared" si="2"/>
        <v>329619.7936</v>
      </c>
      <c r="F23" s="199">
        <f t="shared" si="2"/>
        <v>338519.5281</v>
      </c>
      <c r="G23" s="199">
        <f t="shared" si="2"/>
        <v>347659.5553</v>
      </c>
      <c r="H23" s="199">
        <f t="shared" si="2"/>
        <v>357046.3633</v>
      </c>
      <c r="I23" s="199">
        <f t="shared" si="2"/>
        <v>366686.6151</v>
      </c>
      <c r="J23" s="199">
        <f t="shared" si="2"/>
        <v>376587.1537</v>
      </c>
      <c r="K23" s="199">
        <f t="shared" si="2"/>
        <v>386755.0069</v>
      </c>
      <c r="L23" s="199">
        <f t="shared" si="2"/>
        <v>397197.3921</v>
      </c>
      <c r="M23" s="199">
        <f t="shared" si="2"/>
        <v>407921.7217</v>
      </c>
      <c r="N23" s="199">
        <f t="shared" si="2"/>
        <v>418935.6081</v>
      </c>
      <c r="O23" s="199">
        <f t="shared" si="2"/>
        <v>430246.8696</v>
      </c>
      <c r="P23" s="199">
        <f t="shared" si="2"/>
        <v>441863.535</v>
      </c>
      <c r="Q23" s="199">
        <f t="shared" si="2"/>
        <v>453793.8505</v>
      </c>
      <c r="R23" s="199">
        <f t="shared" si="2"/>
        <v>466046.2844</v>
      </c>
      <c r="S23" s="199">
        <f t="shared" si="2"/>
        <v>478629.5341</v>
      </c>
      <c r="T23" s="199">
        <f t="shared" si="2"/>
        <v>491552.5316</v>
      </c>
      <c r="U23" s="199">
        <f t="shared" si="2"/>
        <v>504824.4499</v>
      </c>
      <c r="V23" s="199">
        <f t="shared" si="2"/>
        <v>518454.71</v>
      </c>
      <c r="W23" s="199">
        <f t="shared" si="2"/>
        <v>532452.9872</v>
      </c>
      <c r="X23" s="199">
        <f t="shared" si="2"/>
        <v>546829.2179</v>
      </c>
      <c r="Y23" s="199">
        <f t="shared" si="2"/>
        <v>561593.6068</v>
      </c>
      <c r="Z23" s="199">
        <f t="shared" si="2"/>
        <v>576756.6341</v>
      </c>
      <c r="AA23" s="199">
        <f t="shared" si="2"/>
        <v>592329.0633</v>
      </c>
    </row>
    <row r="24">
      <c r="A24" s="200" t="s">
        <v>189</v>
      </c>
      <c r="B24" s="201">
        <f t="shared" ref="B24:AA24" si="3">B22*$E$6</f>
        <v>60819.48</v>
      </c>
      <c r="C24" s="201">
        <f t="shared" si="3"/>
        <v>65584.68626</v>
      </c>
      <c r="D24" s="201">
        <f t="shared" si="3"/>
        <v>70723.24643</v>
      </c>
      <c r="E24" s="201">
        <f t="shared" si="3"/>
        <v>76264.41278</v>
      </c>
      <c r="F24" s="201">
        <f t="shared" si="3"/>
        <v>82239.72953</v>
      </c>
      <c r="G24" s="201">
        <f t="shared" si="3"/>
        <v>88683.21233</v>
      </c>
      <c r="H24" s="201">
        <f t="shared" si="3"/>
        <v>95631.54202</v>
      </c>
      <c r="I24" s="201">
        <f t="shared" si="3"/>
        <v>103124.2733</v>
      </c>
      <c r="J24" s="201">
        <f t="shared" si="3"/>
        <v>111204.0602</v>
      </c>
      <c r="K24" s="201">
        <f t="shared" si="3"/>
        <v>119916.8983</v>
      </c>
      <c r="L24" s="201">
        <f t="shared" si="3"/>
        <v>129312.3872</v>
      </c>
      <c r="M24" s="201">
        <f t="shared" si="3"/>
        <v>139444.0128</v>
      </c>
      <c r="N24" s="201">
        <f t="shared" si="3"/>
        <v>150369.4512</v>
      </c>
      <c r="O24" s="201">
        <f t="shared" si="3"/>
        <v>162150.8977</v>
      </c>
      <c r="P24" s="201">
        <f t="shared" si="3"/>
        <v>174855.4205</v>
      </c>
      <c r="Q24" s="201">
        <f t="shared" si="3"/>
        <v>188555.3427</v>
      </c>
      <c r="R24" s="201">
        <f t="shared" si="3"/>
        <v>203328.6538</v>
      </c>
      <c r="S24" s="201">
        <f t="shared" si="3"/>
        <v>219259.4538</v>
      </c>
      <c r="T24" s="201">
        <f t="shared" si="3"/>
        <v>236438.4321</v>
      </c>
      <c r="U24" s="201">
        <f t="shared" si="3"/>
        <v>254963.3832</v>
      </c>
      <c r="V24" s="201">
        <f t="shared" si="3"/>
        <v>274939.7643</v>
      </c>
      <c r="W24" s="201">
        <f t="shared" si="3"/>
        <v>296481.2948</v>
      </c>
      <c r="X24" s="201">
        <f t="shared" si="3"/>
        <v>319710.6043</v>
      </c>
      <c r="Y24" s="201">
        <f t="shared" si="3"/>
        <v>344759.9301</v>
      </c>
      <c r="Z24" s="201">
        <f t="shared" si="3"/>
        <v>371771.8706</v>
      </c>
      <c r="AA24" s="201">
        <f t="shared" si="3"/>
        <v>400900.1967</v>
      </c>
    </row>
    <row r="25">
      <c r="A25" s="202" t="s">
        <v>190</v>
      </c>
      <c r="B25" s="203">
        <f t="shared" ref="B25:AA25" si="4">B24/(1+$B$7)^B21</f>
        <v>60819.48</v>
      </c>
      <c r="C25" s="203">
        <f t="shared" si="4"/>
        <v>62461.60596</v>
      </c>
      <c r="D25" s="203">
        <f t="shared" si="4"/>
        <v>64148.06932</v>
      </c>
      <c r="E25" s="203">
        <f t="shared" si="4"/>
        <v>65880.06719</v>
      </c>
      <c r="F25" s="203">
        <f t="shared" si="4"/>
        <v>67658.82901</v>
      </c>
      <c r="G25" s="203">
        <f t="shared" si="4"/>
        <v>69485.61739</v>
      </c>
      <c r="H25" s="203">
        <f t="shared" si="4"/>
        <v>71361.72906</v>
      </c>
      <c r="I25" s="203">
        <f t="shared" si="4"/>
        <v>73288.49574</v>
      </c>
      <c r="J25" s="203">
        <f t="shared" si="4"/>
        <v>75267.28513</v>
      </c>
      <c r="K25" s="203">
        <f t="shared" si="4"/>
        <v>77299.50183</v>
      </c>
      <c r="L25" s="203">
        <f t="shared" si="4"/>
        <v>79386.58838</v>
      </c>
      <c r="M25" s="203">
        <f t="shared" si="4"/>
        <v>81530.02626</v>
      </c>
      <c r="N25" s="203">
        <f t="shared" si="4"/>
        <v>83731.33697</v>
      </c>
      <c r="O25" s="203">
        <f t="shared" si="4"/>
        <v>85992.08307</v>
      </c>
      <c r="P25" s="203">
        <f t="shared" si="4"/>
        <v>88313.86931</v>
      </c>
      <c r="Q25" s="203">
        <f t="shared" si="4"/>
        <v>90698.34378</v>
      </c>
      <c r="R25" s="203">
        <f t="shared" si="4"/>
        <v>93147.19907</v>
      </c>
      <c r="S25" s="203">
        <f t="shared" si="4"/>
        <v>95662.17344</v>
      </c>
      <c r="T25" s="203">
        <f t="shared" si="4"/>
        <v>98245.05212</v>
      </c>
      <c r="U25" s="203">
        <f t="shared" si="4"/>
        <v>100897.6685</v>
      </c>
      <c r="V25" s="203">
        <f t="shared" si="4"/>
        <v>103621.9056</v>
      </c>
      <c r="W25" s="203">
        <f t="shared" si="4"/>
        <v>106419.697</v>
      </c>
      <c r="X25" s="203">
        <f t="shared" si="4"/>
        <v>109293.0289</v>
      </c>
      <c r="Y25" s="203">
        <f t="shared" si="4"/>
        <v>112243.9406</v>
      </c>
      <c r="Z25" s="203">
        <f t="shared" si="4"/>
        <v>115274.527</v>
      </c>
      <c r="AA25" s="203">
        <f t="shared" si="4"/>
        <v>118386.9393</v>
      </c>
    </row>
    <row r="26">
      <c r="A26" s="204" t="s">
        <v>191</v>
      </c>
      <c r="B26" s="205">
        <f>B25</f>
        <v>60819.48</v>
      </c>
      <c r="C26" s="205">
        <f t="shared" ref="C26:AA26" si="5">B26+C25</f>
        <v>123281.086</v>
      </c>
      <c r="D26" s="205">
        <f t="shared" si="5"/>
        <v>187429.1553</v>
      </c>
      <c r="E26" s="205">
        <f t="shared" si="5"/>
        <v>253309.2225</v>
      </c>
      <c r="F26" s="205">
        <f t="shared" si="5"/>
        <v>320968.0515</v>
      </c>
      <c r="G26" s="205">
        <f t="shared" si="5"/>
        <v>390453.6689</v>
      </c>
      <c r="H26" s="205">
        <f t="shared" si="5"/>
        <v>461815.3979</v>
      </c>
      <c r="I26" s="205">
        <f t="shared" si="5"/>
        <v>535103.8937</v>
      </c>
      <c r="J26" s="205">
        <f t="shared" si="5"/>
        <v>610371.1788</v>
      </c>
      <c r="K26" s="205">
        <f t="shared" si="5"/>
        <v>687670.6806</v>
      </c>
      <c r="L26" s="205">
        <f t="shared" si="5"/>
        <v>767057.269</v>
      </c>
      <c r="M26" s="205">
        <f t="shared" si="5"/>
        <v>848587.2953</v>
      </c>
      <c r="N26" s="205">
        <f t="shared" si="5"/>
        <v>932318.6322</v>
      </c>
      <c r="O26" s="205">
        <f t="shared" si="5"/>
        <v>1018310.715</v>
      </c>
      <c r="P26" s="205">
        <f t="shared" si="5"/>
        <v>1106624.585</v>
      </c>
      <c r="Q26" s="205">
        <f t="shared" si="5"/>
        <v>1197322.928</v>
      </c>
      <c r="R26" s="205">
        <f t="shared" si="5"/>
        <v>1290470.127</v>
      </c>
      <c r="S26" s="205">
        <f t="shared" si="5"/>
        <v>1386132.301</v>
      </c>
      <c r="T26" s="205">
        <f t="shared" si="5"/>
        <v>1484377.353</v>
      </c>
      <c r="U26" s="205">
        <f t="shared" si="5"/>
        <v>1585275.022</v>
      </c>
      <c r="V26" s="205">
        <f t="shared" si="5"/>
        <v>1688896.927</v>
      </c>
      <c r="W26" s="205">
        <f t="shared" si="5"/>
        <v>1795316.624</v>
      </c>
      <c r="X26" s="205">
        <f t="shared" si="5"/>
        <v>1904609.653</v>
      </c>
      <c r="Y26" s="205">
        <f t="shared" si="5"/>
        <v>2016853.594</v>
      </c>
      <c r="Z26" s="205">
        <f t="shared" si="5"/>
        <v>2132128.121</v>
      </c>
      <c r="AA26" s="205">
        <f t="shared" si="5"/>
        <v>2250515.06</v>
      </c>
    </row>
    <row r="27">
      <c r="A27" s="206" t="s">
        <v>192</v>
      </c>
      <c r="B27" s="207">
        <f>SUM(B25:AA25)</f>
        <v>2250515.06</v>
      </c>
      <c r="C27" s="208"/>
      <c r="D27" s="152"/>
      <c r="E27" s="152"/>
      <c r="F27" s="208"/>
      <c r="G27" s="208"/>
    </row>
    <row r="28">
      <c r="A28" s="208"/>
      <c r="B28" s="208"/>
      <c r="C28" s="208"/>
      <c r="D28" s="209"/>
      <c r="E28" s="152"/>
      <c r="F28" s="152"/>
      <c r="G28" s="152"/>
    </row>
    <row r="29">
      <c r="A29" s="208"/>
      <c r="B29" s="208"/>
      <c r="C29" s="208"/>
      <c r="D29" s="152"/>
      <c r="E29" s="152"/>
      <c r="F29" s="152"/>
      <c r="G29" s="152"/>
    </row>
    <row r="30">
      <c r="C30" s="152"/>
      <c r="D30" s="152"/>
      <c r="E30" s="152"/>
      <c r="F30" s="152"/>
      <c r="G30" s="152"/>
    </row>
    <row r="31">
      <c r="A31" s="152"/>
      <c r="B31" s="152"/>
      <c r="C31" s="152"/>
      <c r="D31" s="152"/>
      <c r="E31" s="152"/>
      <c r="F31" s="152"/>
      <c r="G31" s="152"/>
    </row>
    <row r="32">
      <c r="A32" s="210" t="s">
        <v>193</v>
      </c>
      <c r="B32" s="211"/>
      <c r="C32" s="152"/>
      <c r="D32" s="152"/>
      <c r="E32" s="152"/>
      <c r="F32" s="152"/>
      <c r="G32" s="152"/>
    </row>
    <row r="33">
      <c r="A33" s="152"/>
      <c r="B33" s="152"/>
      <c r="C33" s="152"/>
      <c r="D33" s="152"/>
      <c r="E33" s="152"/>
      <c r="F33" s="152"/>
      <c r="G33" s="155"/>
    </row>
    <row r="34">
      <c r="A34" s="192" t="s">
        <v>185</v>
      </c>
      <c r="B34" s="193" t="s">
        <v>186</v>
      </c>
      <c r="C34" s="193">
        <v>2025.0</v>
      </c>
      <c r="D34" s="193">
        <v>2026.0</v>
      </c>
      <c r="E34" s="193">
        <v>2027.0</v>
      </c>
      <c r="F34" s="193">
        <v>2028.0</v>
      </c>
      <c r="G34" s="193">
        <v>2029.0</v>
      </c>
      <c r="H34" s="193">
        <v>2030.0</v>
      </c>
      <c r="I34" s="193">
        <v>2031.0</v>
      </c>
      <c r="J34" s="193">
        <v>2032.0</v>
      </c>
      <c r="K34" s="193">
        <v>2033.0</v>
      </c>
      <c r="L34" s="193">
        <v>2034.0</v>
      </c>
      <c r="M34" s="193">
        <v>2035.0</v>
      </c>
      <c r="N34" s="193">
        <v>2036.0</v>
      </c>
      <c r="O34" s="193">
        <v>2037.0</v>
      </c>
      <c r="P34" s="193">
        <v>2038.0</v>
      </c>
      <c r="Q34" s="193">
        <v>2039.0</v>
      </c>
      <c r="R34" s="193">
        <v>2040.0</v>
      </c>
      <c r="S34" s="193">
        <v>2041.0</v>
      </c>
      <c r="T34" s="193">
        <v>2042.0</v>
      </c>
      <c r="U34" s="193">
        <v>2043.0</v>
      </c>
      <c r="V34" s="193">
        <v>2044.0</v>
      </c>
      <c r="W34" s="193">
        <v>2045.0</v>
      </c>
      <c r="X34" s="193">
        <v>2046.0</v>
      </c>
      <c r="Y34" s="193">
        <v>2047.0</v>
      </c>
      <c r="Z34" s="193">
        <v>2048.0</v>
      </c>
      <c r="AA34" s="193">
        <v>2049.0</v>
      </c>
    </row>
    <row r="35">
      <c r="A35" s="212"/>
      <c r="B35" s="213">
        <v>0.0</v>
      </c>
      <c r="C35" s="213">
        <v>1.0</v>
      </c>
      <c r="D35" s="213">
        <v>2.0</v>
      </c>
      <c r="E35" s="213">
        <v>3.0</v>
      </c>
      <c r="F35" s="213">
        <v>4.0</v>
      </c>
      <c r="G35" s="213">
        <v>5.0</v>
      </c>
      <c r="H35" s="214">
        <v>6.0</v>
      </c>
      <c r="I35" s="193">
        <v>7.0</v>
      </c>
      <c r="J35" s="193">
        <v>8.0</v>
      </c>
      <c r="K35" s="193">
        <v>9.0</v>
      </c>
      <c r="L35" s="193">
        <v>10.0</v>
      </c>
      <c r="M35" s="193">
        <v>11.0</v>
      </c>
      <c r="N35" s="193">
        <v>12.0</v>
      </c>
      <c r="O35" s="193">
        <v>13.0</v>
      </c>
      <c r="P35" s="193">
        <v>14.0</v>
      </c>
      <c r="Q35" s="193">
        <v>15.0</v>
      </c>
      <c r="R35" s="193">
        <v>16.0</v>
      </c>
      <c r="S35" s="193">
        <v>17.0</v>
      </c>
      <c r="T35" s="193">
        <v>18.0</v>
      </c>
      <c r="U35" s="193">
        <v>19.0</v>
      </c>
      <c r="V35" s="193">
        <v>20.0</v>
      </c>
      <c r="W35" s="193">
        <v>21.0</v>
      </c>
      <c r="X35" s="193">
        <v>22.0</v>
      </c>
      <c r="Y35" s="193">
        <v>23.0</v>
      </c>
      <c r="Z35" s="193">
        <v>24.0</v>
      </c>
      <c r="AA35" s="193">
        <v>25.0</v>
      </c>
    </row>
    <row r="36">
      <c r="A36" s="215" t="s">
        <v>194</v>
      </c>
      <c r="B36" s="216">
        <f>B22*'CO2 Emission Data'!$D$6</f>
        <v>74.15977402</v>
      </c>
      <c r="C36" s="216">
        <f>C22*'CO2 Emission Data'!$D$6</f>
        <v>79.97019231</v>
      </c>
      <c r="D36" s="216">
        <f>D22*'CO2 Emission Data'!$D$6</f>
        <v>86.23585688</v>
      </c>
      <c r="E36" s="216">
        <f>E22*'CO2 Emission Data'!$D$6</f>
        <v>92.99243627</v>
      </c>
      <c r="F36" s="216">
        <f>F22*'CO2 Emission Data'!$D$6</f>
        <v>100.2783937</v>
      </c>
      <c r="G36" s="216">
        <f>G22*'CO2 Emission Data'!$D$6</f>
        <v>108.1352058</v>
      </c>
      <c r="H36" s="216">
        <f>H22*'CO2 Emission Data'!$D$6</f>
        <v>116.6075992</v>
      </c>
      <c r="I36" s="216">
        <f>I22*'CO2 Emission Data'!$D$6</f>
        <v>125.7438046</v>
      </c>
      <c r="J36" s="216">
        <f>J22*'CO2 Emission Data'!$D$6</f>
        <v>135.5958316</v>
      </c>
      <c r="K36" s="216">
        <f>K22*'CO2 Emission Data'!$D$6</f>
        <v>146.2197651</v>
      </c>
      <c r="L36" s="216">
        <f>L22*'CO2 Emission Data'!$D$6</f>
        <v>157.6760837</v>
      </c>
      <c r="M36" s="216">
        <f>M22*'CO2 Emission Data'!$D$6</f>
        <v>170.0300048</v>
      </c>
      <c r="N36" s="216">
        <f>N22*'CO2 Emission Data'!$D$6</f>
        <v>183.3518557</v>
      </c>
      <c r="O36" s="216">
        <f>O22*'CO2 Emission Data'!$D$6</f>
        <v>197.7174736</v>
      </c>
      <c r="P36" s="216">
        <f>P22*'CO2 Emission Data'!$D$6</f>
        <v>213.2086376</v>
      </c>
      <c r="Q36" s="216">
        <f>Q22*'CO2 Emission Data'!$D$6</f>
        <v>229.9135344</v>
      </c>
      <c r="R36" s="216">
        <f>R22*'CO2 Emission Data'!$D$6</f>
        <v>247.9272598</v>
      </c>
      <c r="S36" s="216">
        <f>S22*'CO2 Emission Data'!$D$6</f>
        <v>267.3523606</v>
      </c>
      <c r="T36" s="216">
        <f>T22*'CO2 Emission Data'!$D$6</f>
        <v>288.2994181</v>
      </c>
      <c r="U36" s="216">
        <f>U22*'CO2 Emission Data'!$D$6</f>
        <v>310.8876775</v>
      </c>
      <c r="V36" s="216">
        <f>V22*'CO2 Emission Data'!$D$6</f>
        <v>335.245727</v>
      </c>
      <c r="W36" s="216">
        <f>W22*'CO2 Emission Data'!$D$6</f>
        <v>361.5122297</v>
      </c>
      <c r="X36" s="216">
        <f>X22*'CO2 Emission Data'!$D$6</f>
        <v>389.8367129</v>
      </c>
      <c r="Y36" s="216">
        <f>Y22*'CO2 Emission Data'!$D$6</f>
        <v>420.3804194</v>
      </c>
      <c r="Z36" s="216">
        <f>Z22*'CO2 Emission Data'!$D$6</f>
        <v>453.3172252</v>
      </c>
      <c r="AA36" s="216">
        <f>AA22*'CO2 Emission Data'!$D$6</f>
        <v>488.8346298</v>
      </c>
    </row>
    <row r="37">
      <c r="A37" s="217" t="s">
        <v>195</v>
      </c>
      <c r="B37" s="216">
        <f t="shared" ref="B37:C37" si="6">B36*$E$11</f>
        <v>2966.390961</v>
      </c>
      <c r="C37" s="216">
        <f t="shared" si="6"/>
        <v>3198.807693</v>
      </c>
      <c r="D37" s="216">
        <f t="shared" ref="D37:E37" si="7">D36*$E$10</f>
        <v>6395.231659</v>
      </c>
      <c r="E37" s="216">
        <f t="shared" si="7"/>
        <v>6896.298059</v>
      </c>
      <c r="F37" s="216">
        <f t="shared" ref="F37:AA37" si="8">F36*$E$11</f>
        <v>4011.135746</v>
      </c>
      <c r="G37" s="216">
        <f t="shared" si="8"/>
        <v>4325.408232</v>
      </c>
      <c r="H37" s="216">
        <f t="shared" si="8"/>
        <v>4664.303967</v>
      </c>
      <c r="I37" s="216">
        <f t="shared" si="8"/>
        <v>5029.752182</v>
      </c>
      <c r="J37" s="216">
        <f t="shared" si="8"/>
        <v>5423.833266</v>
      </c>
      <c r="K37" s="216">
        <f t="shared" si="8"/>
        <v>5848.790602</v>
      </c>
      <c r="L37" s="216">
        <f t="shared" si="8"/>
        <v>6307.043346</v>
      </c>
      <c r="M37" s="216">
        <f t="shared" si="8"/>
        <v>6801.200192</v>
      </c>
      <c r="N37" s="216">
        <f t="shared" si="8"/>
        <v>7334.074227</v>
      </c>
      <c r="O37" s="216">
        <f t="shared" si="8"/>
        <v>7908.698943</v>
      </c>
      <c r="P37" s="216">
        <f t="shared" si="8"/>
        <v>8528.345505</v>
      </c>
      <c r="Q37" s="216">
        <f t="shared" si="8"/>
        <v>9196.541376</v>
      </c>
      <c r="R37" s="216">
        <f t="shared" si="8"/>
        <v>9917.090392</v>
      </c>
      <c r="S37" s="216">
        <f t="shared" si="8"/>
        <v>10694.09442</v>
      </c>
      <c r="T37" s="216">
        <f t="shared" si="8"/>
        <v>11531.97672</v>
      </c>
      <c r="U37" s="216">
        <f t="shared" si="8"/>
        <v>12435.5071</v>
      </c>
      <c r="V37" s="216">
        <f t="shared" si="8"/>
        <v>13409.82908</v>
      </c>
      <c r="W37" s="216">
        <f t="shared" si="8"/>
        <v>14460.48919</v>
      </c>
      <c r="X37" s="216">
        <f t="shared" si="8"/>
        <v>15593.46852</v>
      </c>
      <c r="Y37" s="216">
        <f t="shared" si="8"/>
        <v>16815.21677</v>
      </c>
      <c r="Z37" s="216">
        <f t="shared" si="8"/>
        <v>18132.68901</v>
      </c>
      <c r="AA37" s="216">
        <f t="shared" si="8"/>
        <v>19553.38519</v>
      </c>
    </row>
    <row r="38">
      <c r="A38" s="217" t="s">
        <v>196</v>
      </c>
      <c r="B38" s="216">
        <f t="shared" ref="B38:AA38" si="9">B37/(1+$B$7)^B35</f>
        <v>2966.390961</v>
      </c>
      <c r="C38" s="216">
        <f t="shared" si="9"/>
        <v>3046.483517</v>
      </c>
      <c r="D38" s="216">
        <f t="shared" si="9"/>
        <v>5800.663636</v>
      </c>
      <c r="E38" s="216">
        <f t="shared" si="9"/>
        <v>5957.281554</v>
      </c>
      <c r="F38" s="216">
        <f t="shared" si="9"/>
        <v>3299.971305</v>
      </c>
      <c r="G38" s="216">
        <f t="shared" si="9"/>
        <v>3389.07053</v>
      </c>
      <c r="H38" s="216">
        <f t="shared" si="9"/>
        <v>3480.575435</v>
      </c>
      <c r="I38" s="216">
        <f t="shared" si="9"/>
        <v>3574.550971</v>
      </c>
      <c r="J38" s="216">
        <f t="shared" si="9"/>
        <v>3671.063847</v>
      </c>
      <c r="K38" s="216">
        <f t="shared" si="9"/>
        <v>3770.182571</v>
      </c>
      <c r="L38" s="216">
        <f t="shared" si="9"/>
        <v>3871.977501</v>
      </c>
      <c r="M38" s="216">
        <f t="shared" si="9"/>
        <v>3976.520893</v>
      </c>
      <c r="N38" s="216">
        <f t="shared" si="9"/>
        <v>4083.886957</v>
      </c>
      <c r="O38" s="216">
        <f t="shared" si="9"/>
        <v>4194.151905</v>
      </c>
      <c r="P38" s="216">
        <f t="shared" si="9"/>
        <v>4307.394007</v>
      </c>
      <c r="Q38" s="216">
        <f t="shared" si="9"/>
        <v>4423.693645</v>
      </c>
      <c r="R38" s="216">
        <f t="shared" si="9"/>
        <v>4543.133373</v>
      </c>
      <c r="S38" s="216">
        <f t="shared" si="9"/>
        <v>4665.797974</v>
      </c>
      <c r="T38" s="216">
        <f t="shared" si="9"/>
        <v>4791.77452</v>
      </c>
      <c r="U38" s="216">
        <f t="shared" si="9"/>
        <v>4921.152432</v>
      </c>
      <c r="V38" s="216">
        <f t="shared" si="9"/>
        <v>5054.023547</v>
      </c>
      <c r="W38" s="216">
        <f t="shared" si="9"/>
        <v>5190.482183</v>
      </c>
      <c r="X38" s="216">
        <f t="shared" si="9"/>
        <v>5330.625202</v>
      </c>
      <c r="Y38" s="216">
        <f t="shared" si="9"/>
        <v>5474.552083</v>
      </c>
      <c r="Z38" s="216">
        <f t="shared" si="9"/>
        <v>5622.364989</v>
      </c>
      <c r="AA38" s="216">
        <f t="shared" si="9"/>
        <v>5774.168844</v>
      </c>
    </row>
    <row r="39">
      <c r="A39" s="215" t="s">
        <v>197</v>
      </c>
      <c r="B39" s="216">
        <f>B38</f>
        <v>2966.390961</v>
      </c>
      <c r="C39" s="216">
        <f t="shared" ref="C39:D39" si="10">B39+C38</f>
        <v>6012.874478</v>
      </c>
      <c r="D39" s="216">
        <f t="shared" si="10"/>
        <v>11813.53811</v>
      </c>
      <c r="E39" s="216">
        <f>D38+E38</f>
        <v>11757.94519</v>
      </c>
      <c r="F39" s="216">
        <f t="shared" ref="F39:AA39" si="11">E39+F38</f>
        <v>15057.9165</v>
      </c>
      <c r="G39" s="216">
        <f t="shared" si="11"/>
        <v>18446.98703</v>
      </c>
      <c r="H39" s="216">
        <f t="shared" si="11"/>
        <v>21927.56246</v>
      </c>
      <c r="I39" s="216">
        <f t="shared" si="11"/>
        <v>25502.11343</v>
      </c>
      <c r="J39" s="216">
        <f t="shared" si="11"/>
        <v>29173.17728</v>
      </c>
      <c r="K39" s="216">
        <f t="shared" si="11"/>
        <v>32943.35985</v>
      </c>
      <c r="L39" s="216">
        <f t="shared" si="11"/>
        <v>36815.33735</v>
      </c>
      <c r="M39" s="216">
        <f t="shared" si="11"/>
        <v>40791.85824</v>
      </c>
      <c r="N39" s="216">
        <f t="shared" si="11"/>
        <v>44875.7452</v>
      </c>
      <c r="O39" s="216">
        <f t="shared" si="11"/>
        <v>49069.89711</v>
      </c>
      <c r="P39" s="216">
        <f t="shared" si="11"/>
        <v>53377.29111</v>
      </c>
      <c r="Q39" s="216">
        <f t="shared" si="11"/>
        <v>57800.98476</v>
      </c>
      <c r="R39" s="216">
        <f t="shared" si="11"/>
        <v>62344.11813</v>
      </c>
      <c r="S39" s="216">
        <f t="shared" si="11"/>
        <v>67009.91611</v>
      </c>
      <c r="T39" s="216">
        <f t="shared" si="11"/>
        <v>71801.69063</v>
      </c>
      <c r="U39" s="216">
        <f t="shared" si="11"/>
        <v>76722.84306</v>
      </c>
      <c r="V39" s="216">
        <f t="shared" si="11"/>
        <v>81776.86661</v>
      </c>
      <c r="W39" s="216">
        <f t="shared" si="11"/>
        <v>86967.34879</v>
      </c>
      <c r="X39" s="216">
        <f t="shared" si="11"/>
        <v>92297.97399</v>
      </c>
      <c r="Y39" s="216">
        <f t="shared" si="11"/>
        <v>97772.52607</v>
      </c>
      <c r="Z39" s="216">
        <f t="shared" si="11"/>
        <v>103394.8911</v>
      </c>
      <c r="AA39" s="216">
        <f t="shared" si="11"/>
        <v>109169.0599</v>
      </c>
    </row>
    <row r="40">
      <c r="A40" s="218" t="s">
        <v>198</v>
      </c>
      <c r="B40" s="219">
        <f t="shared" ref="B40:AA40" si="12">B24+B37</f>
        <v>63785.87096</v>
      </c>
      <c r="C40" s="219">
        <f t="shared" si="12"/>
        <v>68783.49395</v>
      </c>
      <c r="D40" s="219">
        <f t="shared" si="12"/>
        <v>77118.47809</v>
      </c>
      <c r="E40" s="219">
        <f t="shared" si="12"/>
        <v>83160.71084</v>
      </c>
      <c r="F40" s="219">
        <f t="shared" si="12"/>
        <v>86250.86527</v>
      </c>
      <c r="G40" s="219">
        <f t="shared" si="12"/>
        <v>93008.62057</v>
      </c>
      <c r="H40" s="219">
        <f t="shared" si="12"/>
        <v>100295.846</v>
      </c>
      <c r="I40" s="219">
        <f t="shared" si="12"/>
        <v>108154.0255</v>
      </c>
      <c r="J40" s="219">
        <f t="shared" si="12"/>
        <v>116627.8934</v>
      </c>
      <c r="K40" s="219">
        <f t="shared" si="12"/>
        <v>125765.6889</v>
      </c>
      <c r="L40" s="219">
        <f t="shared" si="12"/>
        <v>135619.4306</v>
      </c>
      <c r="M40" s="219">
        <f t="shared" si="12"/>
        <v>146245.213</v>
      </c>
      <c r="N40" s="219">
        <f t="shared" si="12"/>
        <v>157703.5254</v>
      </c>
      <c r="O40" s="219">
        <f t="shared" si="12"/>
        <v>170059.5966</v>
      </c>
      <c r="P40" s="219">
        <f t="shared" si="12"/>
        <v>183383.766</v>
      </c>
      <c r="Q40" s="219">
        <f t="shared" si="12"/>
        <v>197751.8841</v>
      </c>
      <c r="R40" s="219">
        <f t="shared" si="12"/>
        <v>213245.7442</v>
      </c>
      <c r="S40" s="219">
        <f t="shared" si="12"/>
        <v>229953.5483</v>
      </c>
      <c r="T40" s="219">
        <f t="shared" si="12"/>
        <v>247970.4088</v>
      </c>
      <c r="U40" s="219">
        <f t="shared" si="12"/>
        <v>267398.8903</v>
      </c>
      <c r="V40" s="219">
        <f t="shared" si="12"/>
        <v>288349.5934</v>
      </c>
      <c r="W40" s="219">
        <f t="shared" si="12"/>
        <v>310941.784</v>
      </c>
      <c r="X40" s="219">
        <f t="shared" si="12"/>
        <v>335304.0728</v>
      </c>
      <c r="Y40" s="219">
        <f t="shared" si="12"/>
        <v>361575.1469</v>
      </c>
      <c r="Z40" s="219">
        <f t="shared" si="12"/>
        <v>389904.5596</v>
      </c>
      <c r="AA40" s="219">
        <f t="shared" si="12"/>
        <v>420453.5819</v>
      </c>
    </row>
    <row r="41">
      <c r="A41" s="218" t="s">
        <v>199</v>
      </c>
      <c r="B41" s="220">
        <f t="shared" ref="B41:AA41" si="13">B40/(1+$B$7)^B35</f>
        <v>63785.87096</v>
      </c>
      <c r="C41" s="220">
        <f t="shared" si="13"/>
        <v>65508.08948</v>
      </c>
      <c r="D41" s="220">
        <f t="shared" si="13"/>
        <v>69948.73296</v>
      </c>
      <c r="E41" s="220">
        <f t="shared" si="13"/>
        <v>71837.34875</v>
      </c>
      <c r="F41" s="220">
        <f t="shared" si="13"/>
        <v>70958.80031</v>
      </c>
      <c r="G41" s="220">
        <f t="shared" si="13"/>
        <v>72874.68792</v>
      </c>
      <c r="H41" s="220">
        <f t="shared" si="13"/>
        <v>74842.30449</v>
      </c>
      <c r="I41" s="220">
        <f t="shared" si="13"/>
        <v>76863.04672</v>
      </c>
      <c r="J41" s="220">
        <f t="shared" si="13"/>
        <v>78938.34898</v>
      </c>
      <c r="K41" s="220">
        <f t="shared" si="13"/>
        <v>81069.6844</v>
      </c>
      <c r="L41" s="220">
        <f t="shared" si="13"/>
        <v>83258.56588</v>
      </c>
      <c r="M41" s="220">
        <f t="shared" si="13"/>
        <v>85506.54716</v>
      </c>
      <c r="N41" s="220">
        <f t="shared" si="13"/>
        <v>87815.22393</v>
      </c>
      <c r="O41" s="220">
        <f t="shared" si="13"/>
        <v>90186.23498</v>
      </c>
      <c r="P41" s="220">
        <f t="shared" si="13"/>
        <v>92621.26332</v>
      </c>
      <c r="Q41" s="220">
        <f t="shared" si="13"/>
        <v>95122.03743</v>
      </c>
      <c r="R41" s="220">
        <f t="shared" si="13"/>
        <v>97690.33244</v>
      </c>
      <c r="S41" s="220">
        <f t="shared" si="13"/>
        <v>100327.9714</v>
      </c>
      <c r="T41" s="220">
        <f t="shared" si="13"/>
        <v>103036.8266</v>
      </c>
      <c r="U41" s="220">
        <f t="shared" si="13"/>
        <v>105818.821</v>
      </c>
      <c r="V41" s="220">
        <f t="shared" si="13"/>
        <v>108675.9291</v>
      </c>
      <c r="W41" s="220">
        <f t="shared" si="13"/>
        <v>111610.1792</v>
      </c>
      <c r="X41" s="220">
        <f t="shared" si="13"/>
        <v>114623.6541</v>
      </c>
      <c r="Y41" s="220">
        <f t="shared" si="13"/>
        <v>117718.4927</v>
      </c>
      <c r="Z41" s="220">
        <f t="shared" si="13"/>
        <v>120896.892</v>
      </c>
      <c r="AA41" s="220">
        <f t="shared" si="13"/>
        <v>124161.1081</v>
      </c>
    </row>
    <row r="42">
      <c r="A42" s="204" t="s">
        <v>200</v>
      </c>
      <c r="B42" s="221">
        <f>B41</f>
        <v>63785.87096</v>
      </c>
      <c r="C42" s="221">
        <f t="shared" ref="C42:D42" si="14">B42+C41</f>
        <v>129293.9604</v>
      </c>
      <c r="D42" s="221">
        <f t="shared" si="14"/>
        <v>199242.6934</v>
      </c>
      <c r="E42" s="221">
        <f>D41+E41</f>
        <v>141786.0817</v>
      </c>
      <c r="F42" s="221">
        <f t="shared" ref="F42:AA42" si="15">E42+F41</f>
        <v>212744.882</v>
      </c>
      <c r="G42" s="221">
        <f t="shared" si="15"/>
        <v>285619.5699</v>
      </c>
      <c r="H42" s="221">
        <f t="shared" si="15"/>
        <v>360461.8744</v>
      </c>
      <c r="I42" s="221">
        <f t="shared" si="15"/>
        <v>437324.9211</v>
      </c>
      <c r="J42" s="221">
        <f t="shared" si="15"/>
        <v>516263.2701</v>
      </c>
      <c r="K42" s="221">
        <f t="shared" si="15"/>
        <v>597332.9545</v>
      </c>
      <c r="L42" s="221">
        <f t="shared" si="15"/>
        <v>680591.5204</v>
      </c>
      <c r="M42" s="221">
        <f t="shared" si="15"/>
        <v>766098.0676</v>
      </c>
      <c r="N42" s="221">
        <f t="shared" si="15"/>
        <v>853913.2915</v>
      </c>
      <c r="O42" s="221">
        <f t="shared" si="15"/>
        <v>944099.5265</v>
      </c>
      <c r="P42" s="221">
        <f t="shared" si="15"/>
        <v>1036720.79</v>
      </c>
      <c r="Q42" s="221">
        <f t="shared" si="15"/>
        <v>1131842.827</v>
      </c>
      <c r="R42" s="221">
        <f t="shared" si="15"/>
        <v>1229533.16</v>
      </c>
      <c r="S42" s="221">
        <f t="shared" si="15"/>
        <v>1329861.131</v>
      </c>
      <c r="T42" s="221">
        <f t="shared" si="15"/>
        <v>1432897.958</v>
      </c>
      <c r="U42" s="221">
        <f t="shared" si="15"/>
        <v>1538716.779</v>
      </c>
      <c r="V42" s="221">
        <f t="shared" si="15"/>
        <v>1647392.708</v>
      </c>
      <c r="W42" s="221">
        <f t="shared" si="15"/>
        <v>1759002.887</v>
      </c>
      <c r="X42" s="221">
        <f t="shared" si="15"/>
        <v>1873626.541</v>
      </c>
      <c r="Y42" s="221">
        <f t="shared" si="15"/>
        <v>1991345.034</v>
      </c>
      <c r="Z42" s="221">
        <f t="shared" si="15"/>
        <v>2112241.926</v>
      </c>
      <c r="AA42" s="221">
        <f t="shared" si="15"/>
        <v>2236403.034</v>
      </c>
    </row>
    <row r="43">
      <c r="A43" s="222" t="s">
        <v>201</v>
      </c>
      <c r="B43" s="223">
        <f>SUM(B38:AA38)</f>
        <v>115181.9344</v>
      </c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</row>
    <row r="44">
      <c r="A44" s="206" t="s">
        <v>202</v>
      </c>
      <c r="B44" s="224">
        <f>B27+B43</f>
        <v>2365696.994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</row>
    <row r="45">
      <c r="A45" s="152"/>
      <c r="B45" s="152"/>
      <c r="C45" s="155"/>
      <c r="D45" s="152"/>
      <c r="E45" s="152"/>
      <c r="F45" s="155"/>
      <c r="G45" s="155"/>
      <c r="H45" s="155"/>
      <c r="I45" s="155"/>
      <c r="J45" s="152"/>
      <c r="K45" s="152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</row>
    <row r="46">
      <c r="A46" s="152"/>
      <c r="B46" s="152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25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</row>
    <row r="47">
      <c r="A47" s="152"/>
      <c r="B47" s="152"/>
      <c r="C47" s="179" t="s">
        <v>203</v>
      </c>
      <c r="D47" s="179" t="s">
        <v>204</v>
      </c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</row>
    <row r="48">
      <c r="A48" s="152"/>
      <c r="B48" s="9">
        <v>0.0</v>
      </c>
      <c r="C48" s="209">
        <f>B25</f>
        <v>60819.48</v>
      </c>
      <c r="D48" s="209">
        <v>124605.3509608032</v>
      </c>
      <c r="E48" s="209"/>
      <c r="F48" s="225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</row>
    <row r="49">
      <c r="A49" s="152"/>
      <c r="B49" s="179">
        <v>25.0</v>
      </c>
      <c r="C49" s="226">
        <v>1283436.0</v>
      </c>
      <c r="D49" s="226">
        <v>1343770.0</v>
      </c>
      <c r="E49" s="209"/>
      <c r="F49" s="225"/>
      <c r="G49" s="209"/>
      <c r="H49" s="209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</row>
    <row r="50">
      <c r="A50" s="152"/>
      <c r="B50" s="179"/>
      <c r="C50" s="209"/>
      <c r="D50" s="209"/>
      <c r="E50" s="209"/>
      <c r="F50" s="225"/>
      <c r="G50" s="209"/>
      <c r="H50" s="209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</row>
    <row r="51">
      <c r="A51" s="152"/>
      <c r="B51" s="179"/>
      <c r="C51" s="209"/>
      <c r="D51" s="209"/>
      <c r="E51" s="209"/>
      <c r="F51" s="225"/>
      <c r="G51" s="209"/>
      <c r="H51" s="209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</row>
    <row r="52">
      <c r="A52" s="152"/>
      <c r="B52" s="179"/>
      <c r="C52" s="209"/>
      <c r="D52" s="209"/>
      <c r="E52" s="209"/>
      <c r="F52" s="225"/>
      <c r="G52" s="209"/>
      <c r="H52" s="209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</row>
    <row r="53">
      <c r="A53" s="152"/>
      <c r="B53" s="179"/>
      <c r="C53" s="209"/>
      <c r="D53" s="209"/>
      <c r="E53" s="209"/>
      <c r="F53" s="225"/>
      <c r="G53" s="209"/>
      <c r="H53" s="209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</row>
    <row r="54">
      <c r="A54" s="152"/>
      <c r="B54" s="179"/>
      <c r="C54" s="209"/>
      <c r="D54" s="209"/>
      <c r="E54" s="209"/>
      <c r="F54" s="225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</row>
    <row r="55">
      <c r="A55" s="152"/>
      <c r="B55" s="179"/>
      <c r="C55" s="209"/>
      <c r="D55" s="209"/>
      <c r="E55" s="209"/>
      <c r="F55" s="225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</row>
    <row r="56">
      <c r="A56" s="152"/>
      <c r="B56" s="179"/>
      <c r="C56" s="209"/>
      <c r="D56" s="209"/>
      <c r="E56" s="209"/>
      <c r="F56" s="225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</row>
    <row r="57">
      <c r="A57" s="152"/>
      <c r="B57" s="179"/>
      <c r="C57" s="209"/>
      <c r="D57" s="209"/>
      <c r="E57" s="209"/>
      <c r="F57" s="225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</row>
    <row r="58">
      <c r="A58" s="152"/>
      <c r="B58" s="179"/>
      <c r="C58" s="209"/>
      <c r="D58" s="209"/>
      <c r="E58" s="209"/>
      <c r="F58" s="225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</row>
    <row r="59">
      <c r="A59" s="152"/>
      <c r="B59" s="179"/>
      <c r="C59" s="209"/>
      <c r="D59" s="209"/>
      <c r="E59" s="209"/>
      <c r="F59" s="225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</row>
    <row r="60">
      <c r="A60" s="152"/>
      <c r="B60" s="179"/>
      <c r="C60" s="209"/>
      <c r="D60" s="209"/>
      <c r="E60" s="209"/>
      <c r="F60" s="225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</row>
    <row r="61">
      <c r="B61" s="179"/>
      <c r="C61" s="209"/>
      <c r="D61" s="209"/>
      <c r="E61" s="209"/>
      <c r="F61" s="225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</row>
    <row r="62">
      <c r="B62" s="179"/>
      <c r="C62" s="209"/>
      <c r="D62" s="209"/>
      <c r="E62" s="209"/>
      <c r="F62" s="225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</row>
    <row r="63">
      <c r="B63" s="179"/>
      <c r="C63" s="209"/>
      <c r="D63" s="209"/>
      <c r="E63" s="209"/>
      <c r="F63" s="225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</row>
    <row r="64">
      <c r="B64" s="179"/>
      <c r="C64" s="209"/>
      <c r="D64" s="209"/>
      <c r="E64" s="209"/>
      <c r="F64" s="225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  <c r="AS64" s="152"/>
      <c r="AT64" s="152"/>
      <c r="AU64" s="152"/>
      <c r="AV64" s="152"/>
      <c r="AW64" s="152"/>
    </row>
    <row r="65">
      <c r="B65" s="179"/>
      <c r="C65" s="209"/>
      <c r="D65" s="209"/>
      <c r="E65" s="209"/>
      <c r="F65" s="225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</row>
    <row r="66">
      <c r="A66" s="152"/>
      <c r="B66" s="179"/>
      <c r="C66" s="209"/>
      <c r="D66" s="209"/>
      <c r="E66" s="209"/>
      <c r="F66" s="225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</row>
    <row r="67">
      <c r="A67" s="152"/>
      <c r="B67" s="179"/>
      <c r="C67" s="209"/>
      <c r="D67" s="209"/>
      <c r="E67" s="209"/>
      <c r="F67" s="225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</row>
    <row r="68">
      <c r="A68" s="152"/>
      <c r="B68" s="179"/>
      <c r="C68" s="209"/>
      <c r="D68" s="209"/>
      <c r="E68" s="209"/>
      <c r="F68" s="225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</row>
    <row r="69">
      <c r="A69" s="152"/>
      <c r="B69" s="179"/>
      <c r="C69" s="209"/>
      <c r="D69" s="209"/>
      <c r="E69" s="209"/>
      <c r="F69" s="225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</row>
    <row r="70">
      <c r="A70" s="152"/>
      <c r="B70" s="179"/>
      <c r="C70" s="209"/>
      <c r="D70" s="209"/>
      <c r="E70" s="209"/>
      <c r="F70" s="225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  <c r="AS70" s="152"/>
      <c r="AT70" s="152"/>
      <c r="AU70" s="152"/>
      <c r="AV70" s="152"/>
      <c r="AW70" s="152"/>
    </row>
    <row r="71">
      <c r="A71" s="152"/>
      <c r="B71" s="179"/>
      <c r="C71" s="209"/>
      <c r="D71" s="209"/>
      <c r="E71" s="209"/>
      <c r="F71" s="225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</row>
    <row r="72">
      <c r="A72" s="152"/>
      <c r="B72" s="179"/>
      <c r="C72" s="209"/>
      <c r="D72" s="209"/>
      <c r="E72" s="209"/>
      <c r="F72" s="225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</row>
    <row r="73">
      <c r="A73" s="152"/>
      <c r="E73" s="209"/>
      <c r="F73" s="225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152"/>
      <c r="AT73" s="152"/>
      <c r="AU73" s="152"/>
      <c r="AV73" s="152"/>
      <c r="AW73" s="152"/>
    </row>
    <row r="74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</row>
    <row r="75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152"/>
      <c r="AT75" s="152"/>
      <c r="AU75" s="152"/>
      <c r="AV75" s="152"/>
      <c r="AW75" s="152"/>
    </row>
    <row r="76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</row>
    <row r="7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  <c r="AS78" s="152"/>
      <c r="AT78" s="152"/>
      <c r="AU78" s="152"/>
      <c r="AV78" s="152"/>
      <c r="AW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152"/>
      <c r="AT79" s="152"/>
      <c r="AU79" s="152"/>
      <c r="AV79" s="152"/>
      <c r="AW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  <c r="AS81" s="152"/>
      <c r="AT81" s="152"/>
      <c r="AU81" s="152"/>
      <c r="AV81" s="152"/>
      <c r="AW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  <c r="AS82" s="152"/>
      <c r="AT82" s="152"/>
      <c r="AU82" s="152"/>
      <c r="AV82" s="152"/>
      <c r="AW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  <c r="AS85" s="152"/>
      <c r="AT85" s="152"/>
      <c r="AU85" s="152"/>
      <c r="AV85" s="152"/>
      <c r="AW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  <c r="AS87" s="152"/>
      <c r="AT87" s="152"/>
      <c r="AU87" s="152"/>
      <c r="AV87" s="152"/>
      <c r="AW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  <c r="AS96" s="152"/>
      <c r="AT96" s="152"/>
      <c r="AU96" s="152"/>
      <c r="AV96" s="152"/>
      <c r="AW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  <c r="AS100" s="152"/>
      <c r="AT100" s="152"/>
      <c r="AU100" s="152"/>
      <c r="AV100" s="152"/>
      <c r="AW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  <c r="AQ105" s="152"/>
      <c r="AR105" s="152"/>
      <c r="AS105" s="152"/>
      <c r="AT105" s="152"/>
      <c r="AU105" s="152"/>
      <c r="AV105" s="152"/>
      <c r="AW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  <c r="AQ106" s="152"/>
      <c r="AR106" s="152"/>
      <c r="AS106" s="152"/>
      <c r="AT106" s="152"/>
      <c r="AU106" s="152"/>
      <c r="AV106" s="152"/>
      <c r="AW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52"/>
      <c r="AS108" s="152"/>
      <c r="AT108" s="152"/>
      <c r="AU108" s="152"/>
      <c r="AV108" s="152"/>
      <c r="AW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  <c r="AH109" s="152"/>
      <c r="AI109" s="152"/>
      <c r="AJ109" s="152"/>
      <c r="AK109" s="152"/>
      <c r="AL109" s="152"/>
      <c r="AM109" s="152"/>
      <c r="AN109" s="152"/>
      <c r="AO109" s="152"/>
      <c r="AP109" s="152"/>
      <c r="AQ109" s="152"/>
      <c r="AR109" s="152"/>
      <c r="AS109" s="152"/>
      <c r="AT109" s="152"/>
      <c r="AU109" s="152"/>
      <c r="AV109" s="152"/>
      <c r="AW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  <c r="AH110" s="152"/>
      <c r="AI110" s="152"/>
      <c r="AJ110" s="152"/>
      <c r="AK110" s="152"/>
      <c r="AL110" s="152"/>
      <c r="AM110" s="152"/>
      <c r="AN110" s="152"/>
      <c r="AO110" s="152"/>
      <c r="AP110" s="152"/>
      <c r="AQ110" s="152"/>
      <c r="AR110" s="152"/>
      <c r="AS110" s="152"/>
      <c r="AT110" s="152"/>
      <c r="AU110" s="152"/>
      <c r="AV110" s="152"/>
      <c r="AW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  <c r="AH111" s="152"/>
      <c r="AI111" s="152"/>
      <c r="AJ111" s="152"/>
      <c r="AK111" s="152"/>
      <c r="AL111" s="152"/>
      <c r="AM111" s="152"/>
      <c r="AN111" s="152"/>
      <c r="AO111" s="152"/>
      <c r="AP111" s="152"/>
      <c r="AQ111" s="152"/>
      <c r="AR111" s="152"/>
      <c r="AS111" s="152"/>
      <c r="AT111" s="152"/>
      <c r="AU111" s="152"/>
      <c r="AV111" s="152"/>
      <c r="AW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  <c r="AH112" s="152"/>
      <c r="AI112" s="152"/>
      <c r="AJ112" s="152"/>
      <c r="AK112" s="152"/>
      <c r="AL112" s="152"/>
      <c r="AM112" s="152"/>
      <c r="AN112" s="152"/>
      <c r="AO112" s="152"/>
      <c r="AP112" s="152"/>
      <c r="AQ112" s="152"/>
      <c r="AR112" s="152"/>
      <c r="AS112" s="152"/>
      <c r="AT112" s="152"/>
      <c r="AU112" s="152"/>
      <c r="AV112" s="152"/>
      <c r="AW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  <c r="AH113" s="152"/>
      <c r="AI113" s="152"/>
      <c r="AJ113" s="152"/>
      <c r="AK113" s="152"/>
      <c r="AL113" s="152"/>
      <c r="AM113" s="152"/>
      <c r="AN113" s="152"/>
      <c r="AO113" s="152"/>
      <c r="AP113" s="152"/>
      <c r="AQ113" s="152"/>
      <c r="AR113" s="152"/>
      <c r="AS113" s="152"/>
      <c r="AT113" s="152"/>
      <c r="AU113" s="152"/>
      <c r="AV113" s="152"/>
      <c r="AW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152"/>
      <c r="AV115" s="152"/>
      <c r="AW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152"/>
      <c r="AV116" s="152"/>
      <c r="AW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152"/>
      <c r="AV117" s="152"/>
      <c r="AW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152"/>
      <c r="AV118" s="152"/>
      <c r="AW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152"/>
      <c r="AV119" s="152"/>
      <c r="AW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152"/>
      <c r="AV120" s="152"/>
      <c r="AW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152"/>
      <c r="AV121" s="152"/>
      <c r="AW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152"/>
      <c r="AV122" s="152"/>
      <c r="AW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  <c r="AG123" s="152"/>
      <c r="AH123" s="152"/>
      <c r="AI123" s="152"/>
      <c r="AJ123" s="152"/>
      <c r="AK123" s="152"/>
      <c r="AL123" s="152"/>
      <c r="AM123" s="152"/>
      <c r="AN123" s="152"/>
      <c r="AO123" s="152"/>
      <c r="AP123" s="152"/>
      <c r="AQ123" s="152"/>
      <c r="AR123" s="152"/>
      <c r="AS123" s="152"/>
      <c r="AT123" s="152"/>
      <c r="AU123" s="152"/>
      <c r="AV123" s="152"/>
      <c r="AW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  <c r="AG124" s="152"/>
      <c r="AH124" s="152"/>
      <c r="AI124" s="152"/>
      <c r="AJ124" s="152"/>
      <c r="AK124" s="152"/>
      <c r="AL124" s="152"/>
      <c r="AM124" s="152"/>
      <c r="AN124" s="152"/>
      <c r="AO124" s="152"/>
      <c r="AP124" s="152"/>
      <c r="AQ124" s="152"/>
      <c r="AR124" s="152"/>
      <c r="AS124" s="152"/>
      <c r="AT124" s="152"/>
      <c r="AU124" s="152"/>
      <c r="AV124" s="152"/>
      <c r="AW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  <c r="AH126" s="152"/>
      <c r="AI126" s="152"/>
      <c r="AJ126" s="152"/>
      <c r="AK126" s="152"/>
      <c r="AL126" s="152"/>
      <c r="AM126" s="152"/>
      <c r="AN126" s="152"/>
      <c r="AO126" s="152"/>
      <c r="AP126" s="152"/>
      <c r="AQ126" s="152"/>
      <c r="AR126" s="152"/>
      <c r="AS126" s="152"/>
      <c r="AT126" s="152"/>
      <c r="AU126" s="152"/>
      <c r="AV126" s="152"/>
      <c r="AW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  <c r="AH127" s="152"/>
      <c r="AI127" s="152"/>
      <c r="AJ127" s="152"/>
      <c r="AK127" s="152"/>
      <c r="AL127" s="152"/>
      <c r="AM127" s="152"/>
      <c r="AN127" s="152"/>
      <c r="AO127" s="152"/>
      <c r="AP127" s="152"/>
      <c r="AQ127" s="152"/>
      <c r="AR127" s="152"/>
      <c r="AS127" s="152"/>
      <c r="AT127" s="152"/>
      <c r="AU127" s="152"/>
      <c r="AV127" s="152"/>
      <c r="AW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  <c r="AH128" s="152"/>
      <c r="AI128" s="152"/>
      <c r="AJ128" s="152"/>
      <c r="AK128" s="152"/>
      <c r="AL128" s="152"/>
      <c r="AM128" s="152"/>
      <c r="AN128" s="152"/>
      <c r="AO128" s="152"/>
      <c r="AP128" s="152"/>
      <c r="AQ128" s="152"/>
      <c r="AR128" s="152"/>
      <c r="AS128" s="152"/>
      <c r="AT128" s="152"/>
      <c r="AU128" s="152"/>
      <c r="AV128" s="152"/>
      <c r="AW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  <c r="AH129" s="152"/>
      <c r="AI129" s="152"/>
      <c r="AJ129" s="152"/>
      <c r="AK129" s="152"/>
      <c r="AL129" s="152"/>
      <c r="AM129" s="152"/>
      <c r="AN129" s="152"/>
      <c r="AO129" s="152"/>
      <c r="AP129" s="152"/>
      <c r="AQ129" s="152"/>
      <c r="AR129" s="152"/>
      <c r="AS129" s="152"/>
      <c r="AT129" s="152"/>
      <c r="AU129" s="152"/>
      <c r="AV129" s="152"/>
      <c r="AW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  <c r="AH130" s="152"/>
      <c r="AI130" s="152"/>
      <c r="AJ130" s="152"/>
      <c r="AK130" s="152"/>
      <c r="AL130" s="152"/>
      <c r="AM130" s="152"/>
      <c r="AN130" s="152"/>
      <c r="AO130" s="152"/>
      <c r="AP130" s="152"/>
      <c r="AQ130" s="152"/>
      <c r="AR130" s="152"/>
      <c r="AS130" s="152"/>
      <c r="AT130" s="152"/>
      <c r="AU130" s="152"/>
      <c r="AV130" s="152"/>
      <c r="AW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  <c r="AH131" s="152"/>
      <c r="AI131" s="152"/>
      <c r="AJ131" s="152"/>
      <c r="AK131" s="152"/>
      <c r="AL131" s="152"/>
      <c r="AM131" s="152"/>
      <c r="AN131" s="152"/>
      <c r="AO131" s="152"/>
      <c r="AP131" s="152"/>
      <c r="AQ131" s="152"/>
      <c r="AR131" s="152"/>
      <c r="AS131" s="152"/>
      <c r="AT131" s="152"/>
      <c r="AU131" s="152"/>
      <c r="AV131" s="152"/>
      <c r="AW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  <c r="AH132" s="152"/>
      <c r="AI132" s="152"/>
      <c r="AJ132" s="152"/>
      <c r="AK132" s="152"/>
      <c r="AL132" s="152"/>
      <c r="AM132" s="152"/>
      <c r="AN132" s="152"/>
      <c r="AO132" s="152"/>
      <c r="AP132" s="152"/>
      <c r="AQ132" s="152"/>
      <c r="AR132" s="152"/>
      <c r="AS132" s="152"/>
      <c r="AT132" s="152"/>
      <c r="AU132" s="152"/>
      <c r="AV132" s="152"/>
      <c r="AW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  <c r="AH133" s="152"/>
      <c r="AI133" s="152"/>
      <c r="AJ133" s="152"/>
      <c r="AK133" s="152"/>
      <c r="AL133" s="152"/>
      <c r="AM133" s="152"/>
      <c r="AN133" s="152"/>
      <c r="AO133" s="152"/>
      <c r="AP133" s="152"/>
      <c r="AQ133" s="152"/>
      <c r="AR133" s="152"/>
      <c r="AS133" s="152"/>
      <c r="AT133" s="152"/>
      <c r="AU133" s="152"/>
      <c r="AV133" s="152"/>
      <c r="AW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  <c r="AH134" s="152"/>
      <c r="AI134" s="152"/>
      <c r="AJ134" s="152"/>
      <c r="AK134" s="152"/>
      <c r="AL134" s="152"/>
      <c r="AM134" s="152"/>
      <c r="AN134" s="152"/>
      <c r="AO134" s="152"/>
      <c r="AP134" s="152"/>
      <c r="AQ134" s="152"/>
      <c r="AR134" s="152"/>
      <c r="AS134" s="152"/>
      <c r="AT134" s="152"/>
      <c r="AU134" s="152"/>
      <c r="AV134" s="152"/>
      <c r="AW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  <c r="AH136" s="152"/>
      <c r="AI136" s="152"/>
      <c r="AJ136" s="152"/>
      <c r="AK136" s="152"/>
      <c r="AL136" s="152"/>
      <c r="AM136" s="152"/>
      <c r="AN136" s="152"/>
      <c r="AO136" s="152"/>
      <c r="AP136" s="152"/>
      <c r="AQ136" s="152"/>
      <c r="AR136" s="152"/>
      <c r="AS136" s="152"/>
      <c r="AT136" s="152"/>
      <c r="AU136" s="152"/>
      <c r="AV136" s="152"/>
      <c r="AW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  <c r="AH137" s="152"/>
      <c r="AI137" s="152"/>
      <c r="AJ137" s="152"/>
      <c r="AK137" s="152"/>
      <c r="AL137" s="152"/>
      <c r="AM137" s="152"/>
      <c r="AN137" s="152"/>
      <c r="AO137" s="152"/>
      <c r="AP137" s="152"/>
      <c r="AQ137" s="152"/>
      <c r="AR137" s="152"/>
      <c r="AS137" s="152"/>
      <c r="AT137" s="152"/>
      <c r="AU137" s="152"/>
      <c r="AV137" s="152"/>
      <c r="AW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  <c r="AQ140" s="152"/>
      <c r="AR140" s="152"/>
      <c r="AS140" s="152"/>
      <c r="AT140" s="152"/>
      <c r="AU140" s="152"/>
      <c r="AV140" s="152"/>
      <c r="AW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  <c r="AQ142" s="152"/>
      <c r="AR142" s="152"/>
      <c r="AS142" s="152"/>
      <c r="AT142" s="152"/>
      <c r="AU142" s="152"/>
      <c r="AV142" s="152"/>
      <c r="AW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  <c r="AQ143" s="152"/>
      <c r="AR143" s="152"/>
      <c r="AS143" s="152"/>
      <c r="AT143" s="152"/>
      <c r="AU143" s="152"/>
      <c r="AV143" s="152"/>
      <c r="AW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  <c r="AH146" s="152"/>
      <c r="AI146" s="152"/>
      <c r="AJ146" s="152"/>
      <c r="AK146" s="152"/>
      <c r="AL146" s="152"/>
      <c r="AM146" s="152"/>
      <c r="AN146" s="152"/>
      <c r="AO146" s="152"/>
      <c r="AP146" s="152"/>
      <c r="AQ146" s="152"/>
      <c r="AR146" s="152"/>
      <c r="AS146" s="152"/>
      <c r="AT146" s="152"/>
      <c r="AU146" s="152"/>
      <c r="AV146" s="152"/>
      <c r="AW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  <c r="AT147" s="152"/>
      <c r="AU147" s="152"/>
      <c r="AV147" s="152"/>
      <c r="AW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  <c r="AH148" s="152"/>
      <c r="AI148" s="152"/>
      <c r="AJ148" s="152"/>
      <c r="AK148" s="152"/>
      <c r="AL148" s="152"/>
      <c r="AM148" s="152"/>
      <c r="AN148" s="152"/>
      <c r="AO148" s="152"/>
      <c r="AP148" s="152"/>
      <c r="AQ148" s="152"/>
      <c r="AR148" s="152"/>
      <c r="AS148" s="152"/>
      <c r="AT148" s="152"/>
      <c r="AU148" s="152"/>
      <c r="AV148" s="152"/>
      <c r="AW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  <c r="AH149" s="152"/>
      <c r="AI149" s="152"/>
      <c r="AJ149" s="152"/>
      <c r="AK149" s="152"/>
      <c r="AL149" s="152"/>
      <c r="AM149" s="152"/>
      <c r="AN149" s="152"/>
      <c r="AO149" s="152"/>
      <c r="AP149" s="152"/>
      <c r="AQ149" s="152"/>
      <c r="AR149" s="152"/>
      <c r="AS149" s="152"/>
      <c r="AT149" s="152"/>
      <c r="AU149" s="152"/>
      <c r="AV149" s="152"/>
      <c r="AW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  <c r="AH150" s="152"/>
      <c r="AI150" s="152"/>
      <c r="AJ150" s="152"/>
      <c r="AK150" s="152"/>
      <c r="AL150" s="152"/>
      <c r="AM150" s="152"/>
      <c r="AN150" s="152"/>
      <c r="AO150" s="152"/>
      <c r="AP150" s="152"/>
      <c r="AQ150" s="152"/>
      <c r="AR150" s="152"/>
      <c r="AS150" s="152"/>
      <c r="AT150" s="152"/>
      <c r="AU150" s="152"/>
      <c r="AV150" s="152"/>
      <c r="AW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  <c r="AH152" s="152"/>
      <c r="AI152" s="152"/>
      <c r="AJ152" s="152"/>
      <c r="AK152" s="152"/>
      <c r="AL152" s="152"/>
      <c r="AM152" s="152"/>
      <c r="AN152" s="152"/>
      <c r="AO152" s="152"/>
      <c r="AP152" s="152"/>
      <c r="AQ152" s="152"/>
      <c r="AR152" s="152"/>
      <c r="AS152" s="152"/>
      <c r="AT152" s="152"/>
      <c r="AU152" s="152"/>
      <c r="AV152" s="152"/>
      <c r="AW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  <c r="AH153" s="152"/>
      <c r="AI153" s="152"/>
      <c r="AJ153" s="152"/>
      <c r="AK153" s="152"/>
      <c r="AL153" s="152"/>
      <c r="AM153" s="152"/>
      <c r="AN153" s="152"/>
      <c r="AO153" s="152"/>
      <c r="AP153" s="152"/>
      <c r="AQ153" s="152"/>
      <c r="AR153" s="152"/>
      <c r="AS153" s="152"/>
      <c r="AT153" s="152"/>
      <c r="AU153" s="152"/>
      <c r="AV153" s="152"/>
      <c r="AW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  <c r="AH154" s="152"/>
      <c r="AI154" s="152"/>
      <c r="AJ154" s="152"/>
      <c r="AK154" s="152"/>
      <c r="AL154" s="152"/>
      <c r="AM154" s="152"/>
      <c r="AN154" s="152"/>
      <c r="AO154" s="152"/>
      <c r="AP154" s="152"/>
      <c r="AQ154" s="152"/>
      <c r="AR154" s="152"/>
      <c r="AS154" s="152"/>
      <c r="AT154" s="152"/>
      <c r="AU154" s="152"/>
      <c r="AV154" s="152"/>
      <c r="AW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  <c r="AH168" s="152"/>
      <c r="AI168" s="152"/>
      <c r="AJ168" s="152"/>
      <c r="AK168" s="152"/>
      <c r="AL168" s="152"/>
      <c r="AM168" s="152"/>
      <c r="AN168" s="152"/>
      <c r="AO168" s="152"/>
      <c r="AP168" s="152"/>
      <c r="AQ168" s="152"/>
      <c r="AR168" s="152"/>
      <c r="AS168" s="152"/>
      <c r="AT168" s="152"/>
      <c r="AU168" s="152"/>
      <c r="AV168" s="152"/>
      <c r="AW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  <c r="AH169" s="152"/>
      <c r="AI169" s="152"/>
      <c r="AJ169" s="152"/>
      <c r="AK169" s="152"/>
      <c r="AL169" s="152"/>
      <c r="AM169" s="152"/>
      <c r="AN169" s="152"/>
      <c r="AO169" s="152"/>
      <c r="AP169" s="152"/>
      <c r="AQ169" s="152"/>
      <c r="AR169" s="152"/>
      <c r="AS169" s="152"/>
      <c r="AT169" s="152"/>
      <c r="AU169" s="152"/>
      <c r="AV169" s="152"/>
      <c r="AW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  <c r="AH170" s="152"/>
      <c r="AI170" s="152"/>
      <c r="AJ170" s="152"/>
      <c r="AK170" s="152"/>
      <c r="AL170" s="152"/>
      <c r="AM170" s="152"/>
      <c r="AN170" s="152"/>
      <c r="AO170" s="152"/>
      <c r="AP170" s="152"/>
      <c r="AQ170" s="152"/>
      <c r="AR170" s="152"/>
      <c r="AS170" s="152"/>
      <c r="AT170" s="152"/>
      <c r="AU170" s="152"/>
      <c r="AV170" s="152"/>
      <c r="AW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  <c r="AH171" s="152"/>
      <c r="AI171" s="152"/>
      <c r="AJ171" s="152"/>
      <c r="AK171" s="152"/>
      <c r="AL171" s="152"/>
      <c r="AM171" s="152"/>
      <c r="AN171" s="152"/>
      <c r="AO171" s="152"/>
      <c r="AP171" s="152"/>
      <c r="AQ171" s="152"/>
      <c r="AR171" s="152"/>
      <c r="AS171" s="152"/>
      <c r="AT171" s="152"/>
      <c r="AU171" s="152"/>
      <c r="AV171" s="152"/>
      <c r="AW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  <c r="AG172" s="152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  <c r="AS172" s="152"/>
      <c r="AT172" s="152"/>
      <c r="AU172" s="152"/>
      <c r="AV172" s="152"/>
      <c r="AW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  <c r="AH173" s="152"/>
      <c r="AI173" s="152"/>
      <c r="AJ173" s="152"/>
      <c r="AK173" s="152"/>
      <c r="AL173" s="152"/>
      <c r="AM173" s="152"/>
      <c r="AN173" s="152"/>
      <c r="AO173" s="152"/>
      <c r="AP173" s="152"/>
      <c r="AQ173" s="152"/>
      <c r="AR173" s="152"/>
      <c r="AS173" s="152"/>
      <c r="AT173" s="152"/>
      <c r="AU173" s="152"/>
      <c r="AV173" s="152"/>
      <c r="AW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  <c r="AQ175" s="152"/>
      <c r="AR175" s="152"/>
      <c r="AS175" s="152"/>
      <c r="AT175" s="152"/>
      <c r="AU175" s="152"/>
      <c r="AV175" s="152"/>
      <c r="AW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  <c r="AQ176" s="152"/>
      <c r="AR176" s="152"/>
      <c r="AS176" s="152"/>
      <c r="AT176" s="152"/>
      <c r="AU176" s="152"/>
      <c r="AV176" s="152"/>
      <c r="AW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  <c r="AQ177" s="152"/>
      <c r="AR177" s="152"/>
      <c r="AS177" s="152"/>
      <c r="AT177" s="152"/>
      <c r="AU177" s="152"/>
      <c r="AV177" s="152"/>
      <c r="AW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  <c r="AQ178" s="152"/>
      <c r="AR178" s="152"/>
      <c r="AS178" s="152"/>
      <c r="AT178" s="152"/>
      <c r="AU178" s="152"/>
      <c r="AV178" s="152"/>
      <c r="AW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  <c r="AQ179" s="152"/>
      <c r="AR179" s="152"/>
      <c r="AS179" s="152"/>
      <c r="AT179" s="152"/>
      <c r="AU179" s="152"/>
      <c r="AV179" s="152"/>
      <c r="AW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  <c r="AH180" s="152"/>
      <c r="AI180" s="152"/>
      <c r="AJ180" s="152"/>
      <c r="AK180" s="152"/>
      <c r="AL180" s="152"/>
      <c r="AM180" s="152"/>
      <c r="AN180" s="152"/>
      <c r="AO180" s="152"/>
      <c r="AP180" s="152"/>
      <c r="AQ180" s="152"/>
      <c r="AR180" s="152"/>
      <c r="AS180" s="152"/>
      <c r="AT180" s="152"/>
      <c r="AU180" s="152"/>
      <c r="AV180" s="152"/>
      <c r="AW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  <c r="AH181" s="152"/>
      <c r="AI181" s="152"/>
      <c r="AJ181" s="152"/>
      <c r="AK181" s="152"/>
      <c r="AL181" s="152"/>
      <c r="AM181" s="152"/>
      <c r="AN181" s="152"/>
      <c r="AO181" s="152"/>
      <c r="AP181" s="152"/>
      <c r="AQ181" s="152"/>
      <c r="AR181" s="152"/>
      <c r="AS181" s="152"/>
      <c r="AT181" s="152"/>
      <c r="AU181" s="152"/>
      <c r="AV181" s="152"/>
      <c r="AW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152"/>
      <c r="AR183" s="152"/>
      <c r="AS183" s="152"/>
      <c r="AT183" s="152"/>
      <c r="AU183" s="152"/>
      <c r="AV183" s="152"/>
      <c r="AW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152"/>
      <c r="AR184" s="152"/>
      <c r="AS184" s="152"/>
      <c r="AT184" s="152"/>
      <c r="AU184" s="152"/>
      <c r="AV184" s="152"/>
      <c r="AW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  <c r="AT185" s="152"/>
      <c r="AU185" s="152"/>
      <c r="AV185" s="152"/>
      <c r="AW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152"/>
      <c r="AR187" s="152"/>
      <c r="AS187" s="152"/>
      <c r="AT187" s="152"/>
      <c r="AU187" s="152"/>
      <c r="AV187" s="152"/>
      <c r="AW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152"/>
      <c r="AR188" s="152"/>
      <c r="AS188" s="152"/>
      <c r="AT188" s="152"/>
      <c r="AU188" s="152"/>
      <c r="AV188" s="152"/>
      <c r="AW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52"/>
      <c r="AR189" s="152"/>
      <c r="AS189" s="152"/>
      <c r="AT189" s="152"/>
      <c r="AU189" s="152"/>
      <c r="AV189" s="152"/>
      <c r="AW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152"/>
      <c r="AW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152"/>
      <c r="AW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152"/>
      <c r="AW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152"/>
      <c r="AW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  <c r="AH194" s="152"/>
      <c r="AI194" s="152"/>
      <c r="AJ194" s="152"/>
      <c r="AK194" s="152"/>
      <c r="AL194" s="152"/>
      <c r="AM194" s="152"/>
      <c r="AN194" s="152"/>
      <c r="AO194" s="152"/>
      <c r="AP194" s="152"/>
      <c r="AQ194" s="152"/>
      <c r="AR194" s="152"/>
      <c r="AS194" s="152"/>
      <c r="AT194" s="152"/>
      <c r="AU194" s="152"/>
      <c r="AV194" s="152"/>
      <c r="AW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  <c r="AH195" s="152"/>
      <c r="AI195" s="152"/>
      <c r="AJ195" s="152"/>
      <c r="AK195" s="152"/>
      <c r="AL195" s="152"/>
      <c r="AM195" s="152"/>
      <c r="AN195" s="152"/>
      <c r="AO195" s="152"/>
      <c r="AP195" s="152"/>
      <c r="AQ195" s="152"/>
      <c r="AR195" s="152"/>
      <c r="AS195" s="152"/>
      <c r="AT195" s="152"/>
      <c r="AU195" s="152"/>
      <c r="AV195" s="152"/>
      <c r="AW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  <c r="AH196" s="152"/>
      <c r="AI196" s="152"/>
      <c r="AJ196" s="152"/>
      <c r="AK196" s="152"/>
      <c r="AL196" s="152"/>
      <c r="AM196" s="152"/>
      <c r="AN196" s="152"/>
      <c r="AO196" s="152"/>
      <c r="AP196" s="152"/>
      <c r="AQ196" s="152"/>
      <c r="AR196" s="152"/>
      <c r="AS196" s="152"/>
      <c r="AT196" s="152"/>
      <c r="AU196" s="152"/>
      <c r="AV196" s="152"/>
      <c r="AW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2"/>
      <c r="AQ197" s="152"/>
      <c r="AR197" s="152"/>
      <c r="AS197" s="152"/>
      <c r="AT197" s="152"/>
      <c r="AU197" s="152"/>
      <c r="AV197" s="152"/>
      <c r="AW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  <c r="AN198" s="152"/>
      <c r="AO198" s="152"/>
      <c r="AP198" s="152"/>
      <c r="AQ198" s="152"/>
      <c r="AR198" s="152"/>
      <c r="AS198" s="152"/>
      <c r="AT198" s="152"/>
      <c r="AU198" s="152"/>
      <c r="AV198" s="152"/>
      <c r="AW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  <c r="AH199" s="152"/>
      <c r="AI199" s="152"/>
      <c r="AJ199" s="152"/>
      <c r="AK199" s="152"/>
      <c r="AL199" s="152"/>
      <c r="AM199" s="152"/>
      <c r="AN199" s="152"/>
      <c r="AO199" s="152"/>
      <c r="AP199" s="152"/>
      <c r="AQ199" s="152"/>
      <c r="AR199" s="152"/>
      <c r="AS199" s="152"/>
      <c r="AT199" s="152"/>
      <c r="AU199" s="152"/>
      <c r="AV199" s="152"/>
      <c r="AW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  <c r="AH200" s="152"/>
      <c r="AI200" s="152"/>
      <c r="AJ200" s="152"/>
      <c r="AK200" s="152"/>
      <c r="AL200" s="152"/>
      <c r="AM200" s="152"/>
      <c r="AN200" s="152"/>
      <c r="AO200" s="152"/>
      <c r="AP200" s="152"/>
      <c r="AQ200" s="152"/>
      <c r="AR200" s="152"/>
      <c r="AS200" s="152"/>
      <c r="AT200" s="152"/>
      <c r="AU200" s="152"/>
      <c r="AV200" s="152"/>
      <c r="AW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  <c r="AH201" s="152"/>
      <c r="AI201" s="152"/>
      <c r="AJ201" s="152"/>
      <c r="AK201" s="152"/>
      <c r="AL201" s="152"/>
      <c r="AM201" s="152"/>
      <c r="AN201" s="152"/>
      <c r="AO201" s="152"/>
      <c r="AP201" s="152"/>
      <c r="AQ201" s="152"/>
      <c r="AR201" s="152"/>
      <c r="AS201" s="152"/>
      <c r="AT201" s="152"/>
      <c r="AU201" s="152"/>
      <c r="AV201" s="152"/>
      <c r="AW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152"/>
      <c r="AI202" s="152"/>
      <c r="AJ202" s="152"/>
      <c r="AK202" s="152"/>
      <c r="AL202" s="152"/>
      <c r="AM202" s="152"/>
      <c r="AN202" s="152"/>
      <c r="AO202" s="152"/>
      <c r="AP202" s="152"/>
      <c r="AQ202" s="152"/>
      <c r="AR202" s="152"/>
      <c r="AS202" s="152"/>
      <c r="AT202" s="152"/>
      <c r="AU202" s="152"/>
      <c r="AV202" s="152"/>
      <c r="AW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  <c r="AT203" s="152"/>
      <c r="AU203" s="152"/>
      <c r="AV203" s="152"/>
      <c r="AW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2"/>
      <c r="AQ204" s="152"/>
      <c r="AR204" s="152"/>
      <c r="AS204" s="152"/>
      <c r="AT204" s="152"/>
      <c r="AU204" s="152"/>
      <c r="AV204" s="152"/>
      <c r="AW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  <c r="AS205" s="152"/>
      <c r="AT205" s="152"/>
      <c r="AU205" s="152"/>
      <c r="AV205" s="152"/>
      <c r="AW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2"/>
      <c r="AI208" s="152"/>
      <c r="AJ208" s="152"/>
      <c r="AK208" s="152"/>
      <c r="AL208" s="152"/>
      <c r="AM208" s="152"/>
      <c r="AN208" s="152"/>
      <c r="AO208" s="152"/>
      <c r="AP208" s="152"/>
      <c r="AQ208" s="152"/>
      <c r="AR208" s="152"/>
      <c r="AS208" s="152"/>
      <c r="AT208" s="152"/>
      <c r="AU208" s="152"/>
      <c r="AV208" s="152"/>
      <c r="AW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  <c r="AS209" s="152"/>
      <c r="AT209" s="152"/>
      <c r="AU209" s="152"/>
      <c r="AV209" s="152"/>
      <c r="AW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152"/>
      <c r="AR215" s="152"/>
      <c r="AS215" s="152"/>
      <c r="AT215" s="152"/>
      <c r="AU215" s="152"/>
      <c r="AV215" s="152"/>
      <c r="AW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152"/>
      <c r="AR216" s="152"/>
      <c r="AS216" s="152"/>
      <c r="AT216" s="152"/>
      <c r="AU216" s="152"/>
      <c r="AV216" s="152"/>
      <c r="AW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152"/>
      <c r="AR217" s="152"/>
      <c r="AS217" s="152"/>
      <c r="AT217" s="152"/>
      <c r="AU217" s="152"/>
      <c r="AV217" s="152"/>
      <c r="AW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152"/>
      <c r="AR218" s="152"/>
      <c r="AS218" s="152"/>
      <c r="AT218" s="152"/>
      <c r="AU218" s="152"/>
      <c r="AV218" s="152"/>
      <c r="AW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152"/>
      <c r="AR219" s="152"/>
      <c r="AS219" s="152"/>
      <c r="AT219" s="152"/>
      <c r="AU219" s="152"/>
      <c r="AV219" s="152"/>
      <c r="AW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  <c r="AH220" s="152"/>
      <c r="AI220" s="152"/>
      <c r="AJ220" s="152"/>
      <c r="AK220" s="152"/>
      <c r="AL220" s="152"/>
      <c r="AM220" s="152"/>
      <c r="AN220" s="152"/>
      <c r="AO220" s="152"/>
      <c r="AP220" s="152"/>
      <c r="AQ220" s="152"/>
      <c r="AR220" s="152"/>
      <c r="AS220" s="152"/>
      <c r="AT220" s="152"/>
      <c r="AU220" s="152"/>
      <c r="AV220" s="152"/>
      <c r="AW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  <c r="AH221" s="152"/>
      <c r="AI221" s="152"/>
      <c r="AJ221" s="152"/>
      <c r="AK221" s="152"/>
      <c r="AL221" s="152"/>
      <c r="AM221" s="152"/>
      <c r="AN221" s="152"/>
      <c r="AO221" s="152"/>
      <c r="AP221" s="152"/>
      <c r="AQ221" s="152"/>
      <c r="AR221" s="152"/>
      <c r="AS221" s="152"/>
      <c r="AT221" s="152"/>
      <c r="AU221" s="152"/>
      <c r="AV221" s="152"/>
      <c r="AW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  <c r="AH223" s="152"/>
      <c r="AI223" s="152"/>
      <c r="AJ223" s="152"/>
      <c r="AK223" s="152"/>
      <c r="AL223" s="152"/>
      <c r="AM223" s="152"/>
      <c r="AN223" s="152"/>
      <c r="AO223" s="152"/>
      <c r="AP223" s="152"/>
      <c r="AQ223" s="152"/>
      <c r="AR223" s="152"/>
      <c r="AS223" s="152"/>
      <c r="AT223" s="152"/>
      <c r="AU223" s="152"/>
      <c r="AV223" s="152"/>
      <c r="AW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2"/>
      <c r="AQ224" s="152"/>
      <c r="AR224" s="152"/>
      <c r="AS224" s="152"/>
      <c r="AT224" s="152"/>
      <c r="AU224" s="152"/>
      <c r="AV224" s="152"/>
      <c r="AW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  <c r="AH225" s="152"/>
      <c r="AI225" s="152"/>
      <c r="AJ225" s="152"/>
      <c r="AK225" s="152"/>
      <c r="AL225" s="152"/>
      <c r="AM225" s="152"/>
      <c r="AN225" s="152"/>
      <c r="AO225" s="152"/>
      <c r="AP225" s="152"/>
      <c r="AQ225" s="152"/>
      <c r="AR225" s="152"/>
      <c r="AS225" s="152"/>
      <c r="AT225" s="152"/>
      <c r="AU225" s="152"/>
      <c r="AV225" s="152"/>
      <c r="AW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  <c r="AH226" s="152"/>
      <c r="AI226" s="152"/>
      <c r="AJ226" s="152"/>
      <c r="AK226" s="152"/>
      <c r="AL226" s="152"/>
      <c r="AM226" s="152"/>
      <c r="AN226" s="152"/>
      <c r="AO226" s="152"/>
      <c r="AP226" s="152"/>
      <c r="AQ226" s="152"/>
      <c r="AR226" s="152"/>
      <c r="AS226" s="152"/>
      <c r="AT226" s="152"/>
      <c r="AU226" s="152"/>
      <c r="AV226" s="152"/>
      <c r="AW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2"/>
      <c r="AQ227" s="152"/>
      <c r="AR227" s="152"/>
      <c r="AS227" s="152"/>
      <c r="AT227" s="152"/>
      <c r="AU227" s="152"/>
      <c r="AV227" s="152"/>
      <c r="AW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  <c r="AH228" s="152"/>
      <c r="AI228" s="152"/>
      <c r="AJ228" s="152"/>
      <c r="AK228" s="152"/>
      <c r="AL228" s="152"/>
      <c r="AM228" s="152"/>
      <c r="AN228" s="152"/>
      <c r="AO228" s="152"/>
      <c r="AP228" s="152"/>
      <c r="AQ228" s="152"/>
      <c r="AR228" s="152"/>
      <c r="AS228" s="152"/>
      <c r="AT228" s="152"/>
      <c r="AU228" s="152"/>
      <c r="AV228" s="152"/>
      <c r="AW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  <c r="AH229" s="152"/>
      <c r="AI229" s="152"/>
      <c r="AJ229" s="152"/>
      <c r="AK229" s="152"/>
      <c r="AL229" s="152"/>
      <c r="AM229" s="152"/>
      <c r="AN229" s="152"/>
      <c r="AO229" s="152"/>
      <c r="AP229" s="152"/>
      <c r="AQ229" s="152"/>
      <c r="AR229" s="152"/>
      <c r="AS229" s="152"/>
      <c r="AT229" s="152"/>
      <c r="AU229" s="152"/>
      <c r="AV229" s="152"/>
      <c r="AW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  <c r="AH231" s="152"/>
      <c r="AI231" s="152"/>
      <c r="AJ231" s="152"/>
      <c r="AK231" s="152"/>
      <c r="AL231" s="152"/>
      <c r="AM231" s="152"/>
      <c r="AN231" s="152"/>
      <c r="AO231" s="152"/>
      <c r="AP231" s="152"/>
      <c r="AQ231" s="152"/>
      <c r="AR231" s="152"/>
      <c r="AS231" s="152"/>
      <c r="AT231" s="152"/>
      <c r="AU231" s="152"/>
      <c r="AV231" s="152"/>
      <c r="AW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  <c r="AH232" s="152"/>
      <c r="AI232" s="152"/>
      <c r="AJ232" s="152"/>
      <c r="AK232" s="152"/>
      <c r="AL232" s="152"/>
      <c r="AM232" s="152"/>
      <c r="AN232" s="152"/>
      <c r="AO232" s="152"/>
      <c r="AP232" s="152"/>
      <c r="AQ232" s="152"/>
      <c r="AR232" s="152"/>
      <c r="AS232" s="152"/>
      <c r="AT232" s="152"/>
      <c r="AU232" s="152"/>
      <c r="AV232" s="152"/>
      <c r="AW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  <c r="AH233" s="152"/>
      <c r="AI233" s="152"/>
      <c r="AJ233" s="152"/>
      <c r="AK233" s="152"/>
      <c r="AL233" s="152"/>
      <c r="AM233" s="152"/>
      <c r="AN233" s="152"/>
      <c r="AO233" s="152"/>
      <c r="AP233" s="152"/>
      <c r="AQ233" s="152"/>
      <c r="AR233" s="152"/>
      <c r="AS233" s="152"/>
      <c r="AT233" s="152"/>
      <c r="AU233" s="152"/>
      <c r="AV233" s="152"/>
      <c r="AW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2"/>
      <c r="AQ234" s="152"/>
      <c r="AR234" s="152"/>
      <c r="AS234" s="152"/>
      <c r="AT234" s="152"/>
      <c r="AU234" s="152"/>
      <c r="AV234" s="152"/>
      <c r="AW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2"/>
      <c r="AK235" s="152"/>
      <c r="AL235" s="152"/>
      <c r="AM235" s="152"/>
      <c r="AN235" s="152"/>
      <c r="AO235" s="152"/>
      <c r="AP235" s="152"/>
      <c r="AQ235" s="152"/>
      <c r="AR235" s="152"/>
      <c r="AS235" s="152"/>
      <c r="AT235" s="152"/>
      <c r="AU235" s="152"/>
      <c r="AV235" s="152"/>
      <c r="AW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2"/>
      <c r="AK236" s="152"/>
      <c r="AL236" s="152"/>
      <c r="AM236" s="152"/>
      <c r="AN236" s="152"/>
      <c r="AO236" s="152"/>
      <c r="AP236" s="152"/>
      <c r="AQ236" s="152"/>
      <c r="AR236" s="152"/>
      <c r="AS236" s="152"/>
      <c r="AT236" s="152"/>
      <c r="AU236" s="152"/>
      <c r="AV236" s="152"/>
      <c r="AW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2"/>
      <c r="AQ237" s="152"/>
      <c r="AR237" s="152"/>
      <c r="AS237" s="152"/>
      <c r="AT237" s="152"/>
      <c r="AU237" s="152"/>
      <c r="AV237" s="152"/>
      <c r="AW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2"/>
      <c r="AK238" s="152"/>
      <c r="AL238" s="152"/>
      <c r="AM238" s="152"/>
      <c r="AN238" s="152"/>
      <c r="AO238" s="152"/>
      <c r="AP238" s="152"/>
      <c r="AQ238" s="152"/>
      <c r="AR238" s="152"/>
      <c r="AS238" s="152"/>
      <c r="AT238" s="152"/>
      <c r="AU238" s="152"/>
      <c r="AV238" s="152"/>
      <c r="AW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152"/>
      <c r="AN239" s="152"/>
      <c r="AO239" s="152"/>
      <c r="AP239" s="152"/>
      <c r="AQ239" s="152"/>
      <c r="AR239" s="152"/>
      <c r="AS239" s="152"/>
      <c r="AT239" s="152"/>
      <c r="AU239" s="152"/>
      <c r="AV239" s="152"/>
      <c r="AW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152"/>
      <c r="AN240" s="152"/>
      <c r="AO240" s="152"/>
      <c r="AP240" s="152"/>
      <c r="AQ240" s="152"/>
      <c r="AR240" s="152"/>
      <c r="AS240" s="152"/>
      <c r="AT240" s="152"/>
      <c r="AU240" s="152"/>
      <c r="AV240" s="152"/>
      <c r="AW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  <c r="AS241" s="152"/>
      <c r="AT241" s="152"/>
      <c r="AU241" s="152"/>
      <c r="AV241" s="152"/>
      <c r="AW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152"/>
      <c r="AN242" s="152"/>
      <c r="AO242" s="152"/>
      <c r="AP242" s="152"/>
      <c r="AQ242" s="152"/>
      <c r="AR242" s="152"/>
      <c r="AS242" s="152"/>
      <c r="AT242" s="152"/>
      <c r="AU242" s="152"/>
      <c r="AV242" s="152"/>
      <c r="AW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152"/>
      <c r="AN243" s="152"/>
      <c r="AO243" s="152"/>
      <c r="AP243" s="152"/>
      <c r="AQ243" s="152"/>
      <c r="AR243" s="152"/>
      <c r="AS243" s="152"/>
      <c r="AT243" s="152"/>
      <c r="AU243" s="152"/>
      <c r="AV243" s="152"/>
      <c r="AW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2"/>
      <c r="AQ244" s="152"/>
      <c r="AR244" s="152"/>
      <c r="AS244" s="152"/>
      <c r="AT244" s="152"/>
      <c r="AU244" s="152"/>
      <c r="AV244" s="152"/>
      <c r="AW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2"/>
      <c r="AQ245" s="152"/>
      <c r="AR245" s="152"/>
      <c r="AS245" s="152"/>
      <c r="AT245" s="152"/>
      <c r="AU245" s="152"/>
      <c r="AV245" s="152"/>
      <c r="AW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  <c r="AQ246" s="152"/>
      <c r="AR246" s="152"/>
      <c r="AS246" s="152"/>
      <c r="AT246" s="152"/>
      <c r="AU246" s="152"/>
      <c r="AV246" s="152"/>
      <c r="AW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  <c r="AQ247" s="152"/>
      <c r="AR247" s="152"/>
      <c r="AS247" s="152"/>
      <c r="AT247" s="152"/>
      <c r="AU247" s="152"/>
      <c r="AV247" s="152"/>
      <c r="AW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  <c r="AQ248" s="152"/>
      <c r="AR248" s="152"/>
      <c r="AS248" s="152"/>
      <c r="AT248" s="152"/>
      <c r="AU248" s="152"/>
      <c r="AV248" s="152"/>
      <c r="AW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  <c r="AQ249" s="152"/>
      <c r="AR249" s="152"/>
      <c r="AS249" s="152"/>
      <c r="AT249" s="152"/>
      <c r="AU249" s="152"/>
      <c r="AV249" s="152"/>
      <c r="AW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  <c r="AQ250" s="152"/>
      <c r="AR250" s="152"/>
      <c r="AS250" s="152"/>
      <c r="AT250" s="152"/>
      <c r="AU250" s="152"/>
      <c r="AV250" s="152"/>
      <c r="AW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  <c r="AQ251" s="152"/>
      <c r="AR251" s="152"/>
      <c r="AS251" s="152"/>
      <c r="AT251" s="152"/>
      <c r="AU251" s="152"/>
      <c r="AV251" s="152"/>
      <c r="AW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152"/>
      <c r="AR252" s="152"/>
      <c r="AS252" s="152"/>
      <c r="AT252" s="152"/>
      <c r="AU252" s="152"/>
      <c r="AV252" s="152"/>
      <c r="AW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152"/>
      <c r="AR253" s="152"/>
      <c r="AS253" s="152"/>
      <c r="AT253" s="152"/>
      <c r="AU253" s="152"/>
      <c r="AV253" s="152"/>
      <c r="AW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152"/>
      <c r="AR254" s="152"/>
      <c r="AS254" s="152"/>
      <c r="AT254" s="152"/>
      <c r="AU254" s="152"/>
      <c r="AV254" s="152"/>
      <c r="AW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152"/>
      <c r="AR255" s="152"/>
      <c r="AS255" s="152"/>
      <c r="AT255" s="152"/>
      <c r="AU255" s="152"/>
      <c r="AV255" s="152"/>
      <c r="AW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152"/>
      <c r="AT256" s="152"/>
      <c r="AU256" s="152"/>
      <c r="AV256" s="152"/>
      <c r="AW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152"/>
      <c r="AR257" s="152"/>
      <c r="AS257" s="152"/>
      <c r="AT257" s="152"/>
      <c r="AU257" s="152"/>
      <c r="AV257" s="152"/>
      <c r="AW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152"/>
      <c r="AR258" s="152"/>
      <c r="AS258" s="152"/>
      <c r="AT258" s="152"/>
      <c r="AU258" s="152"/>
      <c r="AV258" s="152"/>
      <c r="AW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152"/>
      <c r="AR259" s="152"/>
      <c r="AS259" s="152"/>
      <c r="AT259" s="152"/>
      <c r="AU259" s="152"/>
      <c r="AV259" s="152"/>
      <c r="AW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  <c r="AH260" s="152"/>
      <c r="AI260" s="152"/>
      <c r="AJ260" s="152"/>
      <c r="AK260" s="152"/>
      <c r="AL260" s="152"/>
      <c r="AM260" s="152"/>
      <c r="AN260" s="152"/>
      <c r="AO260" s="152"/>
      <c r="AP260" s="152"/>
      <c r="AQ260" s="152"/>
      <c r="AR260" s="152"/>
      <c r="AS260" s="152"/>
      <c r="AT260" s="152"/>
      <c r="AU260" s="152"/>
      <c r="AV260" s="152"/>
      <c r="AW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  <c r="AH262" s="152"/>
      <c r="AI262" s="152"/>
      <c r="AJ262" s="152"/>
      <c r="AK262" s="152"/>
      <c r="AL262" s="152"/>
      <c r="AM262" s="152"/>
      <c r="AN262" s="152"/>
      <c r="AO262" s="152"/>
      <c r="AP262" s="152"/>
      <c r="AQ262" s="152"/>
      <c r="AR262" s="152"/>
      <c r="AS262" s="152"/>
      <c r="AT262" s="152"/>
      <c r="AU262" s="152"/>
      <c r="AV262" s="152"/>
      <c r="AW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  <c r="AH263" s="152"/>
      <c r="AI263" s="152"/>
      <c r="AJ263" s="152"/>
      <c r="AK263" s="152"/>
      <c r="AL263" s="152"/>
      <c r="AM263" s="152"/>
      <c r="AN263" s="152"/>
      <c r="AO263" s="152"/>
      <c r="AP263" s="152"/>
      <c r="AQ263" s="152"/>
      <c r="AR263" s="152"/>
      <c r="AS263" s="152"/>
      <c r="AT263" s="152"/>
      <c r="AU263" s="152"/>
      <c r="AV263" s="152"/>
      <c r="AW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152"/>
      <c r="AM265" s="152"/>
      <c r="AN265" s="152"/>
      <c r="AO265" s="152"/>
      <c r="AP265" s="152"/>
      <c r="AQ265" s="152"/>
      <c r="AR265" s="152"/>
      <c r="AS265" s="152"/>
      <c r="AT265" s="152"/>
      <c r="AU265" s="152"/>
      <c r="AV265" s="152"/>
      <c r="AW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152"/>
      <c r="AM266" s="152"/>
      <c r="AN266" s="152"/>
      <c r="AO266" s="152"/>
      <c r="AP266" s="152"/>
      <c r="AQ266" s="152"/>
      <c r="AR266" s="152"/>
      <c r="AS266" s="152"/>
      <c r="AT266" s="152"/>
      <c r="AU266" s="152"/>
      <c r="AV266" s="152"/>
      <c r="AW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152"/>
      <c r="AM267" s="152"/>
      <c r="AN267" s="152"/>
      <c r="AO267" s="152"/>
      <c r="AP267" s="152"/>
      <c r="AQ267" s="152"/>
      <c r="AR267" s="152"/>
      <c r="AS267" s="152"/>
      <c r="AT267" s="152"/>
      <c r="AU267" s="152"/>
      <c r="AV267" s="152"/>
      <c r="AW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152"/>
      <c r="AM268" s="152"/>
      <c r="AN268" s="152"/>
      <c r="AO268" s="152"/>
      <c r="AP268" s="152"/>
      <c r="AQ268" s="152"/>
      <c r="AR268" s="152"/>
      <c r="AS268" s="152"/>
      <c r="AT268" s="152"/>
      <c r="AU268" s="152"/>
      <c r="AV268" s="152"/>
      <c r="AW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  <c r="AL269" s="152"/>
      <c r="AM269" s="152"/>
      <c r="AN269" s="152"/>
      <c r="AO269" s="152"/>
      <c r="AP269" s="152"/>
      <c r="AQ269" s="152"/>
      <c r="AR269" s="152"/>
      <c r="AS269" s="152"/>
      <c r="AT269" s="152"/>
      <c r="AU269" s="152"/>
      <c r="AV269" s="152"/>
      <c r="AW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  <c r="AL270" s="152"/>
      <c r="AM270" s="152"/>
      <c r="AN270" s="152"/>
      <c r="AO270" s="152"/>
      <c r="AP270" s="152"/>
      <c r="AQ270" s="152"/>
      <c r="AR270" s="152"/>
      <c r="AS270" s="152"/>
      <c r="AT270" s="152"/>
      <c r="AU270" s="152"/>
      <c r="AV270" s="152"/>
      <c r="AW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  <c r="AL271" s="152"/>
      <c r="AM271" s="152"/>
      <c r="AN271" s="152"/>
      <c r="AO271" s="152"/>
      <c r="AP271" s="152"/>
      <c r="AQ271" s="152"/>
      <c r="AR271" s="152"/>
      <c r="AS271" s="152"/>
      <c r="AT271" s="152"/>
      <c r="AU271" s="152"/>
      <c r="AV271" s="152"/>
      <c r="AW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152"/>
      <c r="AM273" s="152"/>
      <c r="AN273" s="152"/>
      <c r="AO273" s="152"/>
      <c r="AP273" s="152"/>
      <c r="AQ273" s="152"/>
      <c r="AR273" s="152"/>
      <c r="AS273" s="152"/>
      <c r="AT273" s="152"/>
      <c r="AU273" s="152"/>
      <c r="AV273" s="152"/>
      <c r="AW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152"/>
      <c r="AM274" s="152"/>
      <c r="AN274" s="152"/>
      <c r="AO274" s="152"/>
      <c r="AP274" s="152"/>
      <c r="AQ274" s="152"/>
      <c r="AR274" s="152"/>
      <c r="AS274" s="152"/>
      <c r="AT274" s="152"/>
      <c r="AU274" s="152"/>
      <c r="AV274" s="152"/>
      <c r="AW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  <c r="AH275" s="152"/>
      <c r="AI275" s="152"/>
      <c r="AJ275" s="152"/>
      <c r="AK275" s="152"/>
      <c r="AL275" s="152"/>
      <c r="AM275" s="152"/>
      <c r="AN275" s="152"/>
      <c r="AO275" s="152"/>
      <c r="AP275" s="152"/>
      <c r="AQ275" s="152"/>
      <c r="AR275" s="152"/>
      <c r="AS275" s="152"/>
      <c r="AT275" s="152"/>
      <c r="AU275" s="152"/>
      <c r="AV275" s="152"/>
      <c r="AW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  <c r="AH276" s="152"/>
      <c r="AI276" s="152"/>
      <c r="AJ276" s="152"/>
      <c r="AK276" s="152"/>
      <c r="AL276" s="152"/>
      <c r="AM276" s="152"/>
      <c r="AN276" s="152"/>
      <c r="AO276" s="152"/>
      <c r="AP276" s="152"/>
      <c r="AQ276" s="152"/>
      <c r="AR276" s="152"/>
      <c r="AS276" s="152"/>
      <c r="AT276" s="152"/>
      <c r="AU276" s="152"/>
      <c r="AV276" s="152"/>
      <c r="AW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  <c r="AH277" s="152"/>
      <c r="AI277" s="152"/>
      <c r="AJ277" s="152"/>
      <c r="AK277" s="152"/>
      <c r="AL277" s="152"/>
      <c r="AM277" s="152"/>
      <c r="AN277" s="152"/>
      <c r="AO277" s="152"/>
      <c r="AP277" s="152"/>
      <c r="AQ277" s="152"/>
      <c r="AR277" s="152"/>
      <c r="AS277" s="152"/>
      <c r="AT277" s="152"/>
      <c r="AU277" s="152"/>
      <c r="AV277" s="152"/>
      <c r="AW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  <c r="AH278" s="152"/>
      <c r="AI278" s="152"/>
      <c r="AJ278" s="152"/>
      <c r="AK278" s="152"/>
      <c r="AL278" s="152"/>
      <c r="AM278" s="152"/>
      <c r="AN278" s="152"/>
      <c r="AO278" s="152"/>
      <c r="AP278" s="152"/>
      <c r="AQ278" s="152"/>
      <c r="AR278" s="152"/>
      <c r="AS278" s="152"/>
      <c r="AT278" s="152"/>
      <c r="AU278" s="152"/>
      <c r="AV278" s="152"/>
      <c r="AW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  <c r="AH279" s="152"/>
      <c r="AI279" s="152"/>
      <c r="AJ279" s="152"/>
      <c r="AK279" s="152"/>
      <c r="AL279" s="152"/>
      <c r="AM279" s="152"/>
      <c r="AN279" s="152"/>
      <c r="AO279" s="152"/>
      <c r="AP279" s="152"/>
      <c r="AQ279" s="152"/>
      <c r="AR279" s="152"/>
      <c r="AS279" s="152"/>
      <c r="AT279" s="152"/>
      <c r="AU279" s="152"/>
      <c r="AV279" s="152"/>
      <c r="AW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152"/>
      <c r="AP280" s="152"/>
      <c r="AQ280" s="152"/>
      <c r="AR280" s="152"/>
      <c r="AS280" s="152"/>
      <c r="AT280" s="152"/>
      <c r="AU280" s="152"/>
      <c r="AV280" s="152"/>
      <c r="AW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152"/>
      <c r="AP281" s="152"/>
      <c r="AQ281" s="152"/>
      <c r="AR281" s="152"/>
      <c r="AS281" s="152"/>
      <c r="AT281" s="152"/>
      <c r="AU281" s="152"/>
      <c r="AV281" s="152"/>
      <c r="AW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  <c r="AQ282" s="152"/>
      <c r="AR282" s="152"/>
      <c r="AS282" s="152"/>
      <c r="AT282" s="152"/>
      <c r="AU282" s="152"/>
      <c r="AV282" s="152"/>
      <c r="AW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  <c r="AQ283" s="152"/>
      <c r="AR283" s="152"/>
      <c r="AS283" s="152"/>
      <c r="AT283" s="152"/>
      <c r="AU283" s="152"/>
      <c r="AV283" s="152"/>
      <c r="AW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  <c r="AQ284" s="152"/>
      <c r="AR284" s="152"/>
      <c r="AS284" s="152"/>
      <c r="AT284" s="152"/>
      <c r="AU284" s="152"/>
      <c r="AV284" s="152"/>
      <c r="AW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  <c r="AQ285" s="152"/>
      <c r="AR285" s="152"/>
      <c r="AS285" s="152"/>
      <c r="AT285" s="152"/>
      <c r="AU285" s="152"/>
      <c r="AV285" s="152"/>
      <c r="AW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  <c r="AQ286" s="152"/>
      <c r="AR286" s="152"/>
      <c r="AS286" s="152"/>
      <c r="AT286" s="152"/>
      <c r="AU286" s="152"/>
      <c r="AV286" s="152"/>
      <c r="AW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  <c r="AS287" s="152"/>
      <c r="AT287" s="152"/>
      <c r="AU287" s="152"/>
      <c r="AV287" s="152"/>
      <c r="AW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  <c r="AG288" s="152"/>
      <c r="AH288" s="152"/>
      <c r="AI288" s="152"/>
      <c r="AJ288" s="152"/>
      <c r="AK288" s="152"/>
      <c r="AL288" s="152"/>
      <c r="AM288" s="152"/>
      <c r="AN288" s="152"/>
      <c r="AO288" s="152"/>
      <c r="AP288" s="152"/>
      <c r="AQ288" s="152"/>
      <c r="AR288" s="152"/>
      <c r="AS288" s="152"/>
      <c r="AT288" s="152"/>
      <c r="AU288" s="152"/>
      <c r="AV288" s="152"/>
      <c r="AW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  <c r="AH289" s="152"/>
      <c r="AI289" s="152"/>
      <c r="AJ289" s="152"/>
      <c r="AK289" s="152"/>
      <c r="AL289" s="152"/>
      <c r="AM289" s="152"/>
      <c r="AN289" s="152"/>
      <c r="AO289" s="152"/>
      <c r="AP289" s="152"/>
      <c r="AQ289" s="152"/>
      <c r="AR289" s="152"/>
      <c r="AS289" s="152"/>
      <c r="AT289" s="152"/>
      <c r="AU289" s="152"/>
      <c r="AV289" s="152"/>
      <c r="AW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  <c r="AG290" s="152"/>
      <c r="AH290" s="152"/>
      <c r="AI290" s="152"/>
      <c r="AJ290" s="152"/>
      <c r="AK290" s="152"/>
      <c r="AL290" s="152"/>
      <c r="AM290" s="152"/>
      <c r="AN290" s="152"/>
      <c r="AO290" s="152"/>
      <c r="AP290" s="152"/>
      <c r="AQ290" s="152"/>
      <c r="AR290" s="152"/>
      <c r="AS290" s="152"/>
      <c r="AT290" s="152"/>
      <c r="AU290" s="152"/>
      <c r="AV290" s="152"/>
      <c r="AW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  <c r="AH291" s="152"/>
      <c r="AI291" s="152"/>
      <c r="AJ291" s="152"/>
      <c r="AK291" s="152"/>
      <c r="AL291" s="152"/>
      <c r="AM291" s="152"/>
      <c r="AN291" s="152"/>
      <c r="AO291" s="152"/>
      <c r="AP291" s="152"/>
      <c r="AQ291" s="152"/>
      <c r="AR291" s="152"/>
      <c r="AS291" s="152"/>
      <c r="AT291" s="152"/>
      <c r="AU291" s="152"/>
      <c r="AV291" s="152"/>
      <c r="AW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  <c r="AH292" s="152"/>
      <c r="AI292" s="152"/>
      <c r="AJ292" s="152"/>
      <c r="AK292" s="152"/>
      <c r="AL292" s="152"/>
      <c r="AM292" s="152"/>
      <c r="AN292" s="152"/>
      <c r="AO292" s="152"/>
      <c r="AP292" s="152"/>
      <c r="AQ292" s="152"/>
      <c r="AR292" s="152"/>
      <c r="AS292" s="152"/>
      <c r="AT292" s="152"/>
      <c r="AU292" s="152"/>
      <c r="AV292" s="152"/>
      <c r="AW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  <c r="AH293" s="152"/>
      <c r="AI293" s="152"/>
      <c r="AJ293" s="152"/>
      <c r="AK293" s="152"/>
      <c r="AL293" s="152"/>
      <c r="AM293" s="152"/>
      <c r="AN293" s="152"/>
      <c r="AO293" s="152"/>
      <c r="AP293" s="152"/>
      <c r="AQ293" s="152"/>
      <c r="AR293" s="152"/>
      <c r="AS293" s="152"/>
      <c r="AT293" s="152"/>
      <c r="AU293" s="152"/>
      <c r="AV293" s="152"/>
      <c r="AW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  <c r="AH294" s="152"/>
      <c r="AI294" s="152"/>
      <c r="AJ294" s="152"/>
      <c r="AK294" s="152"/>
      <c r="AL294" s="152"/>
      <c r="AM294" s="152"/>
      <c r="AN294" s="152"/>
      <c r="AO294" s="152"/>
      <c r="AP294" s="152"/>
      <c r="AQ294" s="152"/>
      <c r="AR294" s="152"/>
      <c r="AS294" s="152"/>
      <c r="AT294" s="152"/>
      <c r="AU294" s="152"/>
      <c r="AV294" s="152"/>
      <c r="AW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152"/>
      <c r="AT295" s="152"/>
      <c r="AU295" s="152"/>
      <c r="AV295" s="152"/>
      <c r="AW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  <c r="AH296" s="152"/>
      <c r="AI296" s="152"/>
      <c r="AJ296" s="152"/>
      <c r="AK296" s="152"/>
      <c r="AL296" s="152"/>
      <c r="AM296" s="152"/>
      <c r="AN296" s="152"/>
      <c r="AO296" s="152"/>
      <c r="AP296" s="152"/>
      <c r="AQ296" s="152"/>
      <c r="AR296" s="152"/>
      <c r="AS296" s="152"/>
      <c r="AT296" s="152"/>
      <c r="AU296" s="152"/>
      <c r="AV296" s="152"/>
      <c r="AW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  <c r="AH297" s="152"/>
      <c r="AI297" s="152"/>
      <c r="AJ297" s="152"/>
      <c r="AK297" s="152"/>
      <c r="AL297" s="152"/>
      <c r="AM297" s="152"/>
      <c r="AN297" s="152"/>
      <c r="AO297" s="152"/>
      <c r="AP297" s="152"/>
      <c r="AQ297" s="152"/>
      <c r="AR297" s="152"/>
      <c r="AS297" s="152"/>
      <c r="AT297" s="152"/>
      <c r="AU297" s="152"/>
      <c r="AV297" s="152"/>
      <c r="AW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  <c r="AH298" s="152"/>
      <c r="AI298" s="152"/>
      <c r="AJ298" s="152"/>
      <c r="AK298" s="152"/>
      <c r="AL298" s="152"/>
      <c r="AM298" s="152"/>
      <c r="AN298" s="152"/>
      <c r="AO298" s="152"/>
      <c r="AP298" s="152"/>
      <c r="AQ298" s="152"/>
      <c r="AR298" s="152"/>
      <c r="AS298" s="152"/>
      <c r="AT298" s="152"/>
      <c r="AU298" s="152"/>
      <c r="AV298" s="152"/>
      <c r="AW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  <c r="AH299" s="152"/>
      <c r="AI299" s="152"/>
      <c r="AJ299" s="152"/>
      <c r="AK299" s="152"/>
      <c r="AL299" s="152"/>
      <c r="AM299" s="152"/>
      <c r="AN299" s="152"/>
      <c r="AO299" s="152"/>
      <c r="AP299" s="152"/>
      <c r="AQ299" s="152"/>
      <c r="AR299" s="152"/>
      <c r="AS299" s="152"/>
      <c r="AT299" s="152"/>
      <c r="AU299" s="152"/>
      <c r="AV299" s="152"/>
      <c r="AW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  <c r="AH300" s="152"/>
      <c r="AI300" s="152"/>
      <c r="AJ300" s="152"/>
      <c r="AK300" s="152"/>
      <c r="AL300" s="152"/>
      <c r="AM300" s="152"/>
      <c r="AN300" s="152"/>
      <c r="AO300" s="152"/>
      <c r="AP300" s="152"/>
      <c r="AQ300" s="152"/>
      <c r="AR300" s="152"/>
      <c r="AS300" s="152"/>
      <c r="AT300" s="152"/>
      <c r="AU300" s="152"/>
      <c r="AV300" s="152"/>
      <c r="AW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  <c r="AH301" s="152"/>
      <c r="AI301" s="152"/>
      <c r="AJ301" s="152"/>
      <c r="AK301" s="152"/>
      <c r="AL301" s="152"/>
      <c r="AM301" s="152"/>
      <c r="AN301" s="152"/>
      <c r="AO301" s="152"/>
      <c r="AP301" s="152"/>
      <c r="AQ301" s="152"/>
      <c r="AR301" s="152"/>
      <c r="AS301" s="152"/>
      <c r="AT301" s="152"/>
      <c r="AU301" s="152"/>
      <c r="AV301" s="152"/>
      <c r="AW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  <c r="AH302" s="152"/>
      <c r="AI302" s="152"/>
      <c r="AJ302" s="152"/>
      <c r="AK302" s="152"/>
      <c r="AL302" s="152"/>
      <c r="AM302" s="152"/>
      <c r="AN302" s="152"/>
      <c r="AO302" s="152"/>
      <c r="AP302" s="152"/>
      <c r="AQ302" s="152"/>
      <c r="AR302" s="152"/>
      <c r="AS302" s="152"/>
      <c r="AT302" s="152"/>
      <c r="AU302" s="152"/>
      <c r="AV302" s="152"/>
      <c r="AW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  <c r="AH303" s="152"/>
      <c r="AI303" s="152"/>
      <c r="AJ303" s="152"/>
      <c r="AK303" s="152"/>
      <c r="AL303" s="152"/>
      <c r="AM303" s="152"/>
      <c r="AN303" s="152"/>
      <c r="AO303" s="152"/>
      <c r="AP303" s="152"/>
      <c r="AQ303" s="152"/>
      <c r="AR303" s="152"/>
      <c r="AS303" s="152"/>
      <c r="AT303" s="152"/>
      <c r="AU303" s="152"/>
      <c r="AV303" s="152"/>
      <c r="AW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  <c r="AH304" s="152"/>
      <c r="AI304" s="152"/>
      <c r="AJ304" s="152"/>
      <c r="AK304" s="152"/>
      <c r="AL304" s="152"/>
      <c r="AM304" s="152"/>
      <c r="AN304" s="152"/>
      <c r="AO304" s="152"/>
      <c r="AP304" s="152"/>
      <c r="AQ304" s="152"/>
      <c r="AR304" s="152"/>
      <c r="AS304" s="152"/>
      <c r="AT304" s="152"/>
      <c r="AU304" s="152"/>
      <c r="AV304" s="152"/>
      <c r="AW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  <c r="AG305" s="152"/>
      <c r="AH305" s="152"/>
      <c r="AI305" s="152"/>
      <c r="AJ305" s="152"/>
      <c r="AK305" s="152"/>
      <c r="AL305" s="152"/>
      <c r="AM305" s="152"/>
      <c r="AN305" s="152"/>
      <c r="AO305" s="152"/>
      <c r="AP305" s="152"/>
      <c r="AQ305" s="152"/>
      <c r="AR305" s="152"/>
      <c r="AS305" s="152"/>
      <c r="AT305" s="152"/>
      <c r="AU305" s="152"/>
      <c r="AV305" s="152"/>
      <c r="AW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  <c r="AG306" s="152"/>
      <c r="AH306" s="152"/>
      <c r="AI306" s="152"/>
      <c r="AJ306" s="152"/>
      <c r="AK306" s="152"/>
      <c r="AL306" s="152"/>
      <c r="AM306" s="152"/>
      <c r="AN306" s="152"/>
      <c r="AO306" s="152"/>
      <c r="AP306" s="152"/>
      <c r="AQ306" s="152"/>
      <c r="AR306" s="152"/>
      <c r="AS306" s="152"/>
      <c r="AT306" s="152"/>
      <c r="AU306" s="152"/>
      <c r="AV306" s="152"/>
      <c r="AW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  <c r="AG307" s="152"/>
      <c r="AH307" s="152"/>
      <c r="AI307" s="152"/>
      <c r="AJ307" s="152"/>
      <c r="AK307" s="152"/>
      <c r="AL307" s="152"/>
      <c r="AM307" s="152"/>
      <c r="AN307" s="152"/>
      <c r="AO307" s="152"/>
      <c r="AP307" s="152"/>
      <c r="AQ307" s="152"/>
      <c r="AR307" s="152"/>
      <c r="AS307" s="152"/>
      <c r="AT307" s="152"/>
      <c r="AU307" s="152"/>
      <c r="AV307" s="152"/>
      <c r="AW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  <c r="AG308" s="152"/>
      <c r="AH308" s="152"/>
      <c r="AI308" s="152"/>
      <c r="AJ308" s="152"/>
      <c r="AK308" s="152"/>
      <c r="AL308" s="152"/>
      <c r="AM308" s="152"/>
      <c r="AN308" s="152"/>
      <c r="AO308" s="152"/>
      <c r="AP308" s="152"/>
      <c r="AQ308" s="152"/>
      <c r="AR308" s="152"/>
      <c r="AS308" s="152"/>
      <c r="AT308" s="152"/>
      <c r="AU308" s="152"/>
      <c r="AV308" s="152"/>
      <c r="AW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  <c r="AG309" s="152"/>
      <c r="AH309" s="152"/>
      <c r="AI309" s="152"/>
      <c r="AJ309" s="152"/>
      <c r="AK309" s="152"/>
      <c r="AL309" s="152"/>
      <c r="AM309" s="152"/>
      <c r="AN309" s="152"/>
      <c r="AO309" s="152"/>
      <c r="AP309" s="152"/>
      <c r="AQ309" s="152"/>
      <c r="AR309" s="152"/>
      <c r="AS309" s="152"/>
      <c r="AT309" s="152"/>
      <c r="AU309" s="152"/>
      <c r="AV309" s="152"/>
      <c r="AW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  <c r="AG310" s="152"/>
      <c r="AH310" s="152"/>
      <c r="AI310" s="152"/>
      <c r="AJ310" s="152"/>
      <c r="AK310" s="152"/>
      <c r="AL310" s="152"/>
      <c r="AM310" s="152"/>
      <c r="AN310" s="152"/>
      <c r="AO310" s="152"/>
      <c r="AP310" s="152"/>
      <c r="AQ310" s="152"/>
      <c r="AR310" s="152"/>
      <c r="AS310" s="152"/>
      <c r="AT310" s="152"/>
      <c r="AU310" s="152"/>
      <c r="AV310" s="152"/>
      <c r="AW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  <c r="AG311" s="152"/>
      <c r="AH311" s="152"/>
      <c r="AI311" s="152"/>
      <c r="AJ311" s="152"/>
      <c r="AK311" s="152"/>
      <c r="AL311" s="152"/>
      <c r="AM311" s="152"/>
      <c r="AN311" s="152"/>
      <c r="AO311" s="152"/>
      <c r="AP311" s="152"/>
      <c r="AQ311" s="152"/>
      <c r="AR311" s="152"/>
      <c r="AS311" s="152"/>
      <c r="AT311" s="152"/>
      <c r="AU311" s="152"/>
      <c r="AV311" s="152"/>
      <c r="AW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  <c r="AH312" s="152"/>
      <c r="AI312" s="152"/>
      <c r="AJ312" s="152"/>
      <c r="AK312" s="152"/>
      <c r="AL312" s="152"/>
      <c r="AM312" s="152"/>
      <c r="AN312" s="152"/>
      <c r="AO312" s="152"/>
      <c r="AP312" s="152"/>
      <c r="AQ312" s="152"/>
      <c r="AR312" s="152"/>
      <c r="AS312" s="152"/>
      <c r="AT312" s="152"/>
      <c r="AU312" s="152"/>
      <c r="AV312" s="152"/>
      <c r="AW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  <c r="AH313" s="152"/>
      <c r="AI313" s="152"/>
      <c r="AJ313" s="152"/>
      <c r="AK313" s="152"/>
      <c r="AL313" s="152"/>
      <c r="AM313" s="152"/>
      <c r="AN313" s="152"/>
      <c r="AO313" s="152"/>
      <c r="AP313" s="152"/>
      <c r="AQ313" s="152"/>
      <c r="AR313" s="152"/>
      <c r="AS313" s="152"/>
      <c r="AT313" s="152"/>
      <c r="AU313" s="152"/>
      <c r="AV313" s="152"/>
      <c r="AW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  <c r="AH314" s="152"/>
      <c r="AI314" s="152"/>
      <c r="AJ314" s="152"/>
      <c r="AK314" s="152"/>
      <c r="AL314" s="152"/>
      <c r="AM314" s="152"/>
      <c r="AN314" s="152"/>
      <c r="AO314" s="152"/>
      <c r="AP314" s="152"/>
      <c r="AQ314" s="152"/>
      <c r="AR314" s="152"/>
      <c r="AS314" s="152"/>
      <c r="AT314" s="152"/>
      <c r="AU314" s="152"/>
      <c r="AV314" s="152"/>
      <c r="AW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  <c r="AH315" s="152"/>
      <c r="AI315" s="152"/>
      <c r="AJ315" s="152"/>
      <c r="AK315" s="152"/>
      <c r="AL315" s="152"/>
      <c r="AM315" s="152"/>
      <c r="AN315" s="152"/>
      <c r="AO315" s="152"/>
      <c r="AP315" s="152"/>
      <c r="AQ315" s="152"/>
      <c r="AR315" s="152"/>
      <c r="AS315" s="152"/>
      <c r="AT315" s="152"/>
      <c r="AU315" s="152"/>
      <c r="AV315" s="152"/>
      <c r="AW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  <c r="AH316" s="152"/>
      <c r="AI316" s="152"/>
      <c r="AJ316" s="152"/>
      <c r="AK316" s="152"/>
      <c r="AL316" s="152"/>
      <c r="AM316" s="152"/>
      <c r="AN316" s="152"/>
      <c r="AO316" s="152"/>
      <c r="AP316" s="152"/>
      <c r="AQ316" s="152"/>
      <c r="AR316" s="152"/>
      <c r="AS316" s="152"/>
      <c r="AT316" s="152"/>
      <c r="AU316" s="152"/>
      <c r="AV316" s="152"/>
      <c r="AW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  <c r="AH317" s="152"/>
      <c r="AI317" s="152"/>
      <c r="AJ317" s="152"/>
      <c r="AK317" s="152"/>
      <c r="AL317" s="152"/>
      <c r="AM317" s="152"/>
      <c r="AN317" s="152"/>
      <c r="AO317" s="152"/>
      <c r="AP317" s="152"/>
      <c r="AQ317" s="152"/>
      <c r="AR317" s="152"/>
      <c r="AS317" s="152"/>
      <c r="AT317" s="152"/>
      <c r="AU317" s="152"/>
      <c r="AV317" s="152"/>
      <c r="AW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  <c r="AQ318" s="152"/>
      <c r="AR318" s="152"/>
      <c r="AS318" s="152"/>
      <c r="AT318" s="152"/>
      <c r="AU318" s="152"/>
      <c r="AV318" s="152"/>
      <c r="AW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  <c r="AQ319" s="152"/>
      <c r="AR319" s="152"/>
      <c r="AS319" s="152"/>
      <c r="AT319" s="152"/>
      <c r="AU319" s="152"/>
      <c r="AV319" s="152"/>
      <c r="AW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  <c r="AQ320" s="152"/>
      <c r="AR320" s="152"/>
      <c r="AS320" s="152"/>
      <c r="AT320" s="152"/>
      <c r="AU320" s="152"/>
      <c r="AV320" s="152"/>
      <c r="AW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  <c r="AQ321" s="152"/>
      <c r="AR321" s="152"/>
      <c r="AS321" s="152"/>
      <c r="AT321" s="152"/>
      <c r="AU321" s="152"/>
      <c r="AV321" s="152"/>
      <c r="AW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  <c r="AQ322" s="152"/>
      <c r="AR322" s="152"/>
      <c r="AS322" s="152"/>
      <c r="AT322" s="152"/>
      <c r="AU322" s="152"/>
      <c r="AV322" s="152"/>
      <c r="AW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  <c r="AQ323" s="152"/>
      <c r="AR323" s="152"/>
      <c r="AS323" s="152"/>
      <c r="AT323" s="152"/>
      <c r="AU323" s="152"/>
      <c r="AV323" s="152"/>
      <c r="AW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  <c r="AG324" s="152"/>
      <c r="AH324" s="152"/>
      <c r="AI324" s="152"/>
      <c r="AJ324" s="152"/>
      <c r="AK324" s="152"/>
      <c r="AL324" s="152"/>
      <c r="AM324" s="152"/>
      <c r="AN324" s="152"/>
      <c r="AO324" s="152"/>
      <c r="AP324" s="152"/>
      <c r="AQ324" s="152"/>
      <c r="AR324" s="152"/>
      <c r="AS324" s="152"/>
      <c r="AT324" s="152"/>
      <c r="AU324" s="152"/>
      <c r="AV324" s="152"/>
      <c r="AW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  <c r="AH325" s="152"/>
      <c r="AI325" s="152"/>
      <c r="AJ325" s="152"/>
      <c r="AK325" s="152"/>
      <c r="AL325" s="152"/>
      <c r="AM325" s="152"/>
      <c r="AN325" s="152"/>
      <c r="AO325" s="152"/>
      <c r="AP325" s="152"/>
      <c r="AQ325" s="152"/>
      <c r="AR325" s="152"/>
      <c r="AS325" s="152"/>
      <c r="AT325" s="152"/>
      <c r="AU325" s="152"/>
      <c r="AV325" s="152"/>
      <c r="AW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  <c r="AH326" s="152"/>
      <c r="AI326" s="152"/>
      <c r="AJ326" s="152"/>
      <c r="AK326" s="152"/>
      <c r="AL326" s="152"/>
      <c r="AM326" s="152"/>
      <c r="AN326" s="152"/>
      <c r="AO326" s="152"/>
      <c r="AP326" s="152"/>
      <c r="AQ326" s="152"/>
      <c r="AR326" s="152"/>
      <c r="AS326" s="152"/>
      <c r="AT326" s="152"/>
      <c r="AU326" s="152"/>
      <c r="AV326" s="152"/>
      <c r="AW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  <c r="AH327" s="152"/>
      <c r="AI327" s="152"/>
      <c r="AJ327" s="152"/>
      <c r="AK327" s="152"/>
      <c r="AL327" s="152"/>
      <c r="AM327" s="152"/>
      <c r="AN327" s="152"/>
      <c r="AO327" s="152"/>
      <c r="AP327" s="152"/>
      <c r="AQ327" s="152"/>
      <c r="AR327" s="152"/>
      <c r="AS327" s="152"/>
      <c r="AT327" s="152"/>
      <c r="AU327" s="152"/>
      <c r="AV327" s="152"/>
      <c r="AW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  <c r="AH328" s="152"/>
      <c r="AI328" s="152"/>
      <c r="AJ328" s="152"/>
      <c r="AK328" s="152"/>
      <c r="AL328" s="152"/>
      <c r="AM328" s="152"/>
      <c r="AN328" s="152"/>
      <c r="AO328" s="152"/>
      <c r="AP328" s="152"/>
      <c r="AQ328" s="152"/>
      <c r="AR328" s="152"/>
      <c r="AS328" s="152"/>
      <c r="AT328" s="152"/>
      <c r="AU328" s="152"/>
      <c r="AV328" s="152"/>
      <c r="AW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  <c r="AH329" s="152"/>
      <c r="AI329" s="152"/>
      <c r="AJ329" s="152"/>
      <c r="AK329" s="152"/>
      <c r="AL329" s="152"/>
      <c r="AM329" s="152"/>
      <c r="AN329" s="152"/>
      <c r="AO329" s="152"/>
      <c r="AP329" s="152"/>
      <c r="AQ329" s="152"/>
      <c r="AR329" s="152"/>
      <c r="AS329" s="152"/>
      <c r="AT329" s="152"/>
      <c r="AU329" s="152"/>
      <c r="AV329" s="152"/>
      <c r="AW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  <c r="AH330" s="152"/>
      <c r="AI330" s="152"/>
      <c r="AJ330" s="152"/>
      <c r="AK330" s="152"/>
      <c r="AL330" s="152"/>
      <c r="AM330" s="152"/>
      <c r="AN330" s="152"/>
      <c r="AO330" s="152"/>
      <c r="AP330" s="152"/>
      <c r="AQ330" s="152"/>
      <c r="AR330" s="152"/>
      <c r="AS330" s="152"/>
      <c r="AT330" s="152"/>
      <c r="AU330" s="152"/>
      <c r="AV330" s="152"/>
      <c r="AW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  <c r="AH331" s="152"/>
      <c r="AI331" s="152"/>
      <c r="AJ331" s="152"/>
      <c r="AK331" s="152"/>
      <c r="AL331" s="152"/>
      <c r="AM331" s="152"/>
      <c r="AN331" s="152"/>
      <c r="AO331" s="152"/>
      <c r="AP331" s="152"/>
      <c r="AQ331" s="152"/>
      <c r="AR331" s="152"/>
      <c r="AS331" s="152"/>
      <c r="AT331" s="152"/>
      <c r="AU331" s="152"/>
      <c r="AV331" s="152"/>
      <c r="AW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  <c r="AH332" s="152"/>
      <c r="AI332" s="152"/>
      <c r="AJ332" s="152"/>
      <c r="AK332" s="152"/>
      <c r="AL332" s="152"/>
      <c r="AM332" s="152"/>
      <c r="AN332" s="152"/>
      <c r="AO332" s="152"/>
      <c r="AP332" s="152"/>
      <c r="AQ332" s="152"/>
      <c r="AR332" s="152"/>
      <c r="AS332" s="152"/>
      <c r="AT332" s="152"/>
      <c r="AU332" s="152"/>
      <c r="AV332" s="152"/>
      <c r="AW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  <c r="AH333" s="152"/>
      <c r="AI333" s="152"/>
      <c r="AJ333" s="152"/>
      <c r="AK333" s="152"/>
      <c r="AL333" s="152"/>
      <c r="AM333" s="152"/>
      <c r="AN333" s="152"/>
      <c r="AO333" s="152"/>
      <c r="AP333" s="152"/>
      <c r="AQ333" s="152"/>
      <c r="AR333" s="152"/>
      <c r="AS333" s="152"/>
      <c r="AT333" s="152"/>
      <c r="AU333" s="152"/>
      <c r="AV333" s="152"/>
      <c r="AW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  <c r="AH334" s="152"/>
      <c r="AI334" s="152"/>
      <c r="AJ334" s="152"/>
      <c r="AK334" s="152"/>
      <c r="AL334" s="152"/>
      <c r="AM334" s="152"/>
      <c r="AN334" s="152"/>
      <c r="AO334" s="152"/>
      <c r="AP334" s="152"/>
      <c r="AQ334" s="152"/>
      <c r="AR334" s="152"/>
      <c r="AS334" s="152"/>
      <c r="AT334" s="152"/>
      <c r="AU334" s="152"/>
      <c r="AV334" s="152"/>
      <c r="AW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  <c r="AH335" s="152"/>
      <c r="AI335" s="152"/>
      <c r="AJ335" s="152"/>
      <c r="AK335" s="152"/>
      <c r="AL335" s="152"/>
      <c r="AM335" s="152"/>
      <c r="AN335" s="152"/>
      <c r="AO335" s="152"/>
      <c r="AP335" s="152"/>
      <c r="AQ335" s="152"/>
      <c r="AR335" s="152"/>
      <c r="AS335" s="152"/>
      <c r="AT335" s="152"/>
      <c r="AU335" s="152"/>
      <c r="AV335" s="152"/>
      <c r="AW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  <c r="AH336" s="152"/>
      <c r="AI336" s="152"/>
      <c r="AJ336" s="152"/>
      <c r="AK336" s="152"/>
      <c r="AL336" s="152"/>
      <c r="AM336" s="152"/>
      <c r="AN336" s="152"/>
      <c r="AO336" s="152"/>
      <c r="AP336" s="152"/>
      <c r="AQ336" s="152"/>
      <c r="AR336" s="152"/>
      <c r="AS336" s="152"/>
      <c r="AT336" s="152"/>
      <c r="AU336" s="152"/>
      <c r="AV336" s="152"/>
      <c r="AW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  <c r="AH337" s="152"/>
      <c r="AI337" s="152"/>
      <c r="AJ337" s="152"/>
      <c r="AK337" s="152"/>
      <c r="AL337" s="152"/>
      <c r="AM337" s="152"/>
      <c r="AN337" s="152"/>
      <c r="AO337" s="152"/>
      <c r="AP337" s="152"/>
      <c r="AQ337" s="152"/>
      <c r="AR337" s="152"/>
      <c r="AS337" s="152"/>
      <c r="AT337" s="152"/>
      <c r="AU337" s="152"/>
      <c r="AV337" s="152"/>
      <c r="AW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  <c r="AG338" s="152"/>
      <c r="AH338" s="152"/>
      <c r="AI338" s="152"/>
      <c r="AJ338" s="152"/>
      <c r="AK338" s="152"/>
      <c r="AL338" s="152"/>
      <c r="AM338" s="152"/>
      <c r="AN338" s="152"/>
      <c r="AO338" s="152"/>
      <c r="AP338" s="152"/>
      <c r="AQ338" s="152"/>
      <c r="AR338" s="152"/>
      <c r="AS338" s="152"/>
      <c r="AT338" s="152"/>
      <c r="AU338" s="152"/>
      <c r="AV338" s="152"/>
      <c r="AW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  <c r="AG339" s="152"/>
      <c r="AH339" s="152"/>
      <c r="AI339" s="152"/>
      <c r="AJ339" s="152"/>
      <c r="AK339" s="152"/>
      <c r="AL339" s="152"/>
      <c r="AM339" s="152"/>
      <c r="AN339" s="152"/>
      <c r="AO339" s="152"/>
      <c r="AP339" s="152"/>
      <c r="AQ339" s="152"/>
      <c r="AR339" s="152"/>
      <c r="AS339" s="152"/>
      <c r="AT339" s="152"/>
      <c r="AU339" s="152"/>
      <c r="AV339" s="152"/>
      <c r="AW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  <c r="AG340" s="152"/>
      <c r="AH340" s="152"/>
      <c r="AI340" s="152"/>
      <c r="AJ340" s="152"/>
      <c r="AK340" s="152"/>
      <c r="AL340" s="152"/>
      <c r="AM340" s="152"/>
      <c r="AN340" s="152"/>
      <c r="AO340" s="152"/>
      <c r="AP340" s="152"/>
      <c r="AQ340" s="152"/>
      <c r="AR340" s="152"/>
      <c r="AS340" s="152"/>
      <c r="AT340" s="152"/>
      <c r="AU340" s="152"/>
      <c r="AV340" s="152"/>
      <c r="AW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  <c r="AG341" s="152"/>
      <c r="AH341" s="152"/>
      <c r="AI341" s="152"/>
      <c r="AJ341" s="152"/>
      <c r="AK341" s="152"/>
      <c r="AL341" s="152"/>
      <c r="AM341" s="152"/>
      <c r="AN341" s="152"/>
      <c r="AO341" s="152"/>
      <c r="AP341" s="152"/>
      <c r="AQ341" s="152"/>
      <c r="AR341" s="152"/>
      <c r="AS341" s="152"/>
      <c r="AT341" s="152"/>
      <c r="AU341" s="152"/>
      <c r="AV341" s="152"/>
      <c r="AW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  <c r="AG342" s="152"/>
      <c r="AH342" s="152"/>
      <c r="AI342" s="152"/>
      <c r="AJ342" s="152"/>
      <c r="AK342" s="152"/>
      <c r="AL342" s="152"/>
      <c r="AM342" s="152"/>
      <c r="AN342" s="152"/>
      <c r="AO342" s="152"/>
      <c r="AP342" s="152"/>
      <c r="AQ342" s="152"/>
      <c r="AR342" s="152"/>
      <c r="AS342" s="152"/>
      <c r="AT342" s="152"/>
      <c r="AU342" s="152"/>
      <c r="AV342" s="152"/>
      <c r="AW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  <c r="AG343" s="152"/>
      <c r="AH343" s="152"/>
      <c r="AI343" s="152"/>
      <c r="AJ343" s="152"/>
      <c r="AK343" s="152"/>
      <c r="AL343" s="152"/>
      <c r="AM343" s="152"/>
      <c r="AN343" s="152"/>
      <c r="AO343" s="152"/>
      <c r="AP343" s="152"/>
      <c r="AQ343" s="152"/>
      <c r="AR343" s="152"/>
      <c r="AS343" s="152"/>
      <c r="AT343" s="152"/>
      <c r="AU343" s="152"/>
      <c r="AV343" s="152"/>
      <c r="AW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  <c r="AG344" s="152"/>
      <c r="AH344" s="152"/>
      <c r="AI344" s="152"/>
      <c r="AJ344" s="152"/>
      <c r="AK344" s="152"/>
      <c r="AL344" s="152"/>
      <c r="AM344" s="152"/>
      <c r="AN344" s="152"/>
      <c r="AO344" s="152"/>
      <c r="AP344" s="152"/>
      <c r="AQ344" s="152"/>
      <c r="AR344" s="152"/>
      <c r="AS344" s="152"/>
      <c r="AT344" s="152"/>
      <c r="AU344" s="152"/>
      <c r="AV344" s="152"/>
      <c r="AW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  <c r="AG345" s="152"/>
      <c r="AH345" s="152"/>
      <c r="AI345" s="152"/>
      <c r="AJ345" s="152"/>
      <c r="AK345" s="152"/>
      <c r="AL345" s="152"/>
      <c r="AM345" s="152"/>
      <c r="AN345" s="152"/>
      <c r="AO345" s="152"/>
      <c r="AP345" s="152"/>
      <c r="AQ345" s="152"/>
      <c r="AR345" s="152"/>
      <c r="AS345" s="152"/>
      <c r="AT345" s="152"/>
      <c r="AU345" s="152"/>
      <c r="AV345" s="152"/>
      <c r="AW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  <c r="AG346" s="152"/>
      <c r="AH346" s="152"/>
      <c r="AI346" s="152"/>
      <c r="AJ346" s="152"/>
      <c r="AK346" s="152"/>
      <c r="AL346" s="152"/>
      <c r="AM346" s="152"/>
      <c r="AN346" s="152"/>
      <c r="AO346" s="152"/>
      <c r="AP346" s="152"/>
      <c r="AQ346" s="152"/>
      <c r="AR346" s="152"/>
      <c r="AS346" s="152"/>
      <c r="AT346" s="152"/>
      <c r="AU346" s="152"/>
      <c r="AV346" s="152"/>
      <c r="AW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  <c r="AG347" s="152"/>
      <c r="AH347" s="152"/>
      <c r="AI347" s="152"/>
      <c r="AJ347" s="152"/>
      <c r="AK347" s="152"/>
      <c r="AL347" s="152"/>
      <c r="AM347" s="152"/>
      <c r="AN347" s="152"/>
      <c r="AO347" s="152"/>
      <c r="AP347" s="152"/>
      <c r="AQ347" s="152"/>
      <c r="AR347" s="152"/>
      <c r="AS347" s="152"/>
      <c r="AT347" s="152"/>
      <c r="AU347" s="152"/>
      <c r="AV347" s="152"/>
      <c r="AW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  <c r="AG348" s="152"/>
      <c r="AH348" s="152"/>
      <c r="AI348" s="152"/>
      <c r="AJ348" s="152"/>
      <c r="AK348" s="152"/>
      <c r="AL348" s="152"/>
      <c r="AM348" s="152"/>
      <c r="AN348" s="152"/>
      <c r="AO348" s="152"/>
      <c r="AP348" s="152"/>
      <c r="AQ348" s="152"/>
      <c r="AR348" s="152"/>
      <c r="AS348" s="152"/>
      <c r="AT348" s="152"/>
      <c r="AU348" s="152"/>
      <c r="AV348" s="152"/>
      <c r="AW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  <c r="AG349" s="152"/>
      <c r="AH349" s="152"/>
      <c r="AI349" s="152"/>
      <c r="AJ349" s="152"/>
      <c r="AK349" s="152"/>
      <c r="AL349" s="152"/>
      <c r="AM349" s="152"/>
      <c r="AN349" s="152"/>
      <c r="AO349" s="152"/>
      <c r="AP349" s="152"/>
      <c r="AQ349" s="152"/>
      <c r="AR349" s="152"/>
      <c r="AS349" s="152"/>
      <c r="AT349" s="152"/>
      <c r="AU349" s="152"/>
      <c r="AV349" s="152"/>
      <c r="AW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  <c r="AG350" s="152"/>
      <c r="AH350" s="152"/>
      <c r="AI350" s="152"/>
      <c r="AJ350" s="152"/>
      <c r="AK350" s="152"/>
      <c r="AL350" s="152"/>
      <c r="AM350" s="152"/>
      <c r="AN350" s="152"/>
      <c r="AO350" s="152"/>
      <c r="AP350" s="152"/>
      <c r="AQ350" s="152"/>
      <c r="AR350" s="152"/>
      <c r="AS350" s="152"/>
      <c r="AT350" s="152"/>
      <c r="AU350" s="152"/>
      <c r="AV350" s="152"/>
      <c r="AW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  <c r="AG351" s="152"/>
      <c r="AH351" s="152"/>
      <c r="AI351" s="152"/>
      <c r="AJ351" s="152"/>
      <c r="AK351" s="152"/>
      <c r="AL351" s="152"/>
      <c r="AM351" s="152"/>
      <c r="AN351" s="152"/>
      <c r="AO351" s="152"/>
      <c r="AP351" s="152"/>
      <c r="AQ351" s="152"/>
      <c r="AR351" s="152"/>
      <c r="AS351" s="152"/>
      <c r="AT351" s="152"/>
      <c r="AU351" s="152"/>
      <c r="AV351" s="152"/>
      <c r="AW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  <c r="AG352" s="152"/>
      <c r="AH352" s="152"/>
      <c r="AI352" s="152"/>
      <c r="AJ352" s="152"/>
      <c r="AK352" s="152"/>
      <c r="AL352" s="152"/>
      <c r="AM352" s="152"/>
      <c r="AN352" s="152"/>
      <c r="AO352" s="152"/>
      <c r="AP352" s="152"/>
      <c r="AQ352" s="152"/>
      <c r="AR352" s="152"/>
      <c r="AS352" s="152"/>
      <c r="AT352" s="152"/>
      <c r="AU352" s="152"/>
      <c r="AV352" s="152"/>
      <c r="AW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  <c r="AG353" s="152"/>
      <c r="AH353" s="152"/>
      <c r="AI353" s="152"/>
      <c r="AJ353" s="152"/>
      <c r="AK353" s="152"/>
      <c r="AL353" s="152"/>
      <c r="AM353" s="152"/>
      <c r="AN353" s="152"/>
      <c r="AO353" s="152"/>
      <c r="AP353" s="152"/>
      <c r="AQ353" s="152"/>
      <c r="AR353" s="152"/>
      <c r="AS353" s="152"/>
      <c r="AT353" s="152"/>
      <c r="AU353" s="152"/>
      <c r="AV353" s="152"/>
      <c r="AW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  <c r="AQ354" s="152"/>
      <c r="AR354" s="152"/>
      <c r="AS354" s="152"/>
      <c r="AT354" s="152"/>
      <c r="AU354" s="152"/>
      <c r="AV354" s="152"/>
      <c r="AW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  <c r="AQ355" s="152"/>
      <c r="AR355" s="152"/>
      <c r="AS355" s="152"/>
      <c r="AT355" s="152"/>
      <c r="AU355" s="152"/>
      <c r="AV355" s="152"/>
      <c r="AW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  <c r="AQ356" s="152"/>
      <c r="AR356" s="152"/>
      <c r="AS356" s="152"/>
      <c r="AT356" s="152"/>
      <c r="AU356" s="152"/>
      <c r="AV356" s="152"/>
      <c r="AW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  <c r="AQ357" s="152"/>
      <c r="AR357" s="152"/>
      <c r="AS357" s="152"/>
      <c r="AT357" s="152"/>
      <c r="AU357" s="152"/>
      <c r="AV357" s="152"/>
      <c r="AW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  <c r="AQ358" s="152"/>
      <c r="AR358" s="152"/>
      <c r="AS358" s="152"/>
      <c r="AT358" s="152"/>
      <c r="AU358" s="152"/>
      <c r="AV358" s="152"/>
      <c r="AW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  <c r="AQ359" s="152"/>
      <c r="AR359" s="152"/>
      <c r="AS359" s="152"/>
      <c r="AT359" s="152"/>
      <c r="AU359" s="152"/>
      <c r="AV359" s="152"/>
      <c r="AW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  <c r="AH360" s="152"/>
      <c r="AI360" s="152"/>
      <c r="AJ360" s="152"/>
      <c r="AK360" s="152"/>
      <c r="AL360" s="152"/>
      <c r="AM360" s="152"/>
      <c r="AN360" s="152"/>
      <c r="AO360" s="152"/>
      <c r="AP360" s="152"/>
      <c r="AQ360" s="152"/>
      <c r="AR360" s="152"/>
      <c r="AS360" s="152"/>
      <c r="AT360" s="152"/>
      <c r="AU360" s="152"/>
      <c r="AV360" s="152"/>
      <c r="AW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  <c r="AH361" s="152"/>
      <c r="AI361" s="152"/>
      <c r="AJ361" s="152"/>
      <c r="AK361" s="152"/>
      <c r="AL361" s="152"/>
      <c r="AM361" s="152"/>
      <c r="AN361" s="152"/>
      <c r="AO361" s="152"/>
      <c r="AP361" s="152"/>
      <c r="AQ361" s="152"/>
      <c r="AR361" s="152"/>
      <c r="AS361" s="152"/>
      <c r="AT361" s="152"/>
      <c r="AU361" s="152"/>
      <c r="AV361" s="152"/>
      <c r="AW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  <c r="AH362" s="152"/>
      <c r="AI362" s="152"/>
      <c r="AJ362" s="152"/>
      <c r="AK362" s="152"/>
      <c r="AL362" s="152"/>
      <c r="AM362" s="152"/>
      <c r="AN362" s="152"/>
      <c r="AO362" s="152"/>
      <c r="AP362" s="152"/>
      <c r="AQ362" s="152"/>
      <c r="AR362" s="152"/>
      <c r="AS362" s="152"/>
      <c r="AT362" s="152"/>
      <c r="AU362" s="152"/>
      <c r="AV362" s="152"/>
      <c r="AW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  <c r="AH363" s="152"/>
      <c r="AI363" s="152"/>
      <c r="AJ363" s="152"/>
      <c r="AK363" s="152"/>
      <c r="AL363" s="152"/>
      <c r="AM363" s="152"/>
      <c r="AN363" s="152"/>
      <c r="AO363" s="152"/>
      <c r="AP363" s="152"/>
      <c r="AQ363" s="152"/>
      <c r="AR363" s="152"/>
      <c r="AS363" s="152"/>
      <c r="AT363" s="152"/>
      <c r="AU363" s="152"/>
      <c r="AV363" s="152"/>
      <c r="AW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  <c r="AH364" s="152"/>
      <c r="AI364" s="152"/>
      <c r="AJ364" s="152"/>
      <c r="AK364" s="152"/>
      <c r="AL364" s="152"/>
      <c r="AM364" s="152"/>
      <c r="AN364" s="152"/>
      <c r="AO364" s="152"/>
      <c r="AP364" s="152"/>
      <c r="AQ364" s="152"/>
      <c r="AR364" s="152"/>
      <c r="AS364" s="152"/>
      <c r="AT364" s="152"/>
      <c r="AU364" s="152"/>
      <c r="AV364" s="152"/>
      <c r="AW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  <c r="AH365" s="152"/>
      <c r="AI365" s="152"/>
      <c r="AJ365" s="152"/>
      <c r="AK365" s="152"/>
      <c r="AL365" s="152"/>
      <c r="AM365" s="152"/>
      <c r="AN365" s="152"/>
      <c r="AO365" s="152"/>
      <c r="AP365" s="152"/>
      <c r="AQ365" s="152"/>
      <c r="AR365" s="152"/>
      <c r="AS365" s="152"/>
      <c r="AT365" s="152"/>
      <c r="AU365" s="152"/>
      <c r="AV365" s="152"/>
      <c r="AW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  <c r="AH366" s="152"/>
      <c r="AI366" s="152"/>
      <c r="AJ366" s="152"/>
      <c r="AK366" s="152"/>
      <c r="AL366" s="152"/>
      <c r="AM366" s="152"/>
      <c r="AN366" s="152"/>
      <c r="AO366" s="152"/>
      <c r="AP366" s="152"/>
      <c r="AQ366" s="152"/>
      <c r="AR366" s="152"/>
      <c r="AS366" s="152"/>
      <c r="AT366" s="152"/>
      <c r="AU366" s="152"/>
      <c r="AV366" s="152"/>
      <c r="AW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  <c r="AH367" s="152"/>
      <c r="AI367" s="152"/>
      <c r="AJ367" s="152"/>
      <c r="AK367" s="152"/>
      <c r="AL367" s="152"/>
      <c r="AM367" s="152"/>
      <c r="AN367" s="152"/>
      <c r="AO367" s="152"/>
      <c r="AP367" s="152"/>
      <c r="AQ367" s="152"/>
      <c r="AR367" s="152"/>
      <c r="AS367" s="152"/>
      <c r="AT367" s="152"/>
      <c r="AU367" s="152"/>
      <c r="AV367" s="152"/>
      <c r="AW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  <c r="AH368" s="152"/>
      <c r="AI368" s="152"/>
      <c r="AJ368" s="152"/>
      <c r="AK368" s="152"/>
      <c r="AL368" s="152"/>
      <c r="AM368" s="152"/>
      <c r="AN368" s="152"/>
      <c r="AO368" s="152"/>
      <c r="AP368" s="152"/>
      <c r="AQ368" s="152"/>
      <c r="AR368" s="152"/>
      <c r="AS368" s="152"/>
      <c r="AT368" s="152"/>
      <c r="AU368" s="152"/>
      <c r="AV368" s="152"/>
      <c r="AW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  <c r="AH369" s="152"/>
      <c r="AI369" s="152"/>
      <c r="AJ369" s="152"/>
      <c r="AK369" s="152"/>
      <c r="AL369" s="152"/>
      <c r="AM369" s="152"/>
      <c r="AN369" s="152"/>
      <c r="AO369" s="152"/>
      <c r="AP369" s="152"/>
      <c r="AQ369" s="152"/>
      <c r="AR369" s="152"/>
      <c r="AS369" s="152"/>
      <c r="AT369" s="152"/>
      <c r="AU369" s="152"/>
      <c r="AV369" s="152"/>
      <c r="AW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  <c r="AH370" s="152"/>
      <c r="AI370" s="152"/>
      <c r="AJ370" s="152"/>
      <c r="AK370" s="152"/>
      <c r="AL370" s="152"/>
      <c r="AM370" s="152"/>
      <c r="AN370" s="152"/>
      <c r="AO370" s="152"/>
      <c r="AP370" s="152"/>
      <c r="AQ370" s="152"/>
      <c r="AR370" s="152"/>
      <c r="AS370" s="152"/>
      <c r="AT370" s="152"/>
      <c r="AU370" s="152"/>
      <c r="AV370" s="152"/>
      <c r="AW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  <c r="AH371" s="152"/>
      <c r="AI371" s="152"/>
      <c r="AJ371" s="152"/>
      <c r="AK371" s="152"/>
      <c r="AL371" s="152"/>
      <c r="AM371" s="152"/>
      <c r="AN371" s="152"/>
      <c r="AO371" s="152"/>
      <c r="AP371" s="152"/>
      <c r="AQ371" s="152"/>
      <c r="AR371" s="152"/>
      <c r="AS371" s="152"/>
      <c r="AT371" s="152"/>
      <c r="AU371" s="152"/>
      <c r="AV371" s="152"/>
      <c r="AW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  <c r="AG372" s="152"/>
      <c r="AH372" s="152"/>
      <c r="AI372" s="152"/>
      <c r="AJ372" s="152"/>
      <c r="AK372" s="152"/>
      <c r="AL372" s="152"/>
      <c r="AM372" s="152"/>
      <c r="AN372" s="152"/>
      <c r="AO372" s="152"/>
      <c r="AP372" s="152"/>
      <c r="AQ372" s="152"/>
      <c r="AR372" s="152"/>
      <c r="AS372" s="152"/>
      <c r="AT372" s="152"/>
      <c r="AU372" s="152"/>
      <c r="AV372" s="152"/>
      <c r="AW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  <c r="AG373" s="152"/>
      <c r="AH373" s="152"/>
      <c r="AI373" s="152"/>
      <c r="AJ373" s="152"/>
      <c r="AK373" s="152"/>
      <c r="AL373" s="152"/>
      <c r="AM373" s="152"/>
      <c r="AN373" s="152"/>
      <c r="AO373" s="152"/>
      <c r="AP373" s="152"/>
      <c r="AQ373" s="152"/>
      <c r="AR373" s="152"/>
      <c r="AS373" s="152"/>
      <c r="AT373" s="152"/>
      <c r="AU373" s="152"/>
      <c r="AV373" s="152"/>
      <c r="AW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  <c r="AH374" s="152"/>
      <c r="AI374" s="152"/>
      <c r="AJ374" s="152"/>
      <c r="AK374" s="152"/>
      <c r="AL374" s="152"/>
      <c r="AM374" s="152"/>
      <c r="AN374" s="152"/>
      <c r="AO374" s="152"/>
      <c r="AP374" s="152"/>
      <c r="AQ374" s="152"/>
      <c r="AR374" s="152"/>
      <c r="AS374" s="152"/>
      <c r="AT374" s="152"/>
      <c r="AU374" s="152"/>
      <c r="AV374" s="152"/>
      <c r="AW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2"/>
      <c r="AH375" s="152"/>
      <c r="AI375" s="152"/>
      <c r="AJ375" s="152"/>
      <c r="AK375" s="152"/>
      <c r="AL375" s="152"/>
      <c r="AM375" s="152"/>
      <c r="AN375" s="152"/>
      <c r="AO375" s="152"/>
      <c r="AP375" s="152"/>
      <c r="AQ375" s="152"/>
      <c r="AR375" s="152"/>
      <c r="AS375" s="152"/>
      <c r="AT375" s="152"/>
      <c r="AU375" s="152"/>
      <c r="AV375" s="152"/>
      <c r="AW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  <c r="AG376" s="152"/>
      <c r="AH376" s="152"/>
      <c r="AI376" s="152"/>
      <c r="AJ376" s="152"/>
      <c r="AK376" s="152"/>
      <c r="AL376" s="152"/>
      <c r="AM376" s="152"/>
      <c r="AN376" s="152"/>
      <c r="AO376" s="152"/>
      <c r="AP376" s="152"/>
      <c r="AQ376" s="152"/>
      <c r="AR376" s="152"/>
      <c r="AS376" s="152"/>
      <c r="AT376" s="152"/>
      <c r="AU376" s="152"/>
      <c r="AV376" s="152"/>
      <c r="AW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  <c r="AH377" s="152"/>
      <c r="AI377" s="152"/>
      <c r="AJ377" s="152"/>
      <c r="AK377" s="152"/>
      <c r="AL377" s="152"/>
      <c r="AM377" s="152"/>
      <c r="AN377" s="152"/>
      <c r="AO377" s="152"/>
      <c r="AP377" s="152"/>
      <c r="AQ377" s="152"/>
      <c r="AR377" s="152"/>
      <c r="AS377" s="152"/>
      <c r="AT377" s="152"/>
      <c r="AU377" s="152"/>
      <c r="AV377" s="152"/>
      <c r="AW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  <c r="AH378" s="152"/>
      <c r="AI378" s="152"/>
      <c r="AJ378" s="152"/>
      <c r="AK378" s="152"/>
      <c r="AL378" s="152"/>
      <c r="AM378" s="152"/>
      <c r="AN378" s="152"/>
      <c r="AO378" s="152"/>
      <c r="AP378" s="152"/>
      <c r="AQ378" s="152"/>
      <c r="AR378" s="152"/>
      <c r="AS378" s="152"/>
      <c r="AT378" s="152"/>
      <c r="AU378" s="152"/>
      <c r="AV378" s="152"/>
      <c r="AW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  <c r="AG379" s="152"/>
      <c r="AH379" s="152"/>
      <c r="AI379" s="152"/>
      <c r="AJ379" s="152"/>
      <c r="AK379" s="152"/>
      <c r="AL379" s="152"/>
      <c r="AM379" s="152"/>
      <c r="AN379" s="152"/>
      <c r="AO379" s="152"/>
      <c r="AP379" s="152"/>
      <c r="AQ379" s="152"/>
      <c r="AR379" s="152"/>
      <c r="AS379" s="152"/>
      <c r="AT379" s="152"/>
      <c r="AU379" s="152"/>
      <c r="AV379" s="152"/>
      <c r="AW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  <c r="AH380" s="152"/>
      <c r="AI380" s="152"/>
      <c r="AJ380" s="152"/>
      <c r="AK380" s="152"/>
      <c r="AL380" s="152"/>
      <c r="AM380" s="152"/>
      <c r="AN380" s="152"/>
      <c r="AO380" s="152"/>
      <c r="AP380" s="152"/>
      <c r="AQ380" s="152"/>
      <c r="AR380" s="152"/>
      <c r="AS380" s="152"/>
      <c r="AT380" s="152"/>
      <c r="AU380" s="152"/>
      <c r="AV380" s="152"/>
      <c r="AW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  <c r="AG381" s="152"/>
      <c r="AH381" s="152"/>
      <c r="AI381" s="152"/>
      <c r="AJ381" s="152"/>
      <c r="AK381" s="152"/>
      <c r="AL381" s="152"/>
      <c r="AM381" s="152"/>
      <c r="AN381" s="152"/>
      <c r="AO381" s="152"/>
      <c r="AP381" s="152"/>
      <c r="AQ381" s="152"/>
      <c r="AR381" s="152"/>
      <c r="AS381" s="152"/>
      <c r="AT381" s="152"/>
      <c r="AU381" s="152"/>
      <c r="AV381" s="152"/>
      <c r="AW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  <c r="AG382" s="152"/>
      <c r="AH382" s="152"/>
      <c r="AI382" s="152"/>
      <c r="AJ382" s="152"/>
      <c r="AK382" s="152"/>
      <c r="AL382" s="152"/>
      <c r="AM382" s="152"/>
      <c r="AN382" s="152"/>
      <c r="AO382" s="152"/>
      <c r="AP382" s="152"/>
      <c r="AQ382" s="152"/>
      <c r="AR382" s="152"/>
      <c r="AS382" s="152"/>
      <c r="AT382" s="152"/>
      <c r="AU382" s="152"/>
      <c r="AV382" s="152"/>
      <c r="AW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  <c r="AG383" s="152"/>
      <c r="AH383" s="152"/>
      <c r="AI383" s="152"/>
      <c r="AJ383" s="152"/>
      <c r="AK383" s="152"/>
      <c r="AL383" s="152"/>
      <c r="AM383" s="152"/>
      <c r="AN383" s="152"/>
      <c r="AO383" s="152"/>
      <c r="AP383" s="152"/>
      <c r="AQ383" s="152"/>
      <c r="AR383" s="152"/>
      <c r="AS383" s="152"/>
      <c r="AT383" s="152"/>
      <c r="AU383" s="152"/>
      <c r="AV383" s="152"/>
      <c r="AW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  <c r="AH384" s="152"/>
      <c r="AI384" s="152"/>
      <c r="AJ384" s="152"/>
      <c r="AK384" s="152"/>
      <c r="AL384" s="152"/>
      <c r="AM384" s="152"/>
      <c r="AN384" s="152"/>
      <c r="AO384" s="152"/>
      <c r="AP384" s="152"/>
      <c r="AQ384" s="152"/>
      <c r="AR384" s="152"/>
      <c r="AS384" s="152"/>
      <c r="AT384" s="152"/>
      <c r="AU384" s="152"/>
      <c r="AV384" s="152"/>
      <c r="AW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  <c r="AH385" s="152"/>
      <c r="AI385" s="152"/>
      <c r="AJ385" s="152"/>
      <c r="AK385" s="152"/>
      <c r="AL385" s="152"/>
      <c r="AM385" s="152"/>
      <c r="AN385" s="152"/>
      <c r="AO385" s="152"/>
      <c r="AP385" s="152"/>
      <c r="AQ385" s="152"/>
      <c r="AR385" s="152"/>
      <c r="AS385" s="152"/>
      <c r="AT385" s="152"/>
      <c r="AU385" s="152"/>
      <c r="AV385" s="152"/>
      <c r="AW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  <c r="AH386" s="152"/>
      <c r="AI386" s="152"/>
      <c r="AJ386" s="152"/>
      <c r="AK386" s="152"/>
      <c r="AL386" s="152"/>
      <c r="AM386" s="152"/>
      <c r="AN386" s="152"/>
      <c r="AO386" s="152"/>
      <c r="AP386" s="152"/>
      <c r="AQ386" s="152"/>
      <c r="AR386" s="152"/>
      <c r="AS386" s="152"/>
      <c r="AT386" s="152"/>
      <c r="AU386" s="152"/>
      <c r="AV386" s="152"/>
      <c r="AW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  <c r="AH387" s="152"/>
      <c r="AI387" s="152"/>
      <c r="AJ387" s="152"/>
      <c r="AK387" s="152"/>
      <c r="AL387" s="152"/>
      <c r="AM387" s="152"/>
      <c r="AN387" s="152"/>
      <c r="AO387" s="152"/>
      <c r="AP387" s="152"/>
      <c r="AQ387" s="152"/>
      <c r="AR387" s="152"/>
      <c r="AS387" s="152"/>
      <c r="AT387" s="152"/>
      <c r="AU387" s="152"/>
      <c r="AV387" s="152"/>
      <c r="AW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  <c r="AH388" s="152"/>
      <c r="AI388" s="152"/>
      <c r="AJ388" s="152"/>
      <c r="AK388" s="152"/>
      <c r="AL388" s="152"/>
      <c r="AM388" s="152"/>
      <c r="AN388" s="152"/>
      <c r="AO388" s="152"/>
      <c r="AP388" s="152"/>
      <c r="AQ388" s="152"/>
      <c r="AR388" s="152"/>
      <c r="AS388" s="152"/>
      <c r="AT388" s="152"/>
      <c r="AU388" s="152"/>
      <c r="AV388" s="152"/>
      <c r="AW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  <c r="AH389" s="152"/>
      <c r="AI389" s="152"/>
      <c r="AJ389" s="152"/>
      <c r="AK389" s="152"/>
      <c r="AL389" s="152"/>
      <c r="AM389" s="152"/>
      <c r="AN389" s="152"/>
      <c r="AO389" s="152"/>
      <c r="AP389" s="152"/>
      <c r="AQ389" s="152"/>
      <c r="AR389" s="152"/>
      <c r="AS389" s="152"/>
      <c r="AT389" s="152"/>
      <c r="AU389" s="152"/>
      <c r="AV389" s="152"/>
      <c r="AW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  <c r="AQ390" s="152"/>
      <c r="AR390" s="152"/>
      <c r="AS390" s="152"/>
      <c r="AT390" s="152"/>
      <c r="AU390" s="152"/>
      <c r="AV390" s="152"/>
      <c r="AW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  <c r="AQ391" s="152"/>
      <c r="AR391" s="152"/>
      <c r="AS391" s="152"/>
      <c r="AT391" s="152"/>
      <c r="AU391" s="152"/>
      <c r="AV391" s="152"/>
      <c r="AW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  <c r="AQ392" s="152"/>
      <c r="AR392" s="152"/>
      <c r="AS392" s="152"/>
      <c r="AT392" s="152"/>
      <c r="AU392" s="152"/>
      <c r="AV392" s="152"/>
      <c r="AW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  <c r="AQ393" s="152"/>
      <c r="AR393" s="152"/>
      <c r="AS393" s="152"/>
      <c r="AT393" s="152"/>
      <c r="AU393" s="152"/>
      <c r="AV393" s="152"/>
      <c r="AW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/>
      <c r="AR394" s="152"/>
      <c r="AS394" s="152"/>
      <c r="AT394" s="152"/>
      <c r="AU394" s="152"/>
      <c r="AV394" s="152"/>
      <c r="AW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  <c r="AQ395" s="152"/>
      <c r="AR395" s="152"/>
      <c r="AS395" s="152"/>
      <c r="AT395" s="152"/>
      <c r="AU395" s="152"/>
      <c r="AV395" s="152"/>
      <c r="AW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  <c r="AH396" s="152"/>
      <c r="AI396" s="152"/>
      <c r="AJ396" s="152"/>
      <c r="AK396" s="152"/>
      <c r="AL396" s="152"/>
      <c r="AM396" s="152"/>
      <c r="AN396" s="152"/>
      <c r="AO396" s="152"/>
      <c r="AP396" s="152"/>
      <c r="AQ396" s="152"/>
      <c r="AR396" s="152"/>
      <c r="AS396" s="152"/>
      <c r="AT396" s="152"/>
      <c r="AU396" s="152"/>
      <c r="AV396" s="152"/>
      <c r="AW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  <c r="AH397" s="152"/>
      <c r="AI397" s="152"/>
      <c r="AJ397" s="152"/>
      <c r="AK397" s="152"/>
      <c r="AL397" s="152"/>
      <c r="AM397" s="152"/>
      <c r="AN397" s="152"/>
      <c r="AO397" s="152"/>
      <c r="AP397" s="152"/>
      <c r="AQ397" s="152"/>
      <c r="AR397" s="152"/>
      <c r="AS397" s="152"/>
      <c r="AT397" s="152"/>
      <c r="AU397" s="152"/>
      <c r="AV397" s="152"/>
      <c r="AW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  <c r="AH398" s="152"/>
      <c r="AI398" s="152"/>
      <c r="AJ398" s="152"/>
      <c r="AK398" s="152"/>
      <c r="AL398" s="152"/>
      <c r="AM398" s="152"/>
      <c r="AN398" s="152"/>
      <c r="AO398" s="152"/>
      <c r="AP398" s="152"/>
      <c r="AQ398" s="152"/>
      <c r="AR398" s="152"/>
      <c r="AS398" s="152"/>
      <c r="AT398" s="152"/>
      <c r="AU398" s="152"/>
      <c r="AV398" s="152"/>
      <c r="AW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  <c r="AH399" s="152"/>
      <c r="AI399" s="152"/>
      <c r="AJ399" s="152"/>
      <c r="AK399" s="152"/>
      <c r="AL399" s="152"/>
      <c r="AM399" s="152"/>
      <c r="AN399" s="152"/>
      <c r="AO399" s="152"/>
      <c r="AP399" s="152"/>
      <c r="AQ399" s="152"/>
      <c r="AR399" s="152"/>
      <c r="AS399" s="152"/>
      <c r="AT399" s="152"/>
      <c r="AU399" s="152"/>
      <c r="AV399" s="152"/>
      <c r="AW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  <c r="AH400" s="152"/>
      <c r="AI400" s="152"/>
      <c r="AJ400" s="152"/>
      <c r="AK400" s="152"/>
      <c r="AL400" s="152"/>
      <c r="AM400" s="152"/>
      <c r="AN400" s="152"/>
      <c r="AO400" s="152"/>
      <c r="AP400" s="152"/>
      <c r="AQ400" s="152"/>
      <c r="AR400" s="152"/>
      <c r="AS400" s="152"/>
      <c r="AT400" s="152"/>
      <c r="AU400" s="152"/>
      <c r="AV400" s="152"/>
      <c r="AW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  <c r="AH401" s="152"/>
      <c r="AI401" s="152"/>
      <c r="AJ401" s="152"/>
      <c r="AK401" s="152"/>
      <c r="AL401" s="152"/>
      <c r="AM401" s="152"/>
      <c r="AN401" s="152"/>
      <c r="AO401" s="152"/>
      <c r="AP401" s="152"/>
      <c r="AQ401" s="152"/>
      <c r="AR401" s="152"/>
      <c r="AS401" s="152"/>
      <c r="AT401" s="152"/>
      <c r="AU401" s="152"/>
      <c r="AV401" s="152"/>
      <c r="AW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  <c r="AH402" s="152"/>
      <c r="AI402" s="152"/>
      <c r="AJ402" s="152"/>
      <c r="AK402" s="152"/>
      <c r="AL402" s="152"/>
      <c r="AM402" s="152"/>
      <c r="AN402" s="152"/>
      <c r="AO402" s="152"/>
      <c r="AP402" s="152"/>
      <c r="AQ402" s="152"/>
      <c r="AR402" s="152"/>
      <c r="AS402" s="152"/>
      <c r="AT402" s="152"/>
      <c r="AU402" s="152"/>
      <c r="AV402" s="152"/>
      <c r="AW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  <c r="AH403" s="152"/>
      <c r="AI403" s="152"/>
      <c r="AJ403" s="152"/>
      <c r="AK403" s="152"/>
      <c r="AL403" s="152"/>
      <c r="AM403" s="152"/>
      <c r="AN403" s="152"/>
      <c r="AO403" s="152"/>
      <c r="AP403" s="152"/>
      <c r="AQ403" s="152"/>
      <c r="AR403" s="152"/>
      <c r="AS403" s="152"/>
      <c r="AT403" s="152"/>
      <c r="AU403" s="152"/>
      <c r="AV403" s="152"/>
      <c r="AW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  <c r="AH404" s="152"/>
      <c r="AI404" s="152"/>
      <c r="AJ404" s="152"/>
      <c r="AK404" s="152"/>
      <c r="AL404" s="152"/>
      <c r="AM404" s="152"/>
      <c r="AN404" s="152"/>
      <c r="AO404" s="152"/>
      <c r="AP404" s="152"/>
      <c r="AQ404" s="152"/>
      <c r="AR404" s="152"/>
      <c r="AS404" s="152"/>
      <c r="AT404" s="152"/>
      <c r="AU404" s="152"/>
      <c r="AV404" s="152"/>
      <c r="AW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  <c r="AH405" s="152"/>
      <c r="AI405" s="152"/>
      <c r="AJ405" s="152"/>
      <c r="AK405" s="152"/>
      <c r="AL405" s="152"/>
      <c r="AM405" s="152"/>
      <c r="AN405" s="152"/>
      <c r="AO405" s="152"/>
      <c r="AP405" s="152"/>
      <c r="AQ405" s="152"/>
      <c r="AR405" s="152"/>
      <c r="AS405" s="152"/>
      <c r="AT405" s="152"/>
      <c r="AU405" s="152"/>
      <c r="AV405" s="152"/>
      <c r="AW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  <c r="AH406" s="152"/>
      <c r="AI406" s="152"/>
      <c r="AJ406" s="152"/>
      <c r="AK406" s="152"/>
      <c r="AL406" s="152"/>
      <c r="AM406" s="152"/>
      <c r="AN406" s="152"/>
      <c r="AO406" s="152"/>
      <c r="AP406" s="152"/>
      <c r="AQ406" s="152"/>
      <c r="AR406" s="152"/>
      <c r="AS406" s="152"/>
      <c r="AT406" s="152"/>
      <c r="AU406" s="152"/>
      <c r="AV406" s="152"/>
      <c r="AW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  <c r="AH407" s="152"/>
      <c r="AI407" s="152"/>
      <c r="AJ407" s="152"/>
      <c r="AK407" s="152"/>
      <c r="AL407" s="152"/>
      <c r="AM407" s="152"/>
      <c r="AN407" s="152"/>
      <c r="AO407" s="152"/>
      <c r="AP407" s="152"/>
      <c r="AQ407" s="152"/>
      <c r="AR407" s="152"/>
      <c r="AS407" s="152"/>
      <c r="AT407" s="152"/>
      <c r="AU407" s="152"/>
      <c r="AV407" s="152"/>
      <c r="AW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  <c r="AH408" s="152"/>
      <c r="AI408" s="152"/>
      <c r="AJ408" s="152"/>
      <c r="AK408" s="152"/>
      <c r="AL408" s="152"/>
      <c r="AM408" s="152"/>
      <c r="AN408" s="152"/>
      <c r="AO408" s="152"/>
      <c r="AP408" s="152"/>
      <c r="AQ408" s="152"/>
      <c r="AR408" s="152"/>
      <c r="AS408" s="152"/>
      <c r="AT408" s="152"/>
      <c r="AU408" s="152"/>
      <c r="AV408" s="152"/>
      <c r="AW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  <c r="AH409" s="152"/>
      <c r="AI409" s="152"/>
      <c r="AJ409" s="152"/>
      <c r="AK409" s="152"/>
      <c r="AL409" s="152"/>
      <c r="AM409" s="152"/>
      <c r="AN409" s="152"/>
      <c r="AO409" s="152"/>
      <c r="AP409" s="152"/>
      <c r="AQ409" s="152"/>
      <c r="AR409" s="152"/>
      <c r="AS409" s="152"/>
      <c r="AT409" s="152"/>
      <c r="AU409" s="152"/>
      <c r="AV409" s="152"/>
      <c r="AW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  <c r="AH410" s="152"/>
      <c r="AI410" s="152"/>
      <c r="AJ410" s="152"/>
      <c r="AK410" s="152"/>
      <c r="AL410" s="152"/>
      <c r="AM410" s="152"/>
      <c r="AN410" s="152"/>
      <c r="AO410" s="152"/>
      <c r="AP410" s="152"/>
      <c r="AQ410" s="152"/>
      <c r="AR410" s="152"/>
      <c r="AS410" s="152"/>
      <c r="AT410" s="152"/>
      <c r="AU410" s="152"/>
      <c r="AV410" s="152"/>
      <c r="AW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  <c r="AH411" s="152"/>
      <c r="AI411" s="152"/>
      <c r="AJ411" s="152"/>
      <c r="AK411" s="152"/>
      <c r="AL411" s="152"/>
      <c r="AM411" s="152"/>
      <c r="AN411" s="152"/>
      <c r="AO411" s="152"/>
      <c r="AP411" s="152"/>
      <c r="AQ411" s="152"/>
      <c r="AR411" s="152"/>
      <c r="AS411" s="152"/>
      <c r="AT411" s="152"/>
      <c r="AU411" s="152"/>
      <c r="AV411" s="152"/>
      <c r="AW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  <c r="AH412" s="152"/>
      <c r="AI412" s="152"/>
      <c r="AJ412" s="152"/>
      <c r="AK412" s="152"/>
      <c r="AL412" s="152"/>
      <c r="AM412" s="152"/>
      <c r="AN412" s="152"/>
      <c r="AO412" s="152"/>
      <c r="AP412" s="152"/>
      <c r="AQ412" s="152"/>
      <c r="AR412" s="152"/>
      <c r="AS412" s="152"/>
      <c r="AT412" s="152"/>
      <c r="AU412" s="152"/>
      <c r="AV412" s="152"/>
      <c r="AW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  <c r="AH413" s="152"/>
      <c r="AI413" s="152"/>
      <c r="AJ413" s="152"/>
      <c r="AK413" s="152"/>
      <c r="AL413" s="152"/>
      <c r="AM413" s="152"/>
      <c r="AN413" s="152"/>
      <c r="AO413" s="152"/>
      <c r="AP413" s="152"/>
      <c r="AQ413" s="152"/>
      <c r="AR413" s="152"/>
      <c r="AS413" s="152"/>
      <c r="AT413" s="152"/>
      <c r="AU413" s="152"/>
      <c r="AV413" s="152"/>
      <c r="AW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  <c r="AG414" s="152"/>
      <c r="AH414" s="152"/>
      <c r="AI414" s="152"/>
      <c r="AJ414" s="152"/>
      <c r="AK414" s="152"/>
      <c r="AL414" s="152"/>
      <c r="AM414" s="152"/>
      <c r="AN414" s="152"/>
      <c r="AO414" s="152"/>
      <c r="AP414" s="152"/>
      <c r="AQ414" s="152"/>
      <c r="AR414" s="152"/>
      <c r="AS414" s="152"/>
      <c r="AT414" s="152"/>
      <c r="AU414" s="152"/>
      <c r="AV414" s="152"/>
      <c r="AW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  <c r="AH415" s="152"/>
      <c r="AI415" s="152"/>
      <c r="AJ415" s="152"/>
      <c r="AK415" s="152"/>
      <c r="AL415" s="152"/>
      <c r="AM415" s="152"/>
      <c r="AN415" s="152"/>
      <c r="AO415" s="152"/>
      <c r="AP415" s="152"/>
      <c r="AQ415" s="152"/>
      <c r="AR415" s="152"/>
      <c r="AS415" s="152"/>
      <c r="AT415" s="152"/>
      <c r="AU415" s="152"/>
      <c r="AV415" s="152"/>
      <c r="AW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  <c r="AH416" s="152"/>
      <c r="AI416" s="152"/>
      <c r="AJ416" s="152"/>
      <c r="AK416" s="152"/>
      <c r="AL416" s="152"/>
      <c r="AM416" s="152"/>
      <c r="AN416" s="152"/>
      <c r="AO416" s="152"/>
      <c r="AP416" s="152"/>
      <c r="AQ416" s="152"/>
      <c r="AR416" s="152"/>
      <c r="AS416" s="152"/>
      <c r="AT416" s="152"/>
      <c r="AU416" s="152"/>
      <c r="AV416" s="152"/>
      <c r="AW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  <c r="AH417" s="152"/>
      <c r="AI417" s="152"/>
      <c r="AJ417" s="152"/>
      <c r="AK417" s="152"/>
      <c r="AL417" s="152"/>
      <c r="AM417" s="152"/>
      <c r="AN417" s="152"/>
      <c r="AO417" s="152"/>
      <c r="AP417" s="152"/>
      <c r="AQ417" s="152"/>
      <c r="AR417" s="152"/>
      <c r="AS417" s="152"/>
      <c r="AT417" s="152"/>
      <c r="AU417" s="152"/>
      <c r="AV417" s="152"/>
      <c r="AW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  <c r="AH418" s="152"/>
      <c r="AI418" s="152"/>
      <c r="AJ418" s="152"/>
      <c r="AK418" s="152"/>
      <c r="AL418" s="152"/>
      <c r="AM418" s="152"/>
      <c r="AN418" s="152"/>
      <c r="AO418" s="152"/>
      <c r="AP418" s="152"/>
      <c r="AQ418" s="152"/>
      <c r="AR418" s="152"/>
      <c r="AS418" s="152"/>
      <c r="AT418" s="152"/>
      <c r="AU418" s="152"/>
      <c r="AV418" s="152"/>
      <c r="AW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  <c r="AH419" s="152"/>
      <c r="AI419" s="152"/>
      <c r="AJ419" s="152"/>
      <c r="AK419" s="152"/>
      <c r="AL419" s="152"/>
      <c r="AM419" s="152"/>
      <c r="AN419" s="152"/>
      <c r="AO419" s="152"/>
      <c r="AP419" s="152"/>
      <c r="AQ419" s="152"/>
      <c r="AR419" s="152"/>
      <c r="AS419" s="152"/>
      <c r="AT419" s="152"/>
      <c r="AU419" s="152"/>
      <c r="AV419" s="152"/>
      <c r="AW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  <c r="AH420" s="152"/>
      <c r="AI420" s="152"/>
      <c r="AJ420" s="152"/>
      <c r="AK420" s="152"/>
      <c r="AL420" s="152"/>
      <c r="AM420" s="152"/>
      <c r="AN420" s="152"/>
      <c r="AO420" s="152"/>
      <c r="AP420" s="152"/>
      <c r="AQ420" s="152"/>
      <c r="AR420" s="152"/>
      <c r="AS420" s="152"/>
      <c r="AT420" s="152"/>
      <c r="AU420" s="152"/>
      <c r="AV420" s="152"/>
      <c r="AW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  <c r="AH421" s="152"/>
      <c r="AI421" s="152"/>
      <c r="AJ421" s="152"/>
      <c r="AK421" s="152"/>
      <c r="AL421" s="152"/>
      <c r="AM421" s="152"/>
      <c r="AN421" s="152"/>
      <c r="AO421" s="152"/>
      <c r="AP421" s="152"/>
      <c r="AQ421" s="152"/>
      <c r="AR421" s="152"/>
      <c r="AS421" s="152"/>
      <c r="AT421" s="152"/>
      <c r="AU421" s="152"/>
      <c r="AV421" s="152"/>
      <c r="AW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  <c r="AH422" s="152"/>
      <c r="AI422" s="152"/>
      <c r="AJ422" s="152"/>
      <c r="AK422" s="152"/>
      <c r="AL422" s="152"/>
      <c r="AM422" s="152"/>
      <c r="AN422" s="152"/>
      <c r="AO422" s="152"/>
      <c r="AP422" s="152"/>
      <c r="AQ422" s="152"/>
      <c r="AR422" s="152"/>
      <c r="AS422" s="152"/>
      <c r="AT422" s="152"/>
      <c r="AU422" s="152"/>
      <c r="AV422" s="152"/>
      <c r="AW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  <c r="AH423" s="152"/>
      <c r="AI423" s="152"/>
      <c r="AJ423" s="152"/>
      <c r="AK423" s="152"/>
      <c r="AL423" s="152"/>
      <c r="AM423" s="152"/>
      <c r="AN423" s="152"/>
      <c r="AO423" s="152"/>
      <c r="AP423" s="152"/>
      <c r="AQ423" s="152"/>
      <c r="AR423" s="152"/>
      <c r="AS423" s="152"/>
      <c r="AT423" s="152"/>
      <c r="AU423" s="152"/>
      <c r="AV423" s="152"/>
      <c r="AW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  <c r="AH424" s="152"/>
      <c r="AI424" s="152"/>
      <c r="AJ424" s="152"/>
      <c r="AK424" s="152"/>
      <c r="AL424" s="152"/>
      <c r="AM424" s="152"/>
      <c r="AN424" s="152"/>
      <c r="AO424" s="152"/>
      <c r="AP424" s="152"/>
      <c r="AQ424" s="152"/>
      <c r="AR424" s="152"/>
      <c r="AS424" s="152"/>
      <c r="AT424" s="152"/>
      <c r="AU424" s="152"/>
      <c r="AV424" s="152"/>
      <c r="AW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  <c r="AH425" s="152"/>
      <c r="AI425" s="152"/>
      <c r="AJ425" s="152"/>
      <c r="AK425" s="152"/>
      <c r="AL425" s="152"/>
      <c r="AM425" s="152"/>
      <c r="AN425" s="152"/>
      <c r="AO425" s="152"/>
      <c r="AP425" s="152"/>
      <c r="AQ425" s="152"/>
      <c r="AR425" s="152"/>
      <c r="AS425" s="152"/>
      <c r="AT425" s="152"/>
      <c r="AU425" s="152"/>
      <c r="AV425" s="152"/>
      <c r="AW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  <c r="AQ426" s="152"/>
      <c r="AR426" s="152"/>
      <c r="AS426" s="152"/>
      <c r="AT426" s="152"/>
      <c r="AU426" s="152"/>
      <c r="AV426" s="152"/>
      <c r="AW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  <c r="AQ427" s="152"/>
      <c r="AR427" s="152"/>
      <c r="AS427" s="152"/>
      <c r="AT427" s="152"/>
      <c r="AU427" s="152"/>
      <c r="AV427" s="152"/>
      <c r="AW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  <c r="AQ428" s="152"/>
      <c r="AR428" s="152"/>
      <c r="AS428" s="152"/>
      <c r="AT428" s="152"/>
      <c r="AU428" s="152"/>
      <c r="AV428" s="152"/>
      <c r="AW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  <c r="AQ429" s="152"/>
      <c r="AR429" s="152"/>
      <c r="AS429" s="152"/>
      <c r="AT429" s="152"/>
      <c r="AU429" s="152"/>
      <c r="AV429" s="152"/>
      <c r="AW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  <c r="AQ430" s="152"/>
      <c r="AR430" s="152"/>
      <c r="AS430" s="152"/>
      <c r="AT430" s="152"/>
      <c r="AU430" s="152"/>
      <c r="AV430" s="152"/>
      <c r="AW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  <c r="AQ431" s="152"/>
      <c r="AR431" s="152"/>
      <c r="AS431" s="152"/>
      <c r="AT431" s="152"/>
      <c r="AU431" s="152"/>
      <c r="AV431" s="152"/>
      <c r="AW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  <c r="AH432" s="152"/>
      <c r="AI432" s="152"/>
      <c r="AJ432" s="152"/>
      <c r="AK432" s="152"/>
      <c r="AL432" s="152"/>
      <c r="AM432" s="152"/>
      <c r="AN432" s="152"/>
      <c r="AO432" s="152"/>
      <c r="AP432" s="152"/>
      <c r="AQ432" s="152"/>
      <c r="AR432" s="152"/>
      <c r="AS432" s="152"/>
      <c r="AT432" s="152"/>
      <c r="AU432" s="152"/>
      <c r="AV432" s="152"/>
      <c r="AW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  <c r="AH433" s="152"/>
      <c r="AI433" s="152"/>
      <c r="AJ433" s="152"/>
      <c r="AK433" s="152"/>
      <c r="AL433" s="152"/>
      <c r="AM433" s="152"/>
      <c r="AN433" s="152"/>
      <c r="AO433" s="152"/>
      <c r="AP433" s="152"/>
      <c r="AQ433" s="152"/>
      <c r="AR433" s="152"/>
      <c r="AS433" s="152"/>
      <c r="AT433" s="152"/>
      <c r="AU433" s="152"/>
      <c r="AV433" s="152"/>
      <c r="AW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  <c r="AH434" s="152"/>
      <c r="AI434" s="152"/>
      <c r="AJ434" s="152"/>
      <c r="AK434" s="152"/>
      <c r="AL434" s="152"/>
      <c r="AM434" s="152"/>
      <c r="AN434" s="152"/>
      <c r="AO434" s="152"/>
      <c r="AP434" s="152"/>
      <c r="AQ434" s="152"/>
      <c r="AR434" s="152"/>
      <c r="AS434" s="152"/>
      <c r="AT434" s="152"/>
      <c r="AU434" s="152"/>
      <c r="AV434" s="152"/>
      <c r="AW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  <c r="AH435" s="152"/>
      <c r="AI435" s="152"/>
      <c r="AJ435" s="152"/>
      <c r="AK435" s="152"/>
      <c r="AL435" s="152"/>
      <c r="AM435" s="152"/>
      <c r="AN435" s="152"/>
      <c r="AO435" s="152"/>
      <c r="AP435" s="152"/>
      <c r="AQ435" s="152"/>
      <c r="AR435" s="152"/>
      <c r="AS435" s="152"/>
      <c r="AT435" s="152"/>
      <c r="AU435" s="152"/>
      <c r="AV435" s="152"/>
      <c r="AW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  <c r="AH436" s="152"/>
      <c r="AI436" s="152"/>
      <c r="AJ436" s="152"/>
      <c r="AK436" s="152"/>
      <c r="AL436" s="152"/>
      <c r="AM436" s="152"/>
      <c r="AN436" s="152"/>
      <c r="AO436" s="152"/>
      <c r="AP436" s="152"/>
      <c r="AQ436" s="152"/>
      <c r="AR436" s="152"/>
      <c r="AS436" s="152"/>
      <c r="AT436" s="152"/>
      <c r="AU436" s="152"/>
      <c r="AV436" s="152"/>
      <c r="AW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  <c r="AH437" s="152"/>
      <c r="AI437" s="152"/>
      <c r="AJ437" s="152"/>
      <c r="AK437" s="152"/>
      <c r="AL437" s="152"/>
      <c r="AM437" s="152"/>
      <c r="AN437" s="152"/>
      <c r="AO437" s="152"/>
      <c r="AP437" s="152"/>
      <c r="AQ437" s="152"/>
      <c r="AR437" s="152"/>
      <c r="AS437" s="152"/>
      <c r="AT437" s="152"/>
      <c r="AU437" s="152"/>
      <c r="AV437" s="152"/>
      <c r="AW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  <c r="AH438" s="152"/>
      <c r="AI438" s="152"/>
      <c r="AJ438" s="152"/>
      <c r="AK438" s="152"/>
      <c r="AL438" s="152"/>
      <c r="AM438" s="152"/>
      <c r="AN438" s="152"/>
      <c r="AO438" s="152"/>
      <c r="AP438" s="152"/>
      <c r="AQ438" s="152"/>
      <c r="AR438" s="152"/>
      <c r="AS438" s="152"/>
      <c r="AT438" s="152"/>
      <c r="AU438" s="152"/>
      <c r="AV438" s="152"/>
      <c r="AW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  <c r="AG439" s="152"/>
      <c r="AH439" s="152"/>
      <c r="AI439" s="152"/>
      <c r="AJ439" s="152"/>
      <c r="AK439" s="152"/>
      <c r="AL439" s="152"/>
      <c r="AM439" s="152"/>
      <c r="AN439" s="152"/>
      <c r="AO439" s="152"/>
      <c r="AP439" s="152"/>
      <c r="AQ439" s="152"/>
      <c r="AR439" s="152"/>
      <c r="AS439" s="152"/>
      <c r="AT439" s="152"/>
      <c r="AU439" s="152"/>
      <c r="AV439" s="152"/>
      <c r="AW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  <c r="AG440" s="152"/>
      <c r="AH440" s="152"/>
      <c r="AI440" s="152"/>
      <c r="AJ440" s="152"/>
      <c r="AK440" s="152"/>
      <c r="AL440" s="152"/>
      <c r="AM440" s="152"/>
      <c r="AN440" s="152"/>
      <c r="AO440" s="152"/>
      <c r="AP440" s="152"/>
      <c r="AQ440" s="152"/>
      <c r="AR440" s="152"/>
      <c r="AS440" s="152"/>
      <c r="AT440" s="152"/>
      <c r="AU440" s="152"/>
      <c r="AV440" s="152"/>
      <c r="AW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  <c r="AG441" s="152"/>
      <c r="AH441" s="152"/>
      <c r="AI441" s="152"/>
      <c r="AJ441" s="152"/>
      <c r="AK441" s="152"/>
      <c r="AL441" s="152"/>
      <c r="AM441" s="152"/>
      <c r="AN441" s="152"/>
      <c r="AO441" s="152"/>
      <c r="AP441" s="152"/>
      <c r="AQ441" s="152"/>
      <c r="AR441" s="152"/>
      <c r="AS441" s="152"/>
      <c r="AT441" s="152"/>
      <c r="AU441" s="152"/>
      <c r="AV441" s="152"/>
      <c r="AW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  <c r="AG442" s="152"/>
      <c r="AH442" s="152"/>
      <c r="AI442" s="152"/>
      <c r="AJ442" s="152"/>
      <c r="AK442" s="152"/>
      <c r="AL442" s="152"/>
      <c r="AM442" s="152"/>
      <c r="AN442" s="152"/>
      <c r="AO442" s="152"/>
      <c r="AP442" s="152"/>
      <c r="AQ442" s="152"/>
      <c r="AR442" s="152"/>
      <c r="AS442" s="152"/>
      <c r="AT442" s="152"/>
      <c r="AU442" s="152"/>
      <c r="AV442" s="152"/>
      <c r="AW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  <c r="AG443" s="152"/>
      <c r="AH443" s="152"/>
      <c r="AI443" s="152"/>
      <c r="AJ443" s="152"/>
      <c r="AK443" s="152"/>
      <c r="AL443" s="152"/>
      <c r="AM443" s="152"/>
      <c r="AN443" s="152"/>
      <c r="AO443" s="152"/>
      <c r="AP443" s="152"/>
      <c r="AQ443" s="152"/>
      <c r="AR443" s="152"/>
      <c r="AS443" s="152"/>
      <c r="AT443" s="152"/>
      <c r="AU443" s="152"/>
      <c r="AV443" s="152"/>
      <c r="AW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  <c r="AG444" s="152"/>
      <c r="AH444" s="152"/>
      <c r="AI444" s="152"/>
      <c r="AJ444" s="152"/>
      <c r="AK444" s="152"/>
      <c r="AL444" s="152"/>
      <c r="AM444" s="152"/>
      <c r="AN444" s="152"/>
      <c r="AO444" s="152"/>
      <c r="AP444" s="152"/>
      <c r="AQ444" s="152"/>
      <c r="AR444" s="152"/>
      <c r="AS444" s="152"/>
      <c r="AT444" s="152"/>
      <c r="AU444" s="152"/>
      <c r="AV444" s="152"/>
      <c r="AW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  <c r="AG445" s="152"/>
      <c r="AH445" s="152"/>
      <c r="AI445" s="152"/>
      <c r="AJ445" s="152"/>
      <c r="AK445" s="152"/>
      <c r="AL445" s="152"/>
      <c r="AM445" s="152"/>
      <c r="AN445" s="152"/>
      <c r="AO445" s="152"/>
      <c r="AP445" s="152"/>
      <c r="AQ445" s="152"/>
      <c r="AR445" s="152"/>
      <c r="AS445" s="152"/>
      <c r="AT445" s="152"/>
      <c r="AU445" s="152"/>
      <c r="AV445" s="152"/>
      <c r="AW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  <c r="AG446" s="152"/>
      <c r="AH446" s="152"/>
      <c r="AI446" s="152"/>
      <c r="AJ446" s="152"/>
      <c r="AK446" s="152"/>
      <c r="AL446" s="152"/>
      <c r="AM446" s="152"/>
      <c r="AN446" s="152"/>
      <c r="AO446" s="152"/>
      <c r="AP446" s="152"/>
      <c r="AQ446" s="152"/>
      <c r="AR446" s="152"/>
      <c r="AS446" s="152"/>
      <c r="AT446" s="152"/>
      <c r="AU446" s="152"/>
      <c r="AV446" s="152"/>
      <c r="AW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  <c r="AG447" s="152"/>
      <c r="AH447" s="152"/>
      <c r="AI447" s="152"/>
      <c r="AJ447" s="152"/>
      <c r="AK447" s="152"/>
      <c r="AL447" s="152"/>
      <c r="AM447" s="152"/>
      <c r="AN447" s="152"/>
      <c r="AO447" s="152"/>
      <c r="AP447" s="152"/>
      <c r="AQ447" s="152"/>
      <c r="AR447" s="152"/>
      <c r="AS447" s="152"/>
      <c r="AT447" s="152"/>
      <c r="AU447" s="152"/>
      <c r="AV447" s="152"/>
      <c r="AW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  <c r="AG448" s="152"/>
      <c r="AH448" s="152"/>
      <c r="AI448" s="152"/>
      <c r="AJ448" s="152"/>
      <c r="AK448" s="152"/>
      <c r="AL448" s="152"/>
      <c r="AM448" s="152"/>
      <c r="AN448" s="152"/>
      <c r="AO448" s="152"/>
      <c r="AP448" s="152"/>
      <c r="AQ448" s="152"/>
      <c r="AR448" s="152"/>
      <c r="AS448" s="152"/>
      <c r="AT448" s="152"/>
      <c r="AU448" s="152"/>
      <c r="AV448" s="152"/>
      <c r="AW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  <c r="AH449" s="152"/>
      <c r="AI449" s="152"/>
      <c r="AJ449" s="152"/>
      <c r="AK449" s="152"/>
      <c r="AL449" s="152"/>
      <c r="AM449" s="152"/>
      <c r="AN449" s="152"/>
      <c r="AO449" s="152"/>
      <c r="AP449" s="152"/>
      <c r="AQ449" s="152"/>
      <c r="AR449" s="152"/>
      <c r="AS449" s="152"/>
      <c r="AT449" s="152"/>
      <c r="AU449" s="152"/>
      <c r="AV449" s="152"/>
      <c r="AW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  <c r="AG450" s="152"/>
      <c r="AH450" s="152"/>
      <c r="AI450" s="152"/>
      <c r="AJ450" s="152"/>
      <c r="AK450" s="152"/>
      <c r="AL450" s="152"/>
      <c r="AM450" s="152"/>
      <c r="AN450" s="152"/>
      <c r="AO450" s="152"/>
      <c r="AP450" s="152"/>
      <c r="AQ450" s="152"/>
      <c r="AR450" s="152"/>
      <c r="AS450" s="152"/>
      <c r="AT450" s="152"/>
      <c r="AU450" s="152"/>
      <c r="AV450" s="152"/>
      <c r="AW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  <c r="AG451" s="152"/>
      <c r="AH451" s="152"/>
      <c r="AI451" s="152"/>
      <c r="AJ451" s="152"/>
      <c r="AK451" s="152"/>
      <c r="AL451" s="152"/>
      <c r="AM451" s="152"/>
      <c r="AN451" s="152"/>
      <c r="AO451" s="152"/>
      <c r="AP451" s="152"/>
      <c r="AQ451" s="152"/>
      <c r="AR451" s="152"/>
      <c r="AS451" s="152"/>
      <c r="AT451" s="152"/>
      <c r="AU451" s="152"/>
      <c r="AV451" s="152"/>
      <c r="AW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  <c r="AG452" s="152"/>
      <c r="AH452" s="152"/>
      <c r="AI452" s="152"/>
      <c r="AJ452" s="152"/>
      <c r="AK452" s="152"/>
      <c r="AL452" s="152"/>
      <c r="AM452" s="152"/>
      <c r="AN452" s="152"/>
      <c r="AO452" s="152"/>
      <c r="AP452" s="152"/>
      <c r="AQ452" s="152"/>
      <c r="AR452" s="152"/>
      <c r="AS452" s="152"/>
      <c r="AT452" s="152"/>
      <c r="AU452" s="152"/>
      <c r="AV452" s="152"/>
      <c r="AW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  <c r="AG453" s="152"/>
      <c r="AH453" s="152"/>
      <c r="AI453" s="152"/>
      <c r="AJ453" s="152"/>
      <c r="AK453" s="152"/>
      <c r="AL453" s="152"/>
      <c r="AM453" s="152"/>
      <c r="AN453" s="152"/>
      <c r="AO453" s="152"/>
      <c r="AP453" s="152"/>
      <c r="AQ453" s="152"/>
      <c r="AR453" s="152"/>
      <c r="AS453" s="152"/>
      <c r="AT453" s="152"/>
      <c r="AU453" s="152"/>
      <c r="AV453" s="152"/>
      <c r="AW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  <c r="AG454" s="152"/>
      <c r="AH454" s="152"/>
      <c r="AI454" s="152"/>
      <c r="AJ454" s="152"/>
      <c r="AK454" s="152"/>
      <c r="AL454" s="152"/>
      <c r="AM454" s="152"/>
      <c r="AN454" s="152"/>
      <c r="AO454" s="152"/>
      <c r="AP454" s="152"/>
      <c r="AQ454" s="152"/>
      <c r="AR454" s="152"/>
      <c r="AS454" s="152"/>
      <c r="AT454" s="152"/>
      <c r="AU454" s="152"/>
      <c r="AV454" s="152"/>
      <c r="AW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  <c r="AG455" s="152"/>
      <c r="AH455" s="152"/>
      <c r="AI455" s="152"/>
      <c r="AJ455" s="152"/>
      <c r="AK455" s="152"/>
      <c r="AL455" s="152"/>
      <c r="AM455" s="152"/>
      <c r="AN455" s="152"/>
      <c r="AO455" s="152"/>
      <c r="AP455" s="152"/>
      <c r="AQ455" s="152"/>
      <c r="AR455" s="152"/>
      <c r="AS455" s="152"/>
      <c r="AT455" s="152"/>
      <c r="AU455" s="152"/>
      <c r="AV455" s="152"/>
      <c r="AW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  <c r="AG456" s="152"/>
      <c r="AH456" s="152"/>
      <c r="AI456" s="152"/>
      <c r="AJ456" s="152"/>
      <c r="AK456" s="152"/>
      <c r="AL456" s="152"/>
      <c r="AM456" s="152"/>
      <c r="AN456" s="152"/>
      <c r="AO456" s="152"/>
      <c r="AP456" s="152"/>
      <c r="AQ456" s="152"/>
      <c r="AR456" s="152"/>
      <c r="AS456" s="152"/>
      <c r="AT456" s="152"/>
      <c r="AU456" s="152"/>
      <c r="AV456" s="152"/>
      <c r="AW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  <c r="AG457" s="152"/>
      <c r="AH457" s="152"/>
      <c r="AI457" s="152"/>
      <c r="AJ457" s="152"/>
      <c r="AK457" s="152"/>
      <c r="AL457" s="152"/>
      <c r="AM457" s="152"/>
      <c r="AN457" s="152"/>
      <c r="AO457" s="152"/>
      <c r="AP457" s="152"/>
      <c r="AQ457" s="152"/>
      <c r="AR457" s="152"/>
      <c r="AS457" s="152"/>
      <c r="AT457" s="152"/>
      <c r="AU457" s="152"/>
      <c r="AV457" s="152"/>
      <c r="AW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  <c r="AG458" s="152"/>
      <c r="AH458" s="152"/>
      <c r="AI458" s="152"/>
      <c r="AJ458" s="152"/>
      <c r="AK458" s="152"/>
      <c r="AL458" s="152"/>
      <c r="AM458" s="152"/>
      <c r="AN458" s="152"/>
      <c r="AO458" s="152"/>
      <c r="AP458" s="152"/>
      <c r="AQ458" s="152"/>
      <c r="AR458" s="152"/>
      <c r="AS458" s="152"/>
      <c r="AT458" s="152"/>
      <c r="AU458" s="152"/>
      <c r="AV458" s="152"/>
      <c r="AW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  <c r="AG459" s="152"/>
      <c r="AH459" s="152"/>
      <c r="AI459" s="152"/>
      <c r="AJ459" s="152"/>
      <c r="AK459" s="152"/>
      <c r="AL459" s="152"/>
      <c r="AM459" s="152"/>
      <c r="AN459" s="152"/>
      <c r="AO459" s="152"/>
      <c r="AP459" s="152"/>
      <c r="AQ459" s="152"/>
      <c r="AR459" s="152"/>
      <c r="AS459" s="152"/>
      <c r="AT459" s="152"/>
      <c r="AU459" s="152"/>
      <c r="AV459" s="152"/>
      <c r="AW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  <c r="AG460" s="152"/>
      <c r="AH460" s="152"/>
      <c r="AI460" s="152"/>
      <c r="AJ460" s="152"/>
      <c r="AK460" s="152"/>
      <c r="AL460" s="152"/>
      <c r="AM460" s="152"/>
      <c r="AN460" s="152"/>
      <c r="AO460" s="152"/>
      <c r="AP460" s="152"/>
      <c r="AQ460" s="152"/>
      <c r="AR460" s="152"/>
      <c r="AS460" s="152"/>
      <c r="AT460" s="152"/>
      <c r="AU460" s="152"/>
      <c r="AV460" s="152"/>
      <c r="AW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  <c r="AG461" s="152"/>
      <c r="AH461" s="152"/>
      <c r="AI461" s="152"/>
      <c r="AJ461" s="152"/>
      <c r="AK461" s="152"/>
      <c r="AL461" s="152"/>
      <c r="AM461" s="152"/>
      <c r="AN461" s="152"/>
      <c r="AO461" s="152"/>
      <c r="AP461" s="152"/>
      <c r="AQ461" s="152"/>
      <c r="AR461" s="152"/>
      <c r="AS461" s="152"/>
      <c r="AT461" s="152"/>
      <c r="AU461" s="152"/>
      <c r="AV461" s="152"/>
      <c r="AW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  <c r="AG462" s="152"/>
      <c r="AH462" s="152"/>
      <c r="AI462" s="152"/>
      <c r="AJ462" s="152"/>
      <c r="AK462" s="152"/>
      <c r="AL462" s="152"/>
      <c r="AM462" s="152"/>
      <c r="AN462" s="152"/>
      <c r="AO462" s="152"/>
      <c r="AP462" s="152"/>
      <c r="AQ462" s="152"/>
      <c r="AR462" s="152"/>
      <c r="AS462" s="152"/>
      <c r="AT462" s="152"/>
      <c r="AU462" s="152"/>
      <c r="AV462" s="152"/>
      <c r="AW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  <c r="AG463" s="152"/>
      <c r="AH463" s="152"/>
      <c r="AI463" s="152"/>
      <c r="AJ463" s="152"/>
      <c r="AK463" s="152"/>
      <c r="AL463" s="152"/>
      <c r="AM463" s="152"/>
      <c r="AN463" s="152"/>
      <c r="AO463" s="152"/>
      <c r="AP463" s="152"/>
      <c r="AQ463" s="152"/>
      <c r="AR463" s="152"/>
      <c r="AS463" s="152"/>
      <c r="AT463" s="152"/>
      <c r="AU463" s="152"/>
      <c r="AV463" s="152"/>
      <c r="AW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  <c r="AG464" s="152"/>
      <c r="AH464" s="152"/>
      <c r="AI464" s="152"/>
      <c r="AJ464" s="152"/>
      <c r="AK464" s="152"/>
      <c r="AL464" s="152"/>
      <c r="AM464" s="152"/>
      <c r="AN464" s="152"/>
      <c r="AO464" s="152"/>
      <c r="AP464" s="152"/>
      <c r="AQ464" s="152"/>
      <c r="AR464" s="152"/>
      <c r="AS464" s="152"/>
      <c r="AT464" s="152"/>
      <c r="AU464" s="152"/>
      <c r="AV464" s="152"/>
      <c r="AW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  <c r="AG465" s="152"/>
      <c r="AH465" s="152"/>
      <c r="AI465" s="152"/>
      <c r="AJ465" s="152"/>
      <c r="AK465" s="152"/>
      <c r="AL465" s="152"/>
      <c r="AM465" s="152"/>
      <c r="AN465" s="152"/>
      <c r="AO465" s="152"/>
      <c r="AP465" s="152"/>
      <c r="AQ465" s="152"/>
      <c r="AR465" s="152"/>
      <c r="AS465" s="152"/>
      <c r="AT465" s="152"/>
      <c r="AU465" s="152"/>
      <c r="AV465" s="152"/>
      <c r="AW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  <c r="AH466" s="152"/>
      <c r="AI466" s="152"/>
      <c r="AJ466" s="152"/>
      <c r="AK466" s="152"/>
      <c r="AL466" s="152"/>
      <c r="AM466" s="152"/>
      <c r="AN466" s="152"/>
      <c r="AO466" s="152"/>
      <c r="AP466" s="152"/>
      <c r="AQ466" s="152"/>
      <c r="AR466" s="152"/>
      <c r="AS466" s="152"/>
      <c r="AT466" s="152"/>
      <c r="AU466" s="152"/>
      <c r="AV466" s="152"/>
      <c r="AW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  <c r="AH467" s="152"/>
      <c r="AI467" s="152"/>
      <c r="AJ467" s="152"/>
      <c r="AK467" s="152"/>
      <c r="AL467" s="152"/>
      <c r="AM467" s="152"/>
      <c r="AN467" s="152"/>
      <c r="AO467" s="152"/>
      <c r="AP467" s="152"/>
      <c r="AQ467" s="152"/>
      <c r="AR467" s="152"/>
      <c r="AS467" s="152"/>
      <c r="AT467" s="152"/>
      <c r="AU467" s="152"/>
      <c r="AV467" s="152"/>
      <c r="AW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  <c r="AH468" s="152"/>
      <c r="AI468" s="152"/>
      <c r="AJ468" s="152"/>
      <c r="AK468" s="152"/>
      <c r="AL468" s="152"/>
      <c r="AM468" s="152"/>
      <c r="AN468" s="152"/>
      <c r="AO468" s="152"/>
      <c r="AP468" s="152"/>
      <c r="AQ468" s="152"/>
      <c r="AR468" s="152"/>
      <c r="AS468" s="152"/>
      <c r="AT468" s="152"/>
      <c r="AU468" s="152"/>
      <c r="AV468" s="152"/>
      <c r="AW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  <c r="AH469" s="152"/>
      <c r="AI469" s="152"/>
      <c r="AJ469" s="152"/>
      <c r="AK469" s="152"/>
      <c r="AL469" s="152"/>
      <c r="AM469" s="152"/>
      <c r="AN469" s="152"/>
      <c r="AO469" s="152"/>
      <c r="AP469" s="152"/>
      <c r="AQ469" s="152"/>
      <c r="AR469" s="152"/>
      <c r="AS469" s="152"/>
      <c r="AT469" s="152"/>
      <c r="AU469" s="152"/>
      <c r="AV469" s="152"/>
      <c r="AW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  <c r="AH470" s="152"/>
      <c r="AI470" s="152"/>
      <c r="AJ470" s="152"/>
      <c r="AK470" s="152"/>
      <c r="AL470" s="152"/>
      <c r="AM470" s="152"/>
      <c r="AN470" s="152"/>
      <c r="AO470" s="152"/>
      <c r="AP470" s="152"/>
      <c r="AQ470" s="152"/>
      <c r="AR470" s="152"/>
      <c r="AS470" s="152"/>
      <c r="AT470" s="152"/>
      <c r="AU470" s="152"/>
      <c r="AV470" s="152"/>
      <c r="AW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  <c r="AH471" s="152"/>
      <c r="AI471" s="152"/>
      <c r="AJ471" s="152"/>
      <c r="AK471" s="152"/>
      <c r="AL471" s="152"/>
      <c r="AM471" s="152"/>
      <c r="AN471" s="152"/>
      <c r="AO471" s="152"/>
      <c r="AP471" s="152"/>
      <c r="AQ471" s="152"/>
      <c r="AR471" s="152"/>
      <c r="AS471" s="152"/>
      <c r="AT471" s="152"/>
      <c r="AU471" s="152"/>
      <c r="AV471" s="152"/>
      <c r="AW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  <c r="AH472" s="152"/>
      <c r="AI472" s="152"/>
      <c r="AJ472" s="152"/>
      <c r="AK472" s="152"/>
      <c r="AL472" s="152"/>
      <c r="AM472" s="152"/>
      <c r="AN472" s="152"/>
      <c r="AO472" s="152"/>
      <c r="AP472" s="152"/>
      <c r="AQ472" s="152"/>
      <c r="AR472" s="152"/>
      <c r="AS472" s="152"/>
      <c r="AT472" s="152"/>
      <c r="AU472" s="152"/>
      <c r="AV472" s="152"/>
      <c r="AW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  <c r="AH473" s="152"/>
      <c r="AI473" s="152"/>
      <c r="AJ473" s="152"/>
      <c r="AK473" s="152"/>
      <c r="AL473" s="152"/>
      <c r="AM473" s="152"/>
      <c r="AN473" s="152"/>
      <c r="AO473" s="152"/>
      <c r="AP473" s="152"/>
      <c r="AQ473" s="152"/>
      <c r="AR473" s="152"/>
      <c r="AS473" s="152"/>
      <c r="AT473" s="152"/>
      <c r="AU473" s="152"/>
      <c r="AV473" s="152"/>
      <c r="AW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  <c r="AH474" s="152"/>
      <c r="AI474" s="152"/>
      <c r="AJ474" s="152"/>
      <c r="AK474" s="152"/>
      <c r="AL474" s="152"/>
      <c r="AM474" s="152"/>
      <c r="AN474" s="152"/>
      <c r="AO474" s="152"/>
      <c r="AP474" s="152"/>
      <c r="AQ474" s="152"/>
      <c r="AR474" s="152"/>
      <c r="AS474" s="152"/>
      <c r="AT474" s="152"/>
      <c r="AU474" s="152"/>
      <c r="AV474" s="152"/>
      <c r="AW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  <c r="AH475" s="152"/>
      <c r="AI475" s="152"/>
      <c r="AJ475" s="152"/>
      <c r="AK475" s="152"/>
      <c r="AL475" s="152"/>
      <c r="AM475" s="152"/>
      <c r="AN475" s="152"/>
      <c r="AO475" s="152"/>
      <c r="AP475" s="152"/>
      <c r="AQ475" s="152"/>
      <c r="AR475" s="152"/>
      <c r="AS475" s="152"/>
      <c r="AT475" s="152"/>
      <c r="AU475" s="152"/>
      <c r="AV475" s="152"/>
      <c r="AW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  <c r="AH476" s="152"/>
      <c r="AI476" s="152"/>
      <c r="AJ476" s="152"/>
      <c r="AK476" s="152"/>
      <c r="AL476" s="152"/>
      <c r="AM476" s="152"/>
      <c r="AN476" s="152"/>
      <c r="AO476" s="152"/>
      <c r="AP476" s="152"/>
      <c r="AQ476" s="152"/>
      <c r="AR476" s="152"/>
      <c r="AS476" s="152"/>
      <c r="AT476" s="152"/>
      <c r="AU476" s="152"/>
      <c r="AV476" s="152"/>
      <c r="AW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  <c r="AH477" s="152"/>
      <c r="AI477" s="152"/>
      <c r="AJ477" s="152"/>
      <c r="AK477" s="152"/>
      <c r="AL477" s="152"/>
      <c r="AM477" s="152"/>
      <c r="AN477" s="152"/>
      <c r="AO477" s="152"/>
      <c r="AP477" s="152"/>
      <c r="AQ477" s="152"/>
      <c r="AR477" s="152"/>
      <c r="AS477" s="152"/>
      <c r="AT477" s="152"/>
      <c r="AU477" s="152"/>
      <c r="AV477" s="152"/>
      <c r="AW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  <c r="AH478" s="152"/>
      <c r="AI478" s="152"/>
      <c r="AJ478" s="152"/>
      <c r="AK478" s="152"/>
      <c r="AL478" s="152"/>
      <c r="AM478" s="152"/>
      <c r="AN478" s="152"/>
      <c r="AO478" s="152"/>
      <c r="AP478" s="152"/>
      <c r="AQ478" s="152"/>
      <c r="AR478" s="152"/>
      <c r="AS478" s="152"/>
      <c r="AT478" s="152"/>
      <c r="AU478" s="152"/>
      <c r="AV478" s="152"/>
      <c r="AW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  <c r="AH479" s="152"/>
      <c r="AI479" s="152"/>
      <c r="AJ479" s="152"/>
      <c r="AK479" s="152"/>
      <c r="AL479" s="152"/>
      <c r="AM479" s="152"/>
      <c r="AN479" s="152"/>
      <c r="AO479" s="152"/>
      <c r="AP479" s="152"/>
      <c r="AQ479" s="152"/>
      <c r="AR479" s="152"/>
      <c r="AS479" s="152"/>
      <c r="AT479" s="152"/>
      <c r="AU479" s="152"/>
      <c r="AV479" s="152"/>
      <c r="AW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  <c r="AH480" s="152"/>
      <c r="AI480" s="152"/>
      <c r="AJ480" s="152"/>
      <c r="AK480" s="152"/>
      <c r="AL480" s="152"/>
      <c r="AM480" s="152"/>
      <c r="AN480" s="152"/>
      <c r="AO480" s="152"/>
      <c r="AP480" s="152"/>
      <c r="AQ480" s="152"/>
      <c r="AR480" s="152"/>
      <c r="AS480" s="152"/>
      <c r="AT480" s="152"/>
      <c r="AU480" s="152"/>
      <c r="AV480" s="152"/>
      <c r="AW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  <c r="AH481" s="152"/>
      <c r="AI481" s="152"/>
      <c r="AJ481" s="152"/>
      <c r="AK481" s="152"/>
      <c r="AL481" s="152"/>
      <c r="AM481" s="152"/>
      <c r="AN481" s="152"/>
      <c r="AO481" s="152"/>
      <c r="AP481" s="152"/>
      <c r="AQ481" s="152"/>
      <c r="AR481" s="152"/>
      <c r="AS481" s="152"/>
      <c r="AT481" s="152"/>
      <c r="AU481" s="152"/>
      <c r="AV481" s="152"/>
      <c r="AW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  <c r="AH482" s="152"/>
      <c r="AI482" s="152"/>
      <c r="AJ482" s="152"/>
      <c r="AK482" s="152"/>
      <c r="AL482" s="152"/>
      <c r="AM482" s="152"/>
      <c r="AN482" s="152"/>
      <c r="AO482" s="152"/>
      <c r="AP482" s="152"/>
      <c r="AQ482" s="152"/>
      <c r="AR482" s="152"/>
      <c r="AS482" s="152"/>
      <c r="AT482" s="152"/>
      <c r="AU482" s="152"/>
      <c r="AV482" s="152"/>
      <c r="AW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  <c r="AH483" s="152"/>
      <c r="AI483" s="152"/>
      <c r="AJ483" s="152"/>
      <c r="AK483" s="152"/>
      <c r="AL483" s="152"/>
      <c r="AM483" s="152"/>
      <c r="AN483" s="152"/>
      <c r="AO483" s="152"/>
      <c r="AP483" s="152"/>
      <c r="AQ483" s="152"/>
      <c r="AR483" s="152"/>
      <c r="AS483" s="152"/>
      <c r="AT483" s="152"/>
      <c r="AU483" s="152"/>
      <c r="AV483" s="152"/>
      <c r="AW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  <c r="AH484" s="152"/>
      <c r="AI484" s="152"/>
      <c r="AJ484" s="152"/>
      <c r="AK484" s="152"/>
      <c r="AL484" s="152"/>
      <c r="AM484" s="152"/>
      <c r="AN484" s="152"/>
      <c r="AO484" s="152"/>
      <c r="AP484" s="152"/>
      <c r="AQ484" s="152"/>
      <c r="AR484" s="152"/>
      <c r="AS484" s="152"/>
      <c r="AT484" s="152"/>
      <c r="AU484" s="152"/>
      <c r="AV484" s="152"/>
      <c r="AW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  <c r="AH485" s="152"/>
      <c r="AI485" s="152"/>
      <c r="AJ485" s="152"/>
      <c r="AK485" s="152"/>
      <c r="AL485" s="152"/>
      <c r="AM485" s="152"/>
      <c r="AN485" s="152"/>
      <c r="AO485" s="152"/>
      <c r="AP485" s="152"/>
      <c r="AQ485" s="152"/>
      <c r="AR485" s="152"/>
      <c r="AS485" s="152"/>
      <c r="AT485" s="152"/>
      <c r="AU485" s="152"/>
      <c r="AV485" s="152"/>
      <c r="AW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  <c r="AH486" s="152"/>
      <c r="AI486" s="152"/>
      <c r="AJ486" s="152"/>
      <c r="AK486" s="152"/>
      <c r="AL486" s="152"/>
      <c r="AM486" s="152"/>
      <c r="AN486" s="152"/>
      <c r="AO486" s="152"/>
      <c r="AP486" s="152"/>
      <c r="AQ486" s="152"/>
      <c r="AR486" s="152"/>
      <c r="AS486" s="152"/>
      <c r="AT486" s="152"/>
      <c r="AU486" s="152"/>
      <c r="AV486" s="152"/>
      <c r="AW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  <c r="AG487" s="152"/>
      <c r="AH487" s="152"/>
      <c r="AI487" s="152"/>
      <c r="AJ487" s="152"/>
      <c r="AK487" s="152"/>
      <c r="AL487" s="152"/>
      <c r="AM487" s="152"/>
      <c r="AN487" s="152"/>
      <c r="AO487" s="152"/>
      <c r="AP487" s="152"/>
      <c r="AQ487" s="152"/>
      <c r="AR487" s="152"/>
      <c r="AS487" s="152"/>
      <c r="AT487" s="152"/>
      <c r="AU487" s="152"/>
      <c r="AV487" s="152"/>
      <c r="AW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  <c r="AG488" s="152"/>
      <c r="AH488" s="152"/>
      <c r="AI488" s="152"/>
      <c r="AJ488" s="152"/>
      <c r="AK488" s="152"/>
      <c r="AL488" s="152"/>
      <c r="AM488" s="152"/>
      <c r="AN488" s="152"/>
      <c r="AO488" s="152"/>
      <c r="AP488" s="152"/>
      <c r="AQ488" s="152"/>
      <c r="AR488" s="152"/>
      <c r="AS488" s="152"/>
      <c r="AT488" s="152"/>
      <c r="AU488" s="152"/>
      <c r="AV488" s="152"/>
      <c r="AW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  <c r="AG489" s="152"/>
      <c r="AH489" s="152"/>
      <c r="AI489" s="152"/>
      <c r="AJ489" s="152"/>
      <c r="AK489" s="152"/>
      <c r="AL489" s="152"/>
      <c r="AM489" s="152"/>
      <c r="AN489" s="152"/>
      <c r="AO489" s="152"/>
      <c r="AP489" s="152"/>
      <c r="AQ489" s="152"/>
      <c r="AR489" s="152"/>
      <c r="AS489" s="152"/>
      <c r="AT489" s="152"/>
      <c r="AU489" s="152"/>
      <c r="AV489" s="152"/>
      <c r="AW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  <c r="AG490" s="152"/>
      <c r="AH490" s="152"/>
      <c r="AI490" s="152"/>
      <c r="AJ490" s="152"/>
      <c r="AK490" s="152"/>
      <c r="AL490" s="152"/>
      <c r="AM490" s="152"/>
      <c r="AN490" s="152"/>
      <c r="AO490" s="152"/>
      <c r="AP490" s="152"/>
      <c r="AQ490" s="152"/>
      <c r="AR490" s="152"/>
      <c r="AS490" s="152"/>
      <c r="AT490" s="152"/>
      <c r="AU490" s="152"/>
      <c r="AV490" s="152"/>
      <c r="AW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  <c r="AG491" s="152"/>
      <c r="AH491" s="152"/>
      <c r="AI491" s="152"/>
      <c r="AJ491" s="152"/>
      <c r="AK491" s="152"/>
      <c r="AL491" s="152"/>
      <c r="AM491" s="152"/>
      <c r="AN491" s="152"/>
      <c r="AO491" s="152"/>
      <c r="AP491" s="152"/>
      <c r="AQ491" s="152"/>
      <c r="AR491" s="152"/>
      <c r="AS491" s="152"/>
      <c r="AT491" s="152"/>
      <c r="AU491" s="152"/>
      <c r="AV491" s="152"/>
      <c r="AW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  <c r="AG492" s="152"/>
      <c r="AH492" s="152"/>
      <c r="AI492" s="152"/>
      <c r="AJ492" s="152"/>
      <c r="AK492" s="152"/>
      <c r="AL492" s="152"/>
      <c r="AM492" s="152"/>
      <c r="AN492" s="152"/>
      <c r="AO492" s="152"/>
      <c r="AP492" s="152"/>
      <c r="AQ492" s="152"/>
      <c r="AR492" s="152"/>
      <c r="AS492" s="152"/>
      <c r="AT492" s="152"/>
      <c r="AU492" s="152"/>
      <c r="AV492" s="152"/>
      <c r="AW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  <c r="AG493" s="152"/>
      <c r="AH493" s="152"/>
      <c r="AI493" s="152"/>
      <c r="AJ493" s="152"/>
      <c r="AK493" s="152"/>
      <c r="AL493" s="152"/>
      <c r="AM493" s="152"/>
      <c r="AN493" s="152"/>
      <c r="AO493" s="152"/>
      <c r="AP493" s="152"/>
      <c r="AQ493" s="152"/>
      <c r="AR493" s="152"/>
      <c r="AS493" s="152"/>
      <c r="AT493" s="152"/>
      <c r="AU493" s="152"/>
      <c r="AV493" s="152"/>
      <c r="AW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  <c r="AG494" s="152"/>
      <c r="AH494" s="152"/>
      <c r="AI494" s="152"/>
      <c r="AJ494" s="152"/>
      <c r="AK494" s="152"/>
      <c r="AL494" s="152"/>
      <c r="AM494" s="152"/>
      <c r="AN494" s="152"/>
      <c r="AO494" s="152"/>
      <c r="AP494" s="152"/>
      <c r="AQ494" s="152"/>
      <c r="AR494" s="152"/>
      <c r="AS494" s="152"/>
      <c r="AT494" s="152"/>
      <c r="AU494" s="152"/>
      <c r="AV494" s="152"/>
      <c r="AW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  <c r="AG495" s="152"/>
      <c r="AH495" s="152"/>
      <c r="AI495" s="152"/>
      <c r="AJ495" s="152"/>
      <c r="AK495" s="152"/>
      <c r="AL495" s="152"/>
      <c r="AM495" s="152"/>
      <c r="AN495" s="152"/>
      <c r="AO495" s="152"/>
      <c r="AP495" s="152"/>
      <c r="AQ495" s="152"/>
      <c r="AR495" s="152"/>
      <c r="AS495" s="152"/>
      <c r="AT495" s="152"/>
      <c r="AU495" s="152"/>
      <c r="AV495" s="152"/>
      <c r="AW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  <c r="AH496" s="152"/>
      <c r="AI496" s="152"/>
      <c r="AJ496" s="152"/>
      <c r="AK496" s="152"/>
      <c r="AL496" s="152"/>
      <c r="AM496" s="152"/>
      <c r="AN496" s="152"/>
      <c r="AO496" s="152"/>
      <c r="AP496" s="152"/>
      <c r="AQ496" s="152"/>
      <c r="AR496" s="152"/>
      <c r="AS496" s="152"/>
      <c r="AT496" s="152"/>
      <c r="AU496" s="152"/>
      <c r="AV496" s="152"/>
      <c r="AW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  <c r="AH497" s="152"/>
      <c r="AI497" s="152"/>
      <c r="AJ497" s="152"/>
      <c r="AK497" s="152"/>
      <c r="AL497" s="152"/>
      <c r="AM497" s="152"/>
      <c r="AN497" s="152"/>
      <c r="AO497" s="152"/>
      <c r="AP497" s="152"/>
      <c r="AQ497" s="152"/>
      <c r="AR497" s="152"/>
      <c r="AS497" s="152"/>
      <c r="AT497" s="152"/>
      <c r="AU497" s="152"/>
      <c r="AV497" s="152"/>
      <c r="AW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  <c r="AH498" s="152"/>
      <c r="AI498" s="152"/>
      <c r="AJ498" s="152"/>
      <c r="AK498" s="152"/>
      <c r="AL498" s="152"/>
      <c r="AM498" s="152"/>
      <c r="AN498" s="152"/>
      <c r="AO498" s="152"/>
      <c r="AP498" s="152"/>
      <c r="AQ498" s="152"/>
      <c r="AR498" s="152"/>
      <c r="AS498" s="152"/>
      <c r="AT498" s="152"/>
      <c r="AU498" s="152"/>
      <c r="AV498" s="152"/>
      <c r="AW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  <c r="AH499" s="152"/>
      <c r="AI499" s="152"/>
      <c r="AJ499" s="152"/>
      <c r="AK499" s="152"/>
      <c r="AL499" s="152"/>
      <c r="AM499" s="152"/>
      <c r="AN499" s="152"/>
      <c r="AO499" s="152"/>
      <c r="AP499" s="152"/>
      <c r="AQ499" s="152"/>
      <c r="AR499" s="152"/>
      <c r="AS499" s="152"/>
      <c r="AT499" s="152"/>
      <c r="AU499" s="152"/>
      <c r="AV499" s="152"/>
      <c r="AW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  <c r="AH501" s="152"/>
      <c r="AI501" s="152"/>
      <c r="AJ501" s="152"/>
      <c r="AK501" s="152"/>
      <c r="AL501" s="152"/>
      <c r="AM501" s="152"/>
      <c r="AN501" s="152"/>
      <c r="AO501" s="152"/>
      <c r="AP501" s="152"/>
      <c r="AQ501" s="152"/>
      <c r="AR501" s="152"/>
      <c r="AS501" s="152"/>
      <c r="AT501" s="152"/>
      <c r="AU501" s="152"/>
      <c r="AV501" s="152"/>
      <c r="AW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  <c r="AH502" s="152"/>
      <c r="AI502" s="152"/>
      <c r="AJ502" s="152"/>
      <c r="AK502" s="152"/>
      <c r="AL502" s="152"/>
      <c r="AM502" s="152"/>
      <c r="AN502" s="152"/>
      <c r="AO502" s="152"/>
      <c r="AP502" s="152"/>
      <c r="AQ502" s="152"/>
      <c r="AR502" s="152"/>
      <c r="AS502" s="152"/>
      <c r="AT502" s="152"/>
      <c r="AU502" s="152"/>
      <c r="AV502" s="152"/>
      <c r="AW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  <c r="AH503" s="152"/>
      <c r="AI503" s="152"/>
      <c r="AJ503" s="152"/>
      <c r="AK503" s="152"/>
      <c r="AL503" s="152"/>
      <c r="AM503" s="152"/>
      <c r="AN503" s="152"/>
      <c r="AO503" s="152"/>
      <c r="AP503" s="152"/>
      <c r="AQ503" s="152"/>
      <c r="AR503" s="152"/>
      <c r="AS503" s="152"/>
      <c r="AT503" s="152"/>
      <c r="AU503" s="152"/>
      <c r="AV503" s="152"/>
      <c r="AW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  <c r="AH504" s="152"/>
      <c r="AI504" s="152"/>
      <c r="AJ504" s="152"/>
      <c r="AK504" s="152"/>
      <c r="AL504" s="152"/>
      <c r="AM504" s="152"/>
      <c r="AN504" s="152"/>
      <c r="AO504" s="152"/>
      <c r="AP504" s="152"/>
      <c r="AQ504" s="152"/>
      <c r="AR504" s="152"/>
      <c r="AS504" s="152"/>
      <c r="AT504" s="152"/>
      <c r="AU504" s="152"/>
      <c r="AV504" s="152"/>
      <c r="AW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  <c r="AG513" s="152"/>
      <c r="AH513" s="152"/>
      <c r="AI513" s="152"/>
      <c r="AJ513" s="152"/>
      <c r="AK513" s="152"/>
      <c r="AL513" s="152"/>
      <c r="AM513" s="152"/>
      <c r="AN513" s="152"/>
      <c r="AO513" s="152"/>
      <c r="AP513" s="152"/>
      <c r="AQ513" s="152"/>
      <c r="AR513" s="152"/>
      <c r="AS513" s="152"/>
      <c r="AT513" s="152"/>
      <c r="AU513" s="152"/>
      <c r="AV513" s="152"/>
      <c r="AW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  <c r="AH514" s="152"/>
      <c r="AI514" s="152"/>
      <c r="AJ514" s="152"/>
      <c r="AK514" s="152"/>
      <c r="AL514" s="152"/>
      <c r="AM514" s="152"/>
      <c r="AN514" s="152"/>
      <c r="AO514" s="152"/>
      <c r="AP514" s="152"/>
      <c r="AQ514" s="152"/>
      <c r="AR514" s="152"/>
      <c r="AS514" s="152"/>
      <c r="AT514" s="152"/>
      <c r="AU514" s="152"/>
      <c r="AV514" s="152"/>
      <c r="AW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  <c r="AH515" s="152"/>
      <c r="AI515" s="152"/>
      <c r="AJ515" s="152"/>
      <c r="AK515" s="152"/>
      <c r="AL515" s="152"/>
      <c r="AM515" s="152"/>
      <c r="AN515" s="152"/>
      <c r="AO515" s="152"/>
      <c r="AP515" s="152"/>
      <c r="AQ515" s="152"/>
      <c r="AR515" s="152"/>
      <c r="AS515" s="152"/>
      <c r="AT515" s="152"/>
      <c r="AU515" s="152"/>
      <c r="AV515" s="152"/>
      <c r="AW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  <c r="AH516" s="152"/>
      <c r="AI516" s="152"/>
      <c r="AJ516" s="152"/>
      <c r="AK516" s="152"/>
      <c r="AL516" s="152"/>
      <c r="AM516" s="152"/>
      <c r="AN516" s="152"/>
      <c r="AO516" s="152"/>
      <c r="AP516" s="152"/>
      <c r="AQ516" s="152"/>
      <c r="AR516" s="152"/>
      <c r="AS516" s="152"/>
      <c r="AT516" s="152"/>
      <c r="AU516" s="152"/>
      <c r="AV516" s="152"/>
      <c r="AW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  <c r="AH517" s="152"/>
      <c r="AI517" s="152"/>
      <c r="AJ517" s="152"/>
      <c r="AK517" s="152"/>
      <c r="AL517" s="152"/>
      <c r="AM517" s="152"/>
      <c r="AN517" s="152"/>
      <c r="AO517" s="152"/>
      <c r="AP517" s="152"/>
      <c r="AQ517" s="152"/>
      <c r="AR517" s="152"/>
      <c r="AS517" s="152"/>
      <c r="AT517" s="152"/>
      <c r="AU517" s="152"/>
      <c r="AV517" s="152"/>
      <c r="AW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  <c r="AH518" s="152"/>
      <c r="AI518" s="152"/>
      <c r="AJ518" s="152"/>
      <c r="AK518" s="152"/>
      <c r="AL518" s="152"/>
      <c r="AM518" s="152"/>
      <c r="AN518" s="152"/>
      <c r="AO518" s="152"/>
      <c r="AP518" s="152"/>
      <c r="AQ518" s="152"/>
      <c r="AR518" s="152"/>
      <c r="AS518" s="152"/>
      <c r="AT518" s="152"/>
      <c r="AU518" s="152"/>
      <c r="AV518" s="152"/>
      <c r="AW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  <c r="AH519" s="152"/>
      <c r="AI519" s="152"/>
      <c r="AJ519" s="152"/>
      <c r="AK519" s="152"/>
      <c r="AL519" s="152"/>
      <c r="AM519" s="152"/>
      <c r="AN519" s="152"/>
      <c r="AO519" s="152"/>
      <c r="AP519" s="152"/>
      <c r="AQ519" s="152"/>
      <c r="AR519" s="152"/>
      <c r="AS519" s="152"/>
      <c r="AT519" s="152"/>
      <c r="AU519" s="152"/>
      <c r="AV519" s="152"/>
      <c r="AW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  <c r="AH520" s="152"/>
      <c r="AI520" s="152"/>
      <c r="AJ520" s="152"/>
      <c r="AK520" s="152"/>
      <c r="AL520" s="152"/>
      <c r="AM520" s="152"/>
      <c r="AN520" s="152"/>
      <c r="AO520" s="152"/>
      <c r="AP520" s="152"/>
      <c r="AQ520" s="152"/>
      <c r="AR520" s="152"/>
      <c r="AS520" s="152"/>
      <c r="AT520" s="152"/>
      <c r="AU520" s="152"/>
      <c r="AV520" s="152"/>
      <c r="AW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  <c r="AH521" s="152"/>
      <c r="AI521" s="152"/>
      <c r="AJ521" s="152"/>
      <c r="AK521" s="152"/>
      <c r="AL521" s="152"/>
      <c r="AM521" s="152"/>
      <c r="AN521" s="152"/>
      <c r="AO521" s="152"/>
      <c r="AP521" s="152"/>
      <c r="AQ521" s="152"/>
      <c r="AR521" s="152"/>
      <c r="AS521" s="152"/>
      <c r="AT521" s="152"/>
      <c r="AU521" s="152"/>
      <c r="AV521" s="152"/>
      <c r="AW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  <c r="AH522" s="152"/>
      <c r="AI522" s="152"/>
      <c r="AJ522" s="152"/>
      <c r="AK522" s="152"/>
      <c r="AL522" s="152"/>
      <c r="AM522" s="152"/>
      <c r="AN522" s="152"/>
      <c r="AO522" s="152"/>
      <c r="AP522" s="152"/>
      <c r="AQ522" s="152"/>
      <c r="AR522" s="152"/>
      <c r="AS522" s="152"/>
      <c r="AT522" s="152"/>
      <c r="AU522" s="152"/>
      <c r="AV522" s="152"/>
      <c r="AW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  <c r="AP523" s="152"/>
      <c r="AQ523" s="152"/>
      <c r="AR523" s="152"/>
      <c r="AS523" s="152"/>
      <c r="AT523" s="152"/>
      <c r="AU523" s="152"/>
      <c r="AV523" s="152"/>
      <c r="AW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  <c r="AH534" s="152"/>
      <c r="AI534" s="152"/>
      <c r="AJ534" s="152"/>
      <c r="AK534" s="152"/>
      <c r="AL534" s="152"/>
      <c r="AM534" s="152"/>
      <c r="AN534" s="152"/>
      <c r="AO534" s="152"/>
      <c r="AP534" s="152"/>
      <c r="AQ534" s="152"/>
      <c r="AR534" s="152"/>
      <c r="AS534" s="152"/>
      <c r="AT534" s="152"/>
      <c r="AU534" s="152"/>
      <c r="AV534" s="152"/>
      <c r="AW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  <c r="AH535" s="152"/>
      <c r="AI535" s="152"/>
      <c r="AJ535" s="152"/>
      <c r="AK535" s="152"/>
      <c r="AL535" s="152"/>
      <c r="AM535" s="152"/>
      <c r="AN535" s="152"/>
      <c r="AO535" s="152"/>
      <c r="AP535" s="152"/>
      <c r="AQ535" s="152"/>
      <c r="AR535" s="152"/>
      <c r="AS535" s="152"/>
      <c r="AT535" s="152"/>
      <c r="AU535" s="152"/>
      <c r="AV535" s="152"/>
      <c r="AW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  <c r="AH536" s="152"/>
      <c r="AI536" s="152"/>
      <c r="AJ536" s="152"/>
      <c r="AK536" s="152"/>
      <c r="AL536" s="152"/>
      <c r="AM536" s="152"/>
      <c r="AN536" s="152"/>
      <c r="AO536" s="152"/>
      <c r="AP536" s="152"/>
      <c r="AQ536" s="152"/>
      <c r="AR536" s="152"/>
      <c r="AS536" s="152"/>
      <c r="AT536" s="152"/>
      <c r="AU536" s="152"/>
      <c r="AV536" s="152"/>
      <c r="AW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  <c r="AH537" s="152"/>
      <c r="AI537" s="152"/>
      <c r="AJ537" s="152"/>
      <c r="AK537" s="152"/>
      <c r="AL537" s="152"/>
      <c r="AM537" s="152"/>
      <c r="AN537" s="152"/>
      <c r="AO537" s="152"/>
      <c r="AP537" s="152"/>
      <c r="AQ537" s="152"/>
      <c r="AR537" s="152"/>
      <c r="AS537" s="152"/>
      <c r="AT537" s="152"/>
      <c r="AU537" s="152"/>
      <c r="AV537" s="152"/>
      <c r="AW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  <c r="AH538" s="152"/>
      <c r="AI538" s="152"/>
      <c r="AJ538" s="152"/>
      <c r="AK538" s="152"/>
      <c r="AL538" s="152"/>
      <c r="AM538" s="152"/>
      <c r="AN538" s="152"/>
      <c r="AO538" s="152"/>
      <c r="AP538" s="152"/>
      <c r="AQ538" s="152"/>
      <c r="AR538" s="152"/>
      <c r="AS538" s="152"/>
      <c r="AT538" s="152"/>
      <c r="AU538" s="152"/>
      <c r="AV538" s="152"/>
      <c r="AW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  <c r="AH539" s="152"/>
      <c r="AI539" s="152"/>
      <c r="AJ539" s="152"/>
      <c r="AK539" s="152"/>
      <c r="AL539" s="152"/>
      <c r="AM539" s="152"/>
      <c r="AN539" s="152"/>
      <c r="AO539" s="152"/>
      <c r="AP539" s="152"/>
      <c r="AQ539" s="152"/>
      <c r="AR539" s="152"/>
      <c r="AS539" s="152"/>
      <c r="AT539" s="152"/>
      <c r="AU539" s="152"/>
      <c r="AV539" s="152"/>
      <c r="AW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  <c r="AH540" s="152"/>
      <c r="AI540" s="152"/>
      <c r="AJ540" s="152"/>
      <c r="AK540" s="152"/>
      <c r="AL540" s="152"/>
      <c r="AM540" s="152"/>
      <c r="AN540" s="152"/>
      <c r="AO540" s="152"/>
      <c r="AP540" s="152"/>
      <c r="AQ540" s="152"/>
      <c r="AR540" s="152"/>
      <c r="AS540" s="152"/>
      <c r="AT540" s="152"/>
      <c r="AU540" s="152"/>
      <c r="AV540" s="152"/>
      <c r="AW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  <c r="AH541" s="152"/>
      <c r="AI541" s="152"/>
      <c r="AJ541" s="152"/>
      <c r="AK541" s="152"/>
      <c r="AL541" s="152"/>
      <c r="AM541" s="152"/>
      <c r="AN541" s="152"/>
      <c r="AO541" s="152"/>
      <c r="AP541" s="152"/>
      <c r="AQ541" s="152"/>
      <c r="AR541" s="152"/>
      <c r="AS541" s="152"/>
      <c r="AT541" s="152"/>
      <c r="AU541" s="152"/>
      <c r="AV541" s="152"/>
      <c r="AW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  <c r="AH542" s="152"/>
      <c r="AI542" s="152"/>
      <c r="AJ542" s="152"/>
      <c r="AK542" s="152"/>
      <c r="AL542" s="152"/>
      <c r="AM542" s="152"/>
      <c r="AN542" s="152"/>
      <c r="AO542" s="152"/>
      <c r="AP542" s="152"/>
      <c r="AQ542" s="152"/>
      <c r="AR542" s="152"/>
      <c r="AS542" s="152"/>
      <c r="AT542" s="152"/>
      <c r="AU542" s="152"/>
      <c r="AV542" s="152"/>
      <c r="AW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  <c r="AH543" s="152"/>
      <c r="AI543" s="152"/>
      <c r="AJ543" s="152"/>
      <c r="AK543" s="152"/>
      <c r="AL543" s="152"/>
      <c r="AM543" s="152"/>
      <c r="AN543" s="152"/>
      <c r="AO543" s="152"/>
      <c r="AP543" s="152"/>
      <c r="AQ543" s="152"/>
      <c r="AR543" s="152"/>
      <c r="AS543" s="152"/>
      <c r="AT543" s="152"/>
      <c r="AU543" s="152"/>
      <c r="AV543" s="152"/>
      <c r="AW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  <c r="AH554" s="152"/>
      <c r="AI554" s="152"/>
      <c r="AJ554" s="152"/>
      <c r="AK554" s="152"/>
      <c r="AL554" s="152"/>
      <c r="AM554" s="152"/>
      <c r="AN554" s="152"/>
      <c r="AO554" s="152"/>
      <c r="AP554" s="152"/>
      <c r="AQ554" s="152"/>
      <c r="AR554" s="152"/>
      <c r="AS554" s="152"/>
      <c r="AT554" s="152"/>
      <c r="AU554" s="152"/>
      <c r="AV554" s="152"/>
      <c r="AW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  <c r="AH555" s="152"/>
      <c r="AI555" s="152"/>
      <c r="AJ555" s="152"/>
      <c r="AK555" s="152"/>
      <c r="AL555" s="152"/>
      <c r="AM555" s="152"/>
      <c r="AN555" s="152"/>
      <c r="AO555" s="152"/>
      <c r="AP555" s="152"/>
      <c r="AQ555" s="152"/>
      <c r="AR555" s="152"/>
      <c r="AS555" s="152"/>
      <c r="AT555" s="152"/>
      <c r="AU555" s="152"/>
      <c r="AV555" s="152"/>
      <c r="AW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  <c r="AH556" s="152"/>
      <c r="AI556" s="152"/>
      <c r="AJ556" s="152"/>
      <c r="AK556" s="152"/>
      <c r="AL556" s="152"/>
      <c r="AM556" s="152"/>
      <c r="AN556" s="152"/>
      <c r="AO556" s="152"/>
      <c r="AP556" s="152"/>
      <c r="AQ556" s="152"/>
      <c r="AR556" s="152"/>
      <c r="AS556" s="152"/>
      <c r="AT556" s="152"/>
      <c r="AU556" s="152"/>
      <c r="AV556" s="152"/>
      <c r="AW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  <c r="AH557" s="152"/>
      <c r="AI557" s="152"/>
      <c r="AJ557" s="152"/>
      <c r="AK557" s="152"/>
      <c r="AL557" s="152"/>
      <c r="AM557" s="152"/>
      <c r="AN557" s="152"/>
      <c r="AO557" s="152"/>
      <c r="AP557" s="152"/>
      <c r="AQ557" s="152"/>
      <c r="AR557" s="152"/>
      <c r="AS557" s="152"/>
      <c r="AT557" s="152"/>
      <c r="AU557" s="152"/>
      <c r="AV557" s="152"/>
      <c r="AW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  <c r="AH558" s="152"/>
      <c r="AI558" s="152"/>
      <c r="AJ558" s="152"/>
      <c r="AK558" s="152"/>
      <c r="AL558" s="152"/>
      <c r="AM558" s="152"/>
      <c r="AN558" s="152"/>
      <c r="AO558" s="152"/>
      <c r="AP558" s="152"/>
      <c r="AQ558" s="152"/>
      <c r="AR558" s="152"/>
      <c r="AS558" s="152"/>
      <c r="AT558" s="152"/>
      <c r="AU558" s="152"/>
      <c r="AV558" s="152"/>
      <c r="AW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  <c r="AG559" s="152"/>
      <c r="AH559" s="152"/>
      <c r="AI559" s="152"/>
      <c r="AJ559" s="152"/>
      <c r="AK559" s="152"/>
      <c r="AL559" s="152"/>
      <c r="AM559" s="152"/>
      <c r="AN559" s="152"/>
      <c r="AO559" s="152"/>
      <c r="AP559" s="152"/>
      <c r="AQ559" s="152"/>
      <c r="AR559" s="152"/>
      <c r="AS559" s="152"/>
      <c r="AT559" s="152"/>
      <c r="AU559" s="152"/>
      <c r="AV559" s="152"/>
      <c r="AW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  <c r="AG560" s="152"/>
      <c r="AH560" s="152"/>
      <c r="AI560" s="152"/>
      <c r="AJ560" s="152"/>
      <c r="AK560" s="152"/>
      <c r="AL560" s="152"/>
      <c r="AM560" s="152"/>
      <c r="AN560" s="152"/>
      <c r="AO560" s="152"/>
      <c r="AP560" s="152"/>
      <c r="AQ560" s="152"/>
      <c r="AR560" s="152"/>
      <c r="AS560" s="152"/>
      <c r="AT560" s="152"/>
      <c r="AU560" s="152"/>
      <c r="AV560" s="152"/>
      <c r="AW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  <c r="AH561" s="152"/>
      <c r="AI561" s="152"/>
      <c r="AJ561" s="152"/>
      <c r="AK561" s="152"/>
      <c r="AL561" s="152"/>
      <c r="AM561" s="152"/>
      <c r="AN561" s="152"/>
      <c r="AO561" s="152"/>
      <c r="AP561" s="152"/>
      <c r="AQ561" s="152"/>
      <c r="AR561" s="152"/>
      <c r="AS561" s="152"/>
      <c r="AT561" s="152"/>
      <c r="AU561" s="152"/>
      <c r="AV561" s="152"/>
      <c r="AW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  <c r="AH562" s="152"/>
      <c r="AI562" s="152"/>
      <c r="AJ562" s="152"/>
      <c r="AK562" s="152"/>
      <c r="AL562" s="152"/>
      <c r="AM562" s="152"/>
      <c r="AN562" s="152"/>
      <c r="AO562" s="152"/>
      <c r="AP562" s="152"/>
      <c r="AQ562" s="152"/>
      <c r="AR562" s="152"/>
      <c r="AS562" s="152"/>
      <c r="AT562" s="152"/>
      <c r="AU562" s="152"/>
      <c r="AV562" s="152"/>
      <c r="AW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  <c r="AG563" s="152"/>
      <c r="AH563" s="152"/>
      <c r="AI563" s="152"/>
      <c r="AJ563" s="152"/>
      <c r="AK563" s="152"/>
      <c r="AL563" s="152"/>
      <c r="AM563" s="152"/>
      <c r="AN563" s="152"/>
      <c r="AO563" s="152"/>
      <c r="AP563" s="152"/>
      <c r="AQ563" s="152"/>
      <c r="AR563" s="152"/>
      <c r="AS563" s="152"/>
      <c r="AT563" s="152"/>
      <c r="AU563" s="152"/>
      <c r="AV563" s="152"/>
      <c r="AW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  <c r="AH574" s="152"/>
      <c r="AI574" s="152"/>
      <c r="AJ574" s="152"/>
      <c r="AK574" s="152"/>
      <c r="AL574" s="152"/>
      <c r="AM574" s="152"/>
      <c r="AN574" s="152"/>
      <c r="AO574" s="152"/>
      <c r="AP574" s="152"/>
      <c r="AQ574" s="152"/>
      <c r="AR574" s="152"/>
      <c r="AS574" s="152"/>
      <c r="AT574" s="152"/>
      <c r="AU574" s="152"/>
      <c r="AV574" s="152"/>
      <c r="AW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  <c r="AH575" s="152"/>
      <c r="AI575" s="152"/>
      <c r="AJ575" s="152"/>
      <c r="AK575" s="152"/>
      <c r="AL575" s="152"/>
      <c r="AM575" s="152"/>
      <c r="AN575" s="152"/>
      <c r="AO575" s="152"/>
      <c r="AP575" s="152"/>
      <c r="AQ575" s="152"/>
      <c r="AR575" s="152"/>
      <c r="AS575" s="152"/>
      <c r="AT575" s="152"/>
      <c r="AU575" s="152"/>
      <c r="AV575" s="152"/>
      <c r="AW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  <c r="AH576" s="152"/>
      <c r="AI576" s="152"/>
      <c r="AJ576" s="152"/>
      <c r="AK576" s="152"/>
      <c r="AL576" s="152"/>
      <c r="AM576" s="152"/>
      <c r="AN576" s="152"/>
      <c r="AO576" s="152"/>
      <c r="AP576" s="152"/>
      <c r="AQ576" s="152"/>
      <c r="AR576" s="152"/>
      <c r="AS576" s="152"/>
      <c r="AT576" s="152"/>
      <c r="AU576" s="152"/>
      <c r="AV576" s="152"/>
      <c r="AW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  <c r="AG577" s="152"/>
      <c r="AH577" s="152"/>
      <c r="AI577" s="152"/>
      <c r="AJ577" s="152"/>
      <c r="AK577" s="152"/>
      <c r="AL577" s="152"/>
      <c r="AM577" s="152"/>
      <c r="AN577" s="152"/>
      <c r="AO577" s="152"/>
      <c r="AP577" s="152"/>
      <c r="AQ577" s="152"/>
      <c r="AR577" s="152"/>
      <c r="AS577" s="152"/>
      <c r="AT577" s="152"/>
      <c r="AU577" s="152"/>
      <c r="AV577" s="152"/>
      <c r="AW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  <c r="AH578" s="152"/>
      <c r="AI578" s="152"/>
      <c r="AJ578" s="152"/>
      <c r="AK578" s="152"/>
      <c r="AL578" s="152"/>
      <c r="AM578" s="152"/>
      <c r="AN578" s="152"/>
      <c r="AO578" s="152"/>
      <c r="AP578" s="152"/>
      <c r="AQ578" s="152"/>
      <c r="AR578" s="152"/>
      <c r="AS578" s="152"/>
      <c r="AT578" s="152"/>
      <c r="AU578" s="152"/>
      <c r="AV578" s="152"/>
      <c r="AW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  <c r="AG579" s="152"/>
      <c r="AH579" s="152"/>
      <c r="AI579" s="152"/>
      <c r="AJ579" s="152"/>
      <c r="AK579" s="152"/>
      <c r="AL579" s="152"/>
      <c r="AM579" s="152"/>
      <c r="AN579" s="152"/>
      <c r="AO579" s="152"/>
      <c r="AP579" s="152"/>
      <c r="AQ579" s="152"/>
      <c r="AR579" s="152"/>
      <c r="AS579" s="152"/>
      <c r="AT579" s="152"/>
      <c r="AU579" s="152"/>
      <c r="AV579" s="152"/>
      <c r="AW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  <c r="AH580" s="152"/>
      <c r="AI580" s="152"/>
      <c r="AJ580" s="152"/>
      <c r="AK580" s="152"/>
      <c r="AL580" s="152"/>
      <c r="AM580" s="152"/>
      <c r="AN580" s="152"/>
      <c r="AO580" s="152"/>
      <c r="AP580" s="152"/>
      <c r="AQ580" s="152"/>
      <c r="AR580" s="152"/>
      <c r="AS580" s="152"/>
      <c r="AT580" s="152"/>
      <c r="AU580" s="152"/>
      <c r="AV580" s="152"/>
      <c r="AW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  <c r="AH581" s="152"/>
      <c r="AI581" s="152"/>
      <c r="AJ581" s="152"/>
      <c r="AK581" s="152"/>
      <c r="AL581" s="152"/>
      <c r="AM581" s="152"/>
      <c r="AN581" s="152"/>
      <c r="AO581" s="152"/>
      <c r="AP581" s="152"/>
      <c r="AQ581" s="152"/>
      <c r="AR581" s="152"/>
      <c r="AS581" s="152"/>
      <c r="AT581" s="152"/>
      <c r="AU581" s="152"/>
      <c r="AV581" s="152"/>
      <c r="AW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  <c r="AH582" s="152"/>
      <c r="AI582" s="152"/>
      <c r="AJ582" s="152"/>
      <c r="AK582" s="152"/>
      <c r="AL582" s="152"/>
      <c r="AM582" s="152"/>
      <c r="AN582" s="152"/>
      <c r="AO582" s="152"/>
      <c r="AP582" s="152"/>
      <c r="AQ582" s="152"/>
      <c r="AR582" s="152"/>
      <c r="AS582" s="152"/>
      <c r="AT582" s="152"/>
      <c r="AU582" s="152"/>
      <c r="AV582" s="152"/>
      <c r="AW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  <c r="AH583" s="152"/>
      <c r="AI583" s="152"/>
      <c r="AJ583" s="152"/>
      <c r="AK583" s="152"/>
      <c r="AL583" s="152"/>
      <c r="AM583" s="152"/>
      <c r="AN583" s="152"/>
      <c r="AO583" s="152"/>
      <c r="AP583" s="152"/>
      <c r="AQ583" s="152"/>
      <c r="AR583" s="152"/>
      <c r="AS583" s="152"/>
      <c r="AT583" s="152"/>
      <c r="AU583" s="152"/>
      <c r="AV583" s="152"/>
      <c r="AW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  <c r="AG594" s="152"/>
      <c r="AH594" s="152"/>
      <c r="AI594" s="152"/>
      <c r="AJ594" s="152"/>
      <c r="AK594" s="152"/>
      <c r="AL594" s="152"/>
      <c r="AM594" s="152"/>
      <c r="AN594" s="152"/>
      <c r="AO594" s="152"/>
      <c r="AP594" s="152"/>
      <c r="AQ594" s="152"/>
      <c r="AR594" s="152"/>
      <c r="AS594" s="152"/>
      <c r="AT594" s="152"/>
      <c r="AU594" s="152"/>
      <c r="AV594" s="152"/>
      <c r="AW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  <c r="AG595" s="152"/>
      <c r="AH595" s="152"/>
      <c r="AI595" s="152"/>
      <c r="AJ595" s="152"/>
      <c r="AK595" s="152"/>
      <c r="AL595" s="152"/>
      <c r="AM595" s="152"/>
      <c r="AN595" s="152"/>
      <c r="AO595" s="152"/>
      <c r="AP595" s="152"/>
      <c r="AQ595" s="152"/>
      <c r="AR595" s="152"/>
      <c r="AS595" s="152"/>
      <c r="AT595" s="152"/>
      <c r="AU595" s="152"/>
      <c r="AV595" s="152"/>
      <c r="AW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  <c r="AH596" s="152"/>
      <c r="AI596" s="152"/>
      <c r="AJ596" s="152"/>
      <c r="AK596" s="152"/>
      <c r="AL596" s="152"/>
      <c r="AM596" s="152"/>
      <c r="AN596" s="152"/>
      <c r="AO596" s="152"/>
      <c r="AP596" s="152"/>
      <c r="AQ596" s="152"/>
      <c r="AR596" s="152"/>
      <c r="AS596" s="152"/>
      <c r="AT596" s="152"/>
      <c r="AU596" s="152"/>
      <c r="AV596" s="152"/>
      <c r="AW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  <c r="AG597" s="152"/>
      <c r="AH597" s="152"/>
      <c r="AI597" s="152"/>
      <c r="AJ597" s="152"/>
      <c r="AK597" s="152"/>
      <c r="AL597" s="152"/>
      <c r="AM597" s="152"/>
      <c r="AN597" s="152"/>
      <c r="AO597" s="152"/>
      <c r="AP597" s="152"/>
      <c r="AQ597" s="152"/>
      <c r="AR597" s="152"/>
      <c r="AS597" s="152"/>
      <c r="AT597" s="152"/>
      <c r="AU597" s="152"/>
      <c r="AV597" s="152"/>
      <c r="AW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  <c r="AG598" s="152"/>
      <c r="AH598" s="152"/>
      <c r="AI598" s="152"/>
      <c r="AJ598" s="152"/>
      <c r="AK598" s="152"/>
      <c r="AL598" s="152"/>
      <c r="AM598" s="152"/>
      <c r="AN598" s="152"/>
      <c r="AO598" s="152"/>
      <c r="AP598" s="152"/>
      <c r="AQ598" s="152"/>
      <c r="AR598" s="152"/>
      <c r="AS598" s="152"/>
      <c r="AT598" s="152"/>
      <c r="AU598" s="152"/>
      <c r="AV598" s="152"/>
      <c r="AW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  <c r="AG599" s="152"/>
      <c r="AH599" s="152"/>
      <c r="AI599" s="152"/>
      <c r="AJ599" s="152"/>
      <c r="AK599" s="152"/>
      <c r="AL599" s="152"/>
      <c r="AM599" s="152"/>
      <c r="AN599" s="152"/>
      <c r="AO599" s="152"/>
      <c r="AP599" s="152"/>
      <c r="AQ599" s="152"/>
      <c r="AR599" s="152"/>
      <c r="AS599" s="152"/>
      <c r="AT599" s="152"/>
      <c r="AU599" s="152"/>
      <c r="AV599" s="152"/>
      <c r="AW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  <c r="AG600" s="152"/>
      <c r="AH600" s="152"/>
      <c r="AI600" s="152"/>
      <c r="AJ600" s="152"/>
      <c r="AK600" s="152"/>
      <c r="AL600" s="152"/>
      <c r="AM600" s="152"/>
      <c r="AN600" s="152"/>
      <c r="AO600" s="152"/>
      <c r="AP600" s="152"/>
      <c r="AQ600" s="152"/>
      <c r="AR600" s="152"/>
      <c r="AS600" s="152"/>
      <c r="AT600" s="152"/>
      <c r="AU600" s="152"/>
      <c r="AV600" s="152"/>
      <c r="AW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  <c r="AG601" s="152"/>
      <c r="AH601" s="152"/>
      <c r="AI601" s="152"/>
      <c r="AJ601" s="152"/>
      <c r="AK601" s="152"/>
      <c r="AL601" s="152"/>
      <c r="AM601" s="152"/>
      <c r="AN601" s="152"/>
      <c r="AO601" s="152"/>
      <c r="AP601" s="152"/>
      <c r="AQ601" s="152"/>
      <c r="AR601" s="152"/>
      <c r="AS601" s="152"/>
      <c r="AT601" s="152"/>
      <c r="AU601" s="152"/>
      <c r="AV601" s="152"/>
      <c r="AW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  <c r="AG602" s="152"/>
      <c r="AH602" s="152"/>
      <c r="AI602" s="152"/>
      <c r="AJ602" s="152"/>
      <c r="AK602" s="152"/>
      <c r="AL602" s="152"/>
      <c r="AM602" s="152"/>
      <c r="AN602" s="152"/>
      <c r="AO602" s="152"/>
      <c r="AP602" s="152"/>
      <c r="AQ602" s="152"/>
      <c r="AR602" s="152"/>
      <c r="AS602" s="152"/>
      <c r="AT602" s="152"/>
      <c r="AU602" s="152"/>
      <c r="AV602" s="152"/>
      <c r="AW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  <c r="AG603" s="152"/>
      <c r="AH603" s="152"/>
      <c r="AI603" s="152"/>
      <c r="AJ603" s="152"/>
      <c r="AK603" s="152"/>
      <c r="AL603" s="152"/>
      <c r="AM603" s="152"/>
      <c r="AN603" s="152"/>
      <c r="AO603" s="152"/>
      <c r="AP603" s="152"/>
      <c r="AQ603" s="152"/>
      <c r="AR603" s="152"/>
      <c r="AS603" s="152"/>
      <c r="AT603" s="152"/>
      <c r="AU603" s="152"/>
      <c r="AV603" s="152"/>
      <c r="AW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  <c r="AG614" s="152"/>
      <c r="AH614" s="152"/>
      <c r="AI614" s="152"/>
      <c r="AJ614" s="152"/>
      <c r="AK614" s="152"/>
      <c r="AL614" s="152"/>
      <c r="AM614" s="152"/>
      <c r="AN614" s="152"/>
      <c r="AO614" s="152"/>
      <c r="AP614" s="152"/>
      <c r="AQ614" s="152"/>
      <c r="AR614" s="152"/>
      <c r="AS614" s="152"/>
      <c r="AT614" s="152"/>
      <c r="AU614" s="152"/>
      <c r="AV614" s="152"/>
      <c r="AW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  <c r="AG615" s="152"/>
      <c r="AH615" s="152"/>
      <c r="AI615" s="152"/>
      <c r="AJ615" s="152"/>
      <c r="AK615" s="152"/>
      <c r="AL615" s="152"/>
      <c r="AM615" s="152"/>
      <c r="AN615" s="152"/>
      <c r="AO615" s="152"/>
      <c r="AP615" s="152"/>
      <c r="AQ615" s="152"/>
      <c r="AR615" s="152"/>
      <c r="AS615" s="152"/>
      <c r="AT615" s="152"/>
      <c r="AU615" s="152"/>
      <c r="AV615" s="152"/>
      <c r="AW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  <c r="AG616" s="152"/>
      <c r="AH616" s="152"/>
      <c r="AI616" s="152"/>
      <c r="AJ616" s="152"/>
      <c r="AK616" s="152"/>
      <c r="AL616" s="152"/>
      <c r="AM616" s="152"/>
      <c r="AN616" s="152"/>
      <c r="AO616" s="152"/>
      <c r="AP616" s="152"/>
      <c r="AQ616" s="152"/>
      <c r="AR616" s="152"/>
      <c r="AS616" s="152"/>
      <c r="AT616" s="152"/>
      <c r="AU616" s="152"/>
      <c r="AV616" s="152"/>
      <c r="AW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  <c r="AG617" s="152"/>
      <c r="AH617" s="152"/>
      <c r="AI617" s="152"/>
      <c r="AJ617" s="152"/>
      <c r="AK617" s="152"/>
      <c r="AL617" s="152"/>
      <c r="AM617" s="152"/>
      <c r="AN617" s="152"/>
      <c r="AO617" s="152"/>
      <c r="AP617" s="152"/>
      <c r="AQ617" s="152"/>
      <c r="AR617" s="152"/>
      <c r="AS617" s="152"/>
      <c r="AT617" s="152"/>
      <c r="AU617" s="152"/>
      <c r="AV617" s="152"/>
      <c r="AW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  <c r="AG618" s="152"/>
      <c r="AH618" s="152"/>
      <c r="AI618" s="152"/>
      <c r="AJ618" s="152"/>
      <c r="AK618" s="152"/>
      <c r="AL618" s="152"/>
      <c r="AM618" s="152"/>
      <c r="AN618" s="152"/>
      <c r="AO618" s="152"/>
      <c r="AP618" s="152"/>
      <c r="AQ618" s="152"/>
      <c r="AR618" s="152"/>
      <c r="AS618" s="152"/>
      <c r="AT618" s="152"/>
      <c r="AU618" s="152"/>
      <c r="AV618" s="152"/>
      <c r="AW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  <c r="AG619" s="152"/>
      <c r="AH619" s="152"/>
      <c r="AI619" s="152"/>
      <c r="AJ619" s="152"/>
      <c r="AK619" s="152"/>
      <c r="AL619" s="152"/>
      <c r="AM619" s="152"/>
      <c r="AN619" s="152"/>
      <c r="AO619" s="152"/>
      <c r="AP619" s="152"/>
      <c r="AQ619" s="152"/>
      <c r="AR619" s="152"/>
      <c r="AS619" s="152"/>
      <c r="AT619" s="152"/>
      <c r="AU619" s="152"/>
      <c r="AV619" s="152"/>
      <c r="AW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  <c r="AG620" s="152"/>
      <c r="AH620" s="152"/>
      <c r="AI620" s="152"/>
      <c r="AJ620" s="152"/>
      <c r="AK620" s="152"/>
      <c r="AL620" s="152"/>
      <c r="AM620" s="152"/>
      <c r="AN620" s="152"/>
      <c r="AO620" s="152"/>
      <c r="AP620" s="152"/>
      <c r="AQ620" s="152"/>
      <c r="AR620" s="152"/>
      <c r="AS620" s="152"/>
      <c r="AT620" s="152"/>
      <c r="AU620" s="152"/>
      <c r="AV620" s="152"/>
      <c r="AW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  <c r="AG621" s="152"/>
      <c r="AH621" s="152"/>
      <c r="AI621" s="152"/>
      <c r="AJ621" s="152"/>
      <c r="AK621" s="152"/>
      <c r="AL621" s="152"/>
      <c r="AM621" s="152"/>
      <c r="AN621" s="152"/>
      <c r="AO621" s="152"/>
      <c r="AP621" s="152"/>
      <c r="AQ621" s="152"/>
      <c r="AR621" s="152"/>
      <c r="AS621" s="152"/>
      <c r="AT621" s="152"/>
      <c r="AU621" s="152"/>
      <c r="AV621" s="152"/>
      <c r="AW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  <c r="AG622" s="152"/>
      <c r="AH622" s="152"/>
      <c r="AI622" s="152"/>
      <c r="AJ622" s="152"/>
      <c r="AK622" s="152"/>
      <c r="AL622" s="152"/>
      <c r="AM622" s="152"/>
      <c r="AN622" s="152"/>
      <c r="AO622" s="152"/>
      <c r="AP622" s="152"/>
      <c r="AQ622" s="152"/>
      <c r="AR622" s="152"/>
      <c r="AS622" s="152"/>
      <c r="AT622" s="152"/>
      <c r="AU622" s="152"/>
      <c r="AV622" s="152"/>
      <c r="AW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  <c r="AH623" s="152"/>
      <c r="AI623" s="152"/>
      <c r="AJ623" s="152"/>
      <c r="AK623" s="152"/>
      <c r="AL623" s="152"/>
      <c r="AM623" s="152"/>
      <c r="AN623" s="152"/>
      <c r="AO623" s="152"/>
      <c r="AP623" s="152"/>
      <c r="AQ623" s="152"/>
      <c r="AR623" s="152"/>
      <c r="AS623" s="152"/>
      <c r="AT623" s="152"/>
      <c r="AU623" s="152"/>
      <c r="AV623" s="152"/>
      <c r="AW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  <c r="AH624" s="152"/>
      <c r="AI624" s="152"/>
      <c r="AJ624" s="152"/>
      <c r="AK624" s="152"/>
      <c r="AL624" s="152"/>
      <c r="AM624" s="152"/>
      <c r="AN624" s="152"/>
      <c r="AO624" s="152"/>
      <c r="AP624" s="152"/>
      <c r="AQ624" s="152"/>
      <c r="AR624" s="152"/>
      <c r="AS624" s="152"/>
      <c r="AT624" s="152"/>
      <c r="AU624" s="152"/>
      <c r="AV624" s="152"/>
      <c r="AW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  <c r="AH625" s="152"/>
      <c r="AI625" s="152"/>
      <c r="AJ625" s="152"/>
      <c r="AK625" s="152"/>
      <c r="AL625" s="152"/>
      <c r="AM625" s="152"/>
      <c r="AN625" s="152"/>
      <c r="AO625" s="152"/>
      <c r="AP625" s="152"/>
      <c r="AQ625" s="152"/>
      <c r="AR625" s="152"/>
      <c r="AS625" s="152"/>
      <c r="AT625" s="152"/>
      <c r="AU625" s="152"/>
      <c r="AV625" s="152"/>
      <c r="AW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  <c r="AH626" s="152"/>
      <c r="AI626" s="152"/>
      <c r="AJ626" s="152"/>
      <c r="AK626" s="152"/>
      <c r="AL626" s="152"/>
      <c r="AM626" s="152"/>
      <c r="AN626" s="152"/>
      <c r="AO626" s="152"/>
      <c r="AP626" s="152"/>
      <c r="AQ626" s="152"/>
      <c r="AR626" s="152"/>
      <c r="AS626" s="152"/>
      <c r="AT626" s="152"/>
      <c r="AU626" s="152"/>
      <c r="AV626" s="152"/>
      <c r="AW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  <c r="AH627" s="152"/>
      <c r="AI627" s="152"/>
      <c r="AJ627" s="152"/>
      <c r="AK627" s="152"/>
      <c r="AL627" s="152"/>
      <c r="AM627" s="152"/>
      <c r="AN627" s="152"/>
      <c r="AO627" s="152"/>
      <c r="AP627" s="152"/>
      <c r="AQ627" s="152"/>
      <c r="AR627" s="152"/>
      <c r="AS627" s="152"/>
      <c r="AT627" s="152"/>
      <c r="AU627" s="152"/>
      <c r="AV627" s="152"/>
      <c r="AW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  <c r="AH628" s="152"/>
      <c r="AI628" s="152"/>
      <c r="AJ628" s="152"/>
      <c r="AK628" s="152"/>
      <c r="AL628" s="152"/>
      <c r="AM628" s="152"/>
      <c r="AN628" s="152"/>
      <c r="AO628" s="152"/>
      <c r="AP628" s="152"/>
      <c r="AQ628" s="152"/>
      <c r="AR628" s="152"/>
      <c r="AS628" s="152"/>
      <c r="AT628" s="152"/>
      <c r="AU628" s="152"/>
      <c r="AV628" s="152"/>
      <c r="AW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  <c r="AH629" s="152"/>
      <c r="AI629" s="152"/>
      <c r="AJ629" s="152"/>
      <c r="AK629" s="152"/>
      <c r="AL629" s="152"/>
      <c r="AM629" s="152"/>
      <c r="AN629" s="152"/>
      <c r="AO629" s="152"/>
      <c r="AP629" s="152"/>
      <c r="AQ629" s="152"/>
      <c r="AR629" s="152"/>
      <c r="AS629" s="152"/>
      <c r="AT629" s="152"/>
      <c r="AU629" s="152"/>
      <c r="AV629" s="152"/>
      <c r="AW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  <c r="AH630" s="152"/>
      <c r="AI630" s="152"/>
      <c r="AJ630" s="152"/>
      <c r="AK630" s="152"/>
      <c r="AL630" s="152"/>
      <c r="AM630" s="152"/>
      <c r="AN630" s="152"/>
      <c r="AO630" s="152"/>
      <c r="AP630" s="152"/>
      <c r="AQ630" s="152"/>
      <c r="AR630" s="152"/>
      <c r="AS630" s="152"/>
      <c r="AT630" s="152"/>
      <c r="AU630" s="152"/>
      <c r="AV630" s="152"/>
      <c r="AW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  <c r="AH631" s="152"/>
      <c r="AI631" s="152"/>
      <c r="AJ631" s="152"/>
      <c r="AK631" s="152"/>
      <c r="AL631" s="152"/>
      <c r="AM631" s="152"/>
      <c r="AN631" s="152"/>
      <c r="AO631" s="152"/>
      <c r="AP631" s="152"/>
      <c r="AQ631" s="152"/>
      <c r="AR631" s="152"/>
      <c r="AS631" s="152"/>
      <c r="AT631" s="152"/>
      <c r="AU631" s="152"/>
      <c r="AV631" s="152"/>
      <c r="AW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  <c r="AG632" s="152"/>
      <c r="AH632" s="152"/>
      <c r="AI632" s="152"/>
      <c r="AJ632" s="152"/>
      <c r="AK632" s="152"/>
      <c r="AL632" s="152"/>
      <c r="AM632" s="152"/>
      <c r="AN632" s="152"/>
      <c r="AO632" s="152"/>
      <c r="AP632" s="152"/>
      <c r="AQ632" s="152"/>
      <c r="AR632" s="152"/>
      <c r="AS632" s="152"/>
      <c r="AT632" s="152"/>
      <c r="AU632" s="152"/>
      <c r="AV632" s="152"/>
      <c r="AW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  <c r="AH633" s="152"/>
      <c r="AI633" s="152"/>
      <c r="AJ633" s="152"/>
      <c r="AK633" s="152"/>
      <c r="AL633" s="152"/>
      <c r="AM633" s="152"/>
      <c r="AN633" s="152"/>
      <c r="AO633" s="152"/>
      <c r="AP633" s="152"/>
      <c r="AQ633" s="152"/>
      <c r="AR633" s="152"/>
      <c r="AS633" s="152"/>
      <c r="AT633" s="152"/>
      <c r="AU633" s="152"/>
      <c r="AV633" s="152"/>
      <c r="AW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  <c r="AG634" s="152"/>
      <c r="AH634" s="152"/>
      <c r="AI634" s="152"/>
      <c r="AJ634" s="152"/>
      <c r="AK634" s="152"/>
      <c r="AL634" s="152"/>
      <c r="AM634" s="152"/>
      <c r="AN634" s="152"/>
      <c r="AO634" s="152"/>
      <c r="AP634" s="152"/>
      <c r="AQ634" s="152"/>
      <c r="AR634" s="152"/>
      <c r="AS634" s="152"/>
      <c r="AT634" s="152"/>
      <c r="AU634" s="152"/>
      <c r="AV634" s="152"/>
      <c r="AW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  <c r="AG635" s="152"/>
      <c r="AH635" s="152"/>
      <c r="AI635" s="152"/>
      <c r="AJ635" s="152"/>
      <c r="AK635" s="152"/>
      <c r="AL635" s="152"/>
      <c r="AM635" s="152"/>
      <c r="AN635" s="152"/>
      <c r="AO635" s="152"/>
      <c r="AP635" s="152"/>
      <c r="AQ635" s="152"/>
      <c r="AR635" s="152"/>
      <c r="AS635" s="152"/>
      <c r="AT635" s="152"/>
      <c r="AU635" s="152"/>
      <c r="AV635" s="152"/>
      <c r="AW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  <c r="AG636" s="152"/>
      <c r="AH636" s="152"/>
      <c r="AI636" s="152"/>
      <c r="AJ636" s="152"/>
      <c r="AK636" s="152"/>
      <c r="AL636" s="152"/>
      <c r="AM636" s="152"/>
      <c r="AN636" s="152"/>
      <c r="AO636" s="152"/>
      <c r="AP636" s="152"/>
      <c r="AQ636" s="152"/>
      <c r="AR636" s="152"/>
      <c r="AS636" s="152"/>
      <c r="AT636" s="152"/>
      <c r="AU636" s="152"/>
      <c r="AV636" s="152"/>
      <c r="AW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  <c r="AG637" s="152"/>
      <c r="AH637" s="152"/>
      <c r="AI637" s="152"/>
      <c r="AJ637" s="152"/>
      <c r="AK637" s="152"/>
      <c r="AL637" s="152"/>
      <c r="AM637" s="152"/>
      <c r="AN637" s="152"/>
      <c r="AO637" s="152"/>
      <c r="AP637" s="152"/>
      <c r="AQ637" s="152"/>
      <c r="AR637" s="152"/>
      <c r="AS637" s="152"/>
      <c r="AT637" s="152"/>
      <c r="AU637" s="152"/>
      <c r="AV637" s="152"/>
      <c r="AW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  <c r="AG638" s="152"/>
      <c r="AH638" s="152"/>
      <c r="AI638" s="152"/>
      <c r="AJ638" s="152"/>
      <c r="AK638" s="152"/>
      <c r="AL638" s="152"/>
      <c r="AM638" s="152"/>
      <c r="AN638" s="152"/>
      <c r="AO638" s="152"/>
      <c r="AP638" s="152"/>
      <c r="AQ638" s="152"/>
      <c r="AR638" s="152"/>
      <c r="AS638" s="152"/>
      <c r="AT638" s="152"/>
      <c r="AU638" s="152"/>
      <c r="AV638" s="152"/>
      <c r="AW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  <c r="AG639" s="152"/>
      <c r="AH639" s="152"/>
      <c r="AI639" s="152"/>
      <c r="AJ639" s="152"/>
      <c r="AK639" s="152"/>
      <c r="AL639" s="152"/>
      <c r="AM639" s="152"/>
      <c r="AN639" s="152"/>
      <c r="AO639" s="152"/>
      <c r="AP639" s="152"/>
      <c r="AQ639" s="152"/>
      <c r="AR639" s="152"/>
      <c r="AS639" s="152"/>
      <c r="AT639" s="152"/>
      <c r="AU639" s="152"/>
      <c r="AV639" s="152"/>
      <c r="AW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  <c r="AG640" s="152"/>
      <c r="AH640" s="152"/>
      <c r="AI640" s="152"/>
      <c r="AJ640" s="152"/>
      <c r="AK640" s="152"/>
      <c r="AL640" s="152"/>
      <c r="AM640" s="152"/>
      <c r="AN640" s="152"/>
      <c r="AO640" s="152"/>
      <c r="AP640" s="152"/>
      <c r="AQ640" s="152"/>
      <c r="AR640" s="152"/>
      <c r="AS640" s="152"/>
      <c r="AT640" s="152"/>
      <c r="AU640" s="152"/>
      <c r="AV640" s="152"/>
      <c r="AW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  <c r="AG641" s="152"/>
      <c r="AH641" s="152"/>
      <c r="AI641" s="152"/>
      <c r="AJ641" s="152"/>
      <c r="AK641" s="152"/>
      <c r="AL641" s="152"/>
      <c r="AM641" s="152"/>
      <c r="AN641" s="152"/>
      <c r="AO641" s="152"/>
      <c r="AP641" s="152"/>
      <c r="AQ641" s="152"/>
      <c r="AR641" s="152"/>
      <c r="AS641" s="152"/>
      <c r="AT641" s="152"/>
      <c r="AU641" s="152"/>
      <c r="AV641" s="152"/>
      <c r="AW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  <c r="AG642" s="152"/>
      <c r="AH642" s="152"/>
      <c r="AI642" s="152"/>
      <c r="AJ642" s="152"/>
      <c r="AK642" s="152"/>
      <c r="AL642" s="152"/>
      <c r="AM642" s="152"/>
      <c r="AN642" s="152"/>
      <c r="AO642" s="152"/>
      <c r="AP642" s="152"/>
      <c r="AQ642" s="152"/>
      <c r="AR642" s="152"/>
      <c r="AS642" s="152"/>
      <c r="AT642" s="152"/>
      <c r="AU642" s="152"/>
      <c r="AV642" s="152"/>
      <c r="AW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  <c r="AG643" s="152"/>
      <c r="AH643" s="152"/>
      <c r="AI643" s="152"/>
      <c r="AJ643" s="152"/>
      <c r="AK643" s="152"/>
      <c r="AL643" s="152"/>
      <c r="AM643" s="152"/>
      <c r="AN643" s="152"/>
      <c r="AO643" s="152"/>
      <c r="AP643" s="152"/>
      <c r="AQ643" s="152"/>
      <c r="AR643" s="152"/>
      <c r="AS643" s="152"/>
      <c r="AT643" s="152"/>
      <c r="AU643" s="152"/>
      <c r="AV643" s="152"/>
      <c r="AW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  <c r="AG644" s="152"/>
      <c r="AH644" s="152"/>
      <c r="AI644" s="152"/>
      <c r="AJ644" s="152"/>
      <c r="AK644" s="152"/>
      <c r="AL644" s="152"/>
      <c r="AM644" s="152"/>
      <c r="AN644" s="152"/>
      <c r="AO644" s="152"/>
      <c r="AP644" s="152"/>
      <c r="AQ644" s="152"/>
      <c r="AR644" s="152"/>
      <c r="AS644" s="152"/>
      <c r="AT644" s="152"/>
      <c r="AU644" s="152"/>
      <c r="AV644" s="152"/>
      <c r="AW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  <c r="AH645" s="152"/>
      <c r="AI645" s="152"/>
      <c r="AJ645" s="152"/>
      <c r="AK645" s="152"/>
      <c r="AL645" s="152"/>
      <c r="AM645" s="152"/>
      <c r="AN645" s="152"/>
      <c r="AO645" s="152"/>
      <c r="AP645" s="152"/>
      <c r="AQ645" s="152"/>
      <c r="AR645" s="152"/>
      <c r="AS645" s="152"/>
      <c r="AT645" s="152"/>
      <c r="AU645" s="152"/>
      <c r="AV645" s="152"/>
      <c r="AW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  <c r="AG646" s="152"/>
      <c r="AH646" s="152"/>
      <c r="AI646" s="152"/>
      <c r="AJ646" s="152"/>
      <c r="AK646" s="152"/>
      <c r="AL646" s="152"/>
      <c r="AM646" s="152"/>
      <c r="AN646" s="152"/>
      <c r="AO646" s="152"/>
      <c r="AP646" s="152"/>
      <c r="AQ646" s="152"/>
      <c r="AR646" s="152"/>
      <c r="AS646" s="152"/>
      <c r="AT646" s="152"/>
      <c r="AU646" s="152"/>
      <c r="AV646" s="152"/>
      <c r="AW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  <c r="AG647" s="152"/>
      <c r="AH647" s="152"/>
      <c r="AI647" s="152"/>
      <c r="AJ647" s="152"/>
      <c r="AK647" s="152"/>
      <c r="AL647" s="152"/>
      <c r="AM647" s="152"/>
      <c r="AN647" s="152"/>
      <c r="AO647" s="152"/>
      <c r="AP647" s="152"/>
      <c r="AQ647" s="152"/>
      <c r="AR647" s="152"/>
      <c r="AS647" s="152"/>
      <c r="AT647" s="152"/>
      <c r="AU647" s="152"/>
      <c r="AV647" s="152"/>
      <c r="AW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  <c r="AG648" s="152"/>
      <c r="AH648" s="152"/>
      <c r="AI648" s="152"/>
      <c r="AJ648" s="152"/>
      <c r="AK648" s="152"/>
      <c r="AL648" s="152"/>
      <c r="AM648" s="152"/>
      <c r="AN648" s="152"/>
      <c r="AO648" s="152"/>
      <c r="AP648" s="152"/>
      <c r="AQ648" s="152"/>
      <c r="AR648" s="152"/>
      <c r="AS648" s="152"/>
      <c r="AT648" s="152"/>
      <c r="AU648" s="152"/>
      <c r="AV648" s="152"/>
      <c r="AW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  <c r="AG649" s="152"/>
      <c r="AH649" s="152"/>
      <c r="AI649" s="152"/>
      <c r="AJ649" s="152"/>
      <c r="AK649" s="152"/>
      <c r="AL649" s="152"/>
      <c r="AM649" s="152"/>
      <c r="AN649" s="152"/>
      <c r="AO649" s="152"/>
      <c r="AP649" s="152"/>
      <c r="AQ649" s="152"/>
      <c r="AR649" s="152"/>
      <c r="AS649" s="152"/>
      <c r="AT649" s="152"/>
      <c r="AU649" s="152"/>
      <c r="AV649" s="152"/>
      <c r="AW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  <c r="AG650" s="152"/>
      <c r="AH650" s="152"/>
      <c r="AI650" s="152"/>
      <c r="AJ650" s="152"/>
      <c r="AK650" s="152"/>
      <c r="AL650" s="152"/>
      <c r="AM650" s="152"/>
      <c r="AN650" s="152"/>
      <c r="AO650" s="152"/>
      <c r="AP650" s="152"/>
      <c r="AQ650" s="152"/>
      <c r="AR650" s="152"/>
      <c r="AS650" s="152"/>
      <c r="AT650" s="152"/>
      <c r="AU650" s="152"/>
      <c r="AV650" s="152"/>
      <c r="AW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  <c r="AG651" s="152"/>
      <c r="AH651" s="152"/>
      <c r="AI651" s="152"/>
      <c r="AJ651" s="152"/>
      <c r="AK651" s="152"/>
      <c r="AL651" s="152"/>
      <c r="AM651" s="152"/>
      <c r="AN651" s="152"/>
      <c r="AO651" s="152"/>
      <c r="AP651" s="152"/>
      <c r="AQ651" s="152"/>
      <c r="AR651" s="152"/>
      <c r="AS651" s="152"/>
      <c r="AT651" s="152"/>
      <c r="AU651" s="152"/>
      <c r="AV651" s="152"/>
      <c r="AW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  <c r="AG652" s="152"/>
      <c r="AH652" s="152"/>
      <c r="AI652" s="152"/>
      <c r="AJ652" s="152"/>
      <c r="AK652" s="152"/>
      <c r="AL652" s="152"/>
      <c r="AM652" s="152"/>
      <c r="AN652" s="152"/>
      <c r="AO652" s="152"/>
      <c r="AP652" s="152"/>
      <c r="AQ652" s="152"/>
      <c r="AR652" s="152"/>
      <c r="AS652" s="152"/>
      <c r="AT652" s="152"/>
      <c r="AU652" s="152"/>
      <c r="AV652" s="152"/>
      <c r="AW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  <c r="AH653" s="152"/>
      <c r="AI653" s="152"/>
      <c r="AJ653" s="152"/>
      <c r="AK653" s="152"/>
      <c r="AL653" s="152"/>
      <c r="AM653" s="152"/>
      <c r="AN653" s="152"/>
      <c r="AO653" s="152"/>
      <c r="AP653" s="152"/>
      <c r="AQ653" s="152"/>
      <c r="AR653" s="152"/>
      <c r="AS653" s="152"/>
      <c r="AT653" s="152"/>
      <c r="AU653" s="152"/>
      <c r="AV653" s="152"/>
      <c r="AW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  <c r="AH654" s="152"/>
      <c r="AI654" s="152"/>
      <c r="AJ654" s="152"/>
      <c r="AK654" s="152"/>
      <c r="AL654" s="152"/>
      <c r="AM654" s="152"/>
      <c r="AN654" s="152"/>
      <c r="AO654" s="152"/>
      <c r="AP654" s="152"/>
      <c r="AQ654" s="152"/>
      <c r="AR654" s="152"/>
      <c r="AS654" s="152"/>
      <c r="AT654" s="152"/>
      <c r="AU654" s="152"/>
      <c r="AV654" s="152"/>
      <c r="AW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  <c r="AH655" s="152"/>
      <c r="AI655" s="152"/>
      <c r="AJ655" s="152"/>
      <c r="AK655" s="152"/>
      <c r="AL655" s="152"/>
      <c r="AM655" s="152"/>
      <c r="AN655" s="152"/>
      <c r="AO655" s="152"/>
      <c r="AP655" s="152"/>
      <c r="AQ655" s="152"/>
      <c r="AR655" s="152"/>
      <c r="AS655" s="152"/>
      <c r="AT655" s="152"/>
      <c r="AU655" s="152"/>
      <c r="AV655" s="152"/>
      <c r="AW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  <c r="AH656" s="152"/>
      <c r="AI656" s="152"/>
      <c r="AJ656" s="152"/>
      <c r="AK656" s="152"/>
      <c r="AL656" s="152"/>
      <c r="AM656" s="152"/>
      <c r="AN656" s="152"/>
      <c r="AO656" s="152"/>
      <c r="AP656" s="152"/>
      <c r="AQ656" s="152"/>
      <c r="AR656" s="152"/>
      <c r="AS656" s="152"/>
      <c r="AT656" s="152"/>
      <c r="AU656" s="152"/>
      <c r="AV656" s="152"/>
      <c r="AW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  <c r="AH657" s="152"/>
      <c r="AI657" s="152"/>
      <c r="AJ657" s="152"/>
      <c r="AK657" s="152"/>
      <c r="AL657" s="152"/>
      <c r="AM657" s="152"/>
      <c r="AN657" s="152"/>
      <c r="AO657" s="152"/>
      <c r="AP657" s="152"/>
      <c r="AQ657" s="152"/>
      <c r="AR657" s="152"/>
      <c r="AS657" s="152"/>
      <c r="AT657" s="152"/>
      <c r="AU657" s="152"/>
      <c r="AV657" s="152"/>
      <c r="AW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  <c r="AH658" s="152"/>
      <c r="AI658" s="152"/>
      <c r="AJ658" s="152"/>
      <c r="AK658" s="152"/>
      <c r="AL658" s="152"/>
      <c r="AM658" s="152"/>
      <c r="AN658" s="152"/>
      <c r="AO658" s="152"/>
      <c r="AP658" s="152"/>
      <c r="AQ658" s="152"/>
      <c r="AR658" s="152"/>
      <c r="AS658" s="152"/>
      <c r="AT658" s="152"/>
      <c r="AU658" s="152"/>
      <c r="AV658" s="152"/>
      <c r="AW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  <c r="AH659" s="152"/>
      <c r="AI659" s="152"/>
      <c r="AJ659" s="152"/>
      <c r="AK659" s="152"/>
      <c r="AL659" s="152"/>
      <c r="AM659" s="152"/>
      <c r="AN659" s="152"/>
      <c r="AO659" s="152"/>
      <c r="AP659" s="152"/>
      <c r="AQ659" s="152"/>
      <c r="AR659" s="152"/>
      <c r="AS659" s="152"/>
      <c r="AT659" s="152"/>
      <c r="AU659" s="152"/>
      <c r="AV659" s="152"/>
      <c r="AW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  <c r="AH660" s="152"/>
      <c r="AI660" s="152"/>
      <c r="AJ660" s="152"/>
      <c r="AK660" s="152"/>
      <c r="AL660" s="152"/>
      <c r="AM660" s="152"/>
      <c r="AN660" s="152"/>
      <c r="AO660" s="152"/>
      <c r="AP660" s="152"/>
      <c r="AQ660" s="152"/>
      <c r="AR660" s="152"/>
      <c r="AS660" s="152"/>
      <c r="AT660" s="152"/>
      <c r="AU660" s="152"/>
      <c r="AV660" s="152"/>
      <c r="AW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  <c r="AG661" s="152"/>
      <c r="AH661" s="152"/>
      <c r="AI661" s="152"/>
      <c r="AJ661" s="152"/>
      <c r="AK661" s="152"/>
      <c r="AL661" s="152"/>
      <c r="AM661" s="152"/>
      <c r="AN661" s="152"/>
      <c r="AO661" s="152"/>
      <c r="AP661" s="152"/>
      <c r="AQ661" s="152"/>
      <c r="AR661" s="152"/>
      <c r="AS661" s="152"/>
      <c r="AT661" s="152"/>
      <c r="AU661" s="152"/>
      <c r="AV661" s="152"/>
      <c r="AW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  <c r="AG662" s="152"/>
      <c r="AH662" s="152"/>
      <c r="AI662" s="152"/>
      <c r="AJ662" s="152"/>
      <c r="AK662" s="152"/>
      <c r="AL662" s="152"/>
      <c r="AM662" s="152"/>
      <c r="AN662" s="152"/>
      <c r="AO662" s="152"/>
      <c r="AP662" s="152"/>
      <c r="AQ662" s="152"/>
      <c r="AR662" s="152"/>
      <c r="AS662" s="152"/>
      <c r="AT662" s="152"/>
      <c r="AU662" s="152"/>
      <c r="AV662" s="152"/>
      <c r="AW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  <c r="AG663" s="152"/>
      <c r="AH663" s="152"/>
      <c r="AI663" s="152"/>
      <c r="AJ663" s="152"/>
      <c r="AK663" s="152"/>
      <c r="AL663" s="152"/>
      <c r="AM663" s="152"/>
      <c r="AN663" s="152"/>
      <c r="AO663" s="152"/>
      <c r="AP663" s="152"/>
      <c r="AQ663" s="152"/>
      <c r="AR663" s="152"/>
      <c r="AS663" s="152"/>
      <c r="AT663" s="152"/>
      <c r="AU663" s="152"/>
      <c r="AV663" s="152"/>
      <c r="AW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  <c r="AG664" s="152"/>
      <c r="AH664" s="152"/>
      <c r="AI664" s="152"/>
      <c r="AJ664" s="152"/>
      <c r="AK664" s="152"/>
      <c r="AL664" s="152"/>
      <c r="AM664" s="152"/>
      <c r="AN664" s="152"/>
      <c r="AO664" s="152"/>
      <c r="AP664" s="152"/>
      <c r="AQ664" s="152"/>
      <c r="AR664" s="152"/>
      <c r="AS664" s="152"/>
      <c r="AT664" s="152"/>
      <c r="AU664" s="152"/>
      <c r="AV664" s="152"/>
      <c r="AW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  <c r="AG665" s="152"/>
      <c r="AH665" s="152"/>
      <c r="AI665" s="152"/>
      <c r="AJ665" s="152"/>
      <c r="AK665" s="152"/>
      <c r="AL665" s="152"/>
      <c r="AM665" s="152"/>
      <c r="AN665" s="152"/>
      <c r="AO665" s="152"/>
      <c r="AP665" s="152"/>
      <c r="AQ665" s="152"/>
      <c r="AR665" s="152"/>
      <c r="AS665" s="152"/>
      <c r="AT665" s="152"/>
      <c r="AU665" s="152"/>
      <c r="AV665" s="152"/>
      <c r="AW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  <c r="AG666" s="152"/>
      <c r="AH666" s="152"/>
      <c r="AI666" s="152"/>
      <c r="AJ666" s="152"/>
      <c r="AK666" s="152"/>
      <c r="AL666" s="152"/>
      <c r="AM666" s="152"/>
      <c r="AN666" s="152"/>
      <c r="AO666" s="152"/>
      <c r="AP666" s="152"/>
      <c r="AQ666" s="152"/>
      <c r="AR666" s="152"/>
      <c r="AS666" s="152"/>
      <c r="AT666" s="152"/>
      <c r="AU666" s="152"/>
      <c r="AV666" s="152"/>
      <c r="AW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  <c r="AH667" s="152"/>
      <c r="AI667" s="152"/>
      <c r="AJ667" s="152"/>
      <c r="AK667" s="152"/>
      <c r="AL667" s="152"/>
      <c r="AM667" s="152"/>
      <c r="AN667" s="152"/>
      <c r="AO667" s="152"/>
      <c r="AP667" s="152"/>
      <c r="AQ667" s="152"/>
      <c r="AR667" s="152"/>
      <c r="AS667" s="152"/>
      <c r="AT667" s="152"/>
      <c r="AU667" s="152"/>
      <c r="AV667" s="152"/>
      <c r="AW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  <c r="AH668" s="152"/>
      <c r="AI668" s="152"/>
      <c r="AJ668" s="152"/>
      <c r="AK668" s="152"/>
      <c r="AL668" s="152"/>
      <c r="AM668" s="152"/>
      <c r="AN668" s="152"/>
      <c r="AO668" s="152"/>
      <c r="AP668" s="152"/>
      <c r="AQ668" s="152"/>
      <c r="AR668" s="152"/>
      <c r="AS668" s="152"/>
      <c r="AT668" s="152"/>
      <c r="AU668" s="152"/>
      <c r="AV668" s="152"/>
      <c r="AW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  <c r="AH669" s="152"/>
      <c r="AI669" s="152"/>
      <c r="AJ669" s="152"/>
      <c r="AK669" s="152"/>
      <c r="AL669" s="152"/>
      <c r="AM669" s="152"/>
      <c r="AN669" s="152"/>
      <c r="AO669" s="152"/>
      <c r="AP669" s="152"/>
      <c r="AQ669" s="152"/>
      <c r="AR669" s="152"/>
      <c r="AS669" s="152"/>
      <c r="AT669" s="152"/>
      <c r="AU669" s="152"/>
      <c r="AV669" s="152"/>
      <c r="AW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  <c r="AH670" s="152"/>
      <c r="AI670" s="152"/>
      <c r="AJ670" s="152"/>
      <c r="AK670" s="152"/>
      <c r="AL670" s="152"/>
      <c r="AM670" s="152"/>
      <c r="AN670" s="152"/>
      <c r="AO670" s="152"/>
      <c r="AP670" s="152"/>
      <c r="AQ670" s="152"/>
      <c r="AR670" s="152"/>
      <c r="AS670" s="152"/>
      <c r="AT670" s="152"/>
      <c r="AU670" s="152"/>
      <c r="AV670" s="152"/>
      <c r="AW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  <c r="AH671" s="152"/>
      <c r="AI671" s="152"/>
      <c r="AJ671" s="152"/>
      <c r="AK671" s="152"/>
      <c r="AL671" s="152"/>
      <c r="AM671" s="152"/>
      <c r="AN671" s="152"/>
      <c r="AO671" s="152"/>
      <c r="AP671" s="152"/>
      <c r="AQ671" s="152"/>
      <c r="AR671" s="152"/>
      <c r="AS671" s="152"/>
      <c r="AT671" s="152"/>
      <c r="AU671" s="152"/>
      <c r="AV671" s="152"/>
      <c r="AW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  <c r="AH672" s="152"/>
      <c r="AI672" s="152"/>
      <c r="AJ672" s="152"/>
      <c r="AK672" s="152"/>
      <c r="AL672" s="152"/>
      <c r="AM672" s="152"/>
      <c r="AN672" s="152"/>
      <c r="AO672" s="152"/>
      <c r="AP672" s="152"/>
      <c r="AQ672" s="152"/>
      <c r="AR672" s="152"/>
      <c r="AS672" s="152"/>
      <c r="AT672" s="152"/>
      <c r="AU672" s="152"/>
      <c r="AV672" s="152"/>
      <c r="AW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  <c r="AH673" s="152"/>
      <c r="AI673" s="152"/>
      <c r="AJ673" s="152"/>
      <c r="AK673" s="152"/>
      <c r="AL673" s="152"/>
      <c r="AM673" s="152"/>
      <c r="AN673" s="152"/>
      <c r="AO673" s="152"/>
      <c r="AP673" s="152"/>
      <c r="AQ673" s="152"/>
      <c r="AR673" s="152"/>
      <c r="AS673" s="152"/>
      <c r="AT673" s="152"/>
      <c r="AU673" s="152"/>
      <c r="AV673" s="152"/>
      <c r="AW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  <c r="AH674" s="152"/>
      <c r="AI674" s="152"/>
      <c r="AJ674" s="152"/>
      <c r="AK674" s="152"/>
      <c r="AL674" s="152"/>
      <c r="AM674" s="152"/>
      <c r="AN674" s="152"/>
      <c r="AO674" s="152"/>
      <c r="AP674" s="152"/>
      <c r="AQ674" s="152"/>
      <c r="AR674" s="152"/>
      <c r="AS674" s="152"/>
      <c r="AT674" s="152"/>
      <c r="AU674" s="152"/>
      <c r="AV674" s="152"/>
      <c r="AW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  <c r="AH675" s="152"/>
      <c r="AI675" s="152"/>
      <c r="AJ675" s="152"/>
      <c r="AK675" s="152"/>
      <c r="AL675" s="152"/>
      <c r="AM675" s="152"/>
      <c r="AN675" s="152"/>
      <c r="AO675" s="152"/>
      <c r="AP675" s="152"/>
      <c r="AQ675" s="152"/>
      <c r="AR675" s="152"/>
      <c r="AS675" s="152"/>
      <c r="AT675" s="152"/>
      <c r="AU675" s="152"/>
      <c r="AV675" s="152"/>
      <c r="AW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  <c r="AH676" s="152"/>
      <c r="AI676" s="152"/>
      <c r="AJ676" s="152"/>
      <c r="AK676" s="152"/>
      <c r="AL676" s="152"/>
      <c r="AM676" s="152"/>
      <c r="AN676" s="152"/>
      <c r="AO676" s="152"/>
      <c r="AP676" s="152"/>
      <c r="AQ676" s="152"/>
      <c r="AR676" s="152"/>
      <c r="AS676" s="152"/>
      <c r="AT676" s="152"/>
      <c r="AU676" s="152"/>
      <c r="AV676" s="152"/>
      <c r="AW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  <c r="AH677" s="152"/>
      <c r="AI677" s="152"/>
      <c r="AJ677" s="152"/>
      <c r="AK677" s="152"/>
      <c r="AL677" s="152"/>
      <c r="AM677" s="152"/>
      <c r="AN677" s="152"/>
      <c r="AO677" s="152"/>
      <c r="AP677" s="152"/>
      <c r="AQ677" s="152"/>
      <c r="AR677" s="152"/>
      <c r="AS677" s="152"/>
      <c r="AT677" s="152"/>
      <c r="AU677" s="152"/>
      <c r="AV677" s="152"/>
      <c r="AW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  <c r="AG678" s="152"/>
      <c r="AH678" s="152"/>
      <c r="AI678" s="152"/>
      <c r="AJ678" s="152"/>
      <c r="AK678" s="152"/>
      <c r="AL678" s="152"/>
      <c r="AM678" s="152"/>
      <c r="AN678" s="152"/>
      <c r="AO678" s="152"/>
      <c r="AP678" s="152"/>
      <c r="AQ678" s="152"/>
      <c r="AR678" s="152"/>
      <c r="AS678" s="152"/>
      <c r="AT678" s="152"/>
      <c r="AU678" s="152"/>
      <c r="AV678" s="152"/>
      <c r="AW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  <c r="AG679" s="152"/>
      <c r="AH679" s="152"/>
      <c r="AI679" s="152"/>
      <c r="AJ679" s="152"/>
      <c r="AK679" s="152"/>
      <c r="AL679" s="152"/>
      <c r="AM679" s="152"/>
      <c r="AN679" s="152"/>
      <c r="AO679" s="152"/>
      <c r="AP679" s="152"/>
      <c r="AQ679" s="152"/>
      <c r="AR679" s="152"/>
      <c r="AS679" s="152"/>
      <c r="AT679" s="152"/>
      <c r="AU679" s="152"/>
      <c r="AV679" s="152"/>
      <c r="AW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  <c r="AG680" s="152"/>
      <c r="AH680" s="152"/>
      <c r="AI680" s="152"/>
      <c r="AJ680" s="152"/>
      <c r="AK680" s="152"/>
      <c r="AL680" s="152"/>
      <c r="AM680" s="152"/>
      <c r="AN680" s="152"/>
      <c r="AO680" s="152"/>
      <c r="AP680" s="152"/>
      <c r="AQ680" s="152"/>
      <c r="AR680" s="152"/>
      <c r="AS680" s="152"/>
      <c r="AT680" s="152"/>
      <c r="AU680" s="152"/>
      <c r="AV680" s="152"/>
      <c r="AW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  <c r="AG681" s="152"/>
      <c r="AH681" s="152"/>
      <c r="AI681" s="152"/>
      <c r="AJ681" s="152"/>
      <c r="AK681" s="152"/>
      <c r="AL681" s="152"/>
      <c r="AM681" s="152"/>
      <c r="AN681" s="152"/>
      <c r="AO681" s="152"/>
      <c r="AP681" s="152"/>
      <c r="AQ681" s="152"/>
      <c r="AR681" s="152"/>
      <c r="AS681" s="152"/>
      <c r="AT681" s="152"/>
      <c r="AU681" s="152"/>
      <c r="AV681" s="152"/>
      <c r="AW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  <c r="AG682" s="152"/>
      <c r="AH682" s="152"/>
      <c r="AI682" s="152"/>
      <c r="AJ682" s="152"/>
      <c r="AK682" s="152"/>
      <c r="AL682" s="152"/>
      <c r="AM682" s="152"/>
      <c r="AN682" s="152"/>
      <c r="AO682" s="152"/>
      <c r="AP682" s="152"/>
      <c r="AQ682" s="152"/>
      <c r="AR682" s="152"/>
      <c r="AS682" s="152"/>
      <c r="AT682" s="152"/>
      <c r="AU682" s="152"/>
      <c r="AV682" s="152"/>
      <c r="AW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  <c r="AG683" s="152"/>
      <c r="AH683" s="152"/>
      <c r="AI683" s="152"/>
      <c r="AJ683" s="152"/>
      <c r="AK683" s="152"/>
      <c r="AL683" s="152"/>
      <c r="AM683" s="152"/>
      <c r="AN683" s="152"/>
      <c r="AO683" s="152"/>
      <c r="AP683" s="152"/>
      <c r="AQ683" s="152"/>
      <c r="AR683" s="152"/>
      <c r="AS683" s="152"/>
      <c r="AT683" s="152"/>
      <c r="AU683" s="152"/>
      <c r="AV683" s="152"/>
      <c r="AW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  <c r="AG684" s="152"/>
      <c r="AH684" s="152"/>
      <c r="AI684" s="152"/>
      <c r="AJ684" s="152"/>
      <c r="AK684" s="152"/>
      <c r="AL684" s="152"/>
      <c r="AM684" s="152"/>
      <c r="AN684" s="152"/>
      <c r="AO684" s="152"/>
      <c r="AP684" s="152"/>
      <c r="AQ684" s="152"/>
      <c r="AR684" s="152"/>
      <c r="AS684" s="152"/>
      <c r="AT684" s="152"/>
      <c r="AU684" s="152"/>
      <c r="AV684" s="152"/>
      <c r="AW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  <c r="AH685" s="152"/>
      <c r="AI685" s="152"/>
      <c r="AJ685" s="152"/>
      <c r="AK685" s="152"/>
      <c r="AL685" s="152"/>
      <c r="AM685" s="152"/>
      <c r="AN685" s="152"/>
      <c r="AO685" s="152"/>
      <c r="AP685" s="152"/>
      <c r="AQ685" s="152"/>
      <c r="AR685" s="152"/>
      <c r="AS685" s="152"/>
      <c r="AT685" s="152"/>
      <c r="AU685" s="152"/>
      <c r="AV685" s="152"/>
      <c r="AW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  <c r="AH686" s="152"/>
      <c r="AI686" s="152"/>
      <c r="AJ686" s="152"/>
      <c r="AK686" s="152"/>
      <c r="AL686" s="152"/>
      <c r="AM686" s="152"/>
      <c r="AN686" s="152"/>
      <c r="AO686" s="152"/>
      <c r="AP686" s="152"/>
      <c r="AQ686" s="152"/>
      <c r="AR686" s="152"/>
      <c r="AS686" s="152"/>
      <c r="AT686" s="152"/>
      <c r="AU686" s="152"/>
      <c r="AV686" s="152"/>
      <c r="AW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  <c r="AG687" s="152"/>
      <c r="AH687" s="152"/>
      <c r="AI687" s="152"/>
      <c r="AJ687" s="152"/>
      <c r="AK687" s="152"/>
      <c r="AL687" s="152"/>
      <c r="AM687" s="152"/>
      <c r="AN687" s="152"/>
      <c r="AO687" s="152"/>
      <c r="AP687" s="152"/>
      <c r="AQ687" s="152"/>
      <c r="AR687" s="152"/>
      <c r="AS687" s="152"/>
      <c r="AT687" s="152"/>
      <c r="AU687" s="152"/>
      <c r="AV687" s="152"/>
      <c r="AW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  <c r="AG688" s="152"/>
      <c r="AH688" s="152"/>
      <c r="AI688" s="152"/>
      <c r="AJ688" s="152"/>
      <c r="AK688" s="152"/>
      <c r="AL688" s="152"/>
      <c r="AM688" s="152"/>
      <c r="AN688" s="152"/>
      <c r="AO688" s="152"/>
      <c r="AP688" s="152"/>
      <c r="AQ688" s="152"/>
      <c r="AR688" s="152"/>
      <c r="AS688" s="152"/>
      <c r="AT688" s="152"/>
      <c r="AU688" s="152"/>
      <c r="AV688" s="152"/>
      <c r="AW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  <c r="AG689" s="152"/>
      <c r="AH689" s="152"/>
      <c r="AI689" s="152"/>
      <c r="AJ689" s="152"/>
      <c r="AK689" s="152"/>
      <c r="AL689" s="152"/>
      <c r="AM689" s="152"/>
      <c r="AN689" s="152"/>
      <c r="AO689" s="152"/>
      <c r="AP689" s="152"/>
      <c r="AQ689" s="152"/>
      <c r="AR689" s="152"/>
      <c r="AS689" s="152"/>
      <c r="AT689" s="152"/>
      <c r="AU689" s="152"/>
      <c r="AV689" s="152"/>
      <c r="AW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  <c r="AG690" s="152"/>
      <c r="AH690" s="152"/>
      <c r="AI690" s="152"/>
      <c r="AJ690" s="152"/>
      <c r="AK690" s="152"/>
      <c r="AL690" s="152"/>
      <c r="AM690" s="152"/>
      <c r="AN690" s="152"/>
      <c r="AO690" s="152"/>
      <c r="AP690" s="152"/>
      <c r="AQ690" s="152"/>
      <c r="AR690" s="152"/>
      <c r="AS690" s="152"/>
      <c r="AT690" s="152"/>
      <c r="AU690" s="152"/>
      <c r="AV690" s="152"/>
      <c r="AW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  <c r="AG691" s="152"/>
      <c r="AH691" s="152"/>
      <c r="AI691" s="152"/>
      <c r="AJ691" s="152"/>
      <c r="AK691" s="152"/>
      <c r="AL691" s="152"/>
      <c r="AM691" s="152"/>
      <c r="AN691" s="152"/>
      <c r="AO691" s="152"/>
      <c r="AP691" s="152"/>
      <c r="AQ691" s="152"/>
      <c r="AR691" s="152"/>
      <c r="AS691" s="152"/>
      <c r="AT691" s="152"/>
      <c r="AU691" s="152"/>
      <c r="AV691" s="152"/>
      <c r="AW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  <c r="AG692" s="152"/>
      <c r="AH692" s="152"/>
      <c r="AI692" s="152"/>
      <c r="AJ692" s="152"/>
      <c r="AK692" s="152"/>
      <c r="AL692" s="152"/>
      <c r="AM692" s="152"/>
      <c r="AN692" s="152"/>
      <c r="AO692" s="152"/>
      <c r="AP692" s="152"/>
      <c r="AQ692" s="152"/>
      <c r="AR692" s="152"/>
      <c r="AS692" s="152"/>
      <c r="AT692" s="152"/>
      <c r="AU692" s="152"/>
      <c r="AV692" s="152"/>
      <c r="AW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  <c r="AG693" s="152"/>
      <c r="AH693" s="152"/>
      <c r="AI693" s="152"/>
      <c r="AJ693" s="152"/>
      <c r="AK693" s="152"/>
      <c r="AL693" s="152"/>
      <c r="AM693" s="152"/>
      <c r="AN693" s="152"/>
      <c r="AO693" s="152"/>
      <c r="AP693" s="152"/>
      <c r="AQ693" s="152"/>
      <c r="AR693" s="152"/>
      <c r="AS693" s="152"/>
      <c r="AT693" s="152"/>
      <c r="AU693" s="152"/>
      <c r="AV693" s="152"/>
      <c r="AW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  <c r="AH694" s="152"/>
      <c r="AI694" s="152"/>
      <c r="AJ694" s="152"/>
      <c r="AK694" s="152"/>
      <c r="AL694" s="152"/>
      <c r="AM694" s="152"/>
      <c r="AN694" s="152"/>
      <c r="AO694" s="152"/>
      <c r="AP694" s="152"/>
      <c r="AQ694" s="152"/>
      <c r="AR694" s="152"/>
      <c r="AS694" s="152"/>
      <c r="AT694" s="152"/>
      <c r="AU694" s="152"/>
      <c r="AV694" s="152"/>
      <c r="AW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  <c r="AH695" s="152"/>
      <c r="AI695" s="152"/>
      <c r="AJ695" s="152"/>
      <c r="AK695" s="152"/>
      <c r="AL695" s="152"/>
      <c r="AM695" s="152"/>
      <c r="AN695" s="152"/>
      <c r="AO695" s="152"/>
      <c r="AP695" s="152"/>
      <c r="AQ695" s="152"/>
      <c r="AR695" s="152"/>
      <c r="AS695" s="152"/>
      <c r="AT695" s="152"/>
      <c r="AU695" s="152"/>
      <c r="AV695" s="152"/>
      <c r="AW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  <c r="AH696" s="152"/>
      <c r="AI696" s="152"/>
      <c r="AJ696" s="152"/>
      <c r="AK696" s="152"/>
      <c r="AL696" s="152"/>
      <c r="AM696" s="152"/>
      <c r="AN696" s="152"/>
      <c r="AO696" s="152"/>
      <c r="AP696" s="152"/>
      <c r="AQ696" s="152"/>
      <c r="AR696" s="152"/>
      <c r="AS696" s="152"/>
      <c r="AT696" s="152"/>
      <c r="AU696" s="152"/>
      <c r="AV696" s="152"/>
      <c r="AW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  <c r="AH697" s="152"/>
      <c r="AI697" s="152"/>
      <c r="AJ697" s="152"/>
      <c r="AK697" s="152"/>
      <c r="AL697" s="152"/>
      <c r="AM697" s="152"/>
      <c r="AN697" s="152"/>
      <c r="AO697" s="152"/>
      <c r="AP697" s="152"/>
      <c r="AQ697" s="152"/>
      <c r="AR697" s="152"/>
      <c r="AS697" s="152"/>
      <c r="AT697" s="152"/>
      <c r="AU697" s="152"/>
      <c r="AV697" s="152"/>
      <c r="AW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  <c r="AH698" s="152"/>
      <c r="AI698" s="152"/>
      <c r="AJ698" s="152"/>
      <c r="AK698" s="152"/>
      <c r="AL698" s="152"/>
      <c r="AM698" s="152"/>
      <c r="AN698" s="152"/>
      <c r="AO698" s="152"/>
      <c r="AP698" s="152"/>
      <c r="AQ698" s="152"/>
      <c r="AR698" s="152"/>
      <c r="AS698" s="152"/>
      <c r="AT698" s="152"/>
      <c r="AU698" s="152"/>
      <c r="AV698" s="152"/>
      <c r="AW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  <c r="AH699" s="152"/>
      <c r="AI699" s="152"/>
      <c r="AJ699" s="152"/>
      <c r="AK699" s="152"/>
      <c r="AL699" s="152"/>
      <c r="AM699" s="152"/>
      <c r="AN699" s="152"/>
      <c r="AO699" s="152"/>
      <c r="AP699" s="152"/>
      <c r="AQ699" s="152"/>
      <c r="AR699" s="152"/>
      <c r="AS699" s="152"/>
      <c r="AT699" s="152"/>
      <c r="AU699" s="152"/>
      <c r="AV699" s="152"/>
      <c r="AW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  <c r="AH700" s="152"/>
      <c r="AI700" s="152"/>
      <c r="AJ700" s="152"/>
      <c r="AK700" s="152"/>
      <c r="AL700" s="152"/>
      <c r="AM700" s="152"/>
      <c r="AN700" s="152"/>
      <c r="AO700" s="152"/>
      <c r="AP700" s="152"/>
      <c r="AQ700" s="152"/>
      <c r="AR700" s="152"/>
      <c r="AS700" s="152"/>
      <c r="AT700" s="152"/>
      <c r="AU700" s="152"/>
      <c r="AV700" s="152"/>
      <c r="AW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  <c r="AH701" s="152"/>
      <c r="AI701" s="152"/>
      <c r="AJ701" s="152"/>
      <c r="AK701" s="152"/>
      <c r="AL701" s="152"/>
      <c r="AM701" s="152"/>
      <c r="AN701" s="152"/>
      <c r="AO701" s="152"/>
      <c r="AP701" s="152"/>
      <c r="AQ701" s="152"/>
      <c r="AR701" s="152"/>
      <c r="AS701" s="152"/>
      <c r="AT701" s="152"/>
      <c r="AU701" s="152"/>
      <c r="AV701" s="152"/>
      <c r="AW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  <c r="AH702" s="152"/>
      <c r="AI702" s="152"/>
      <c r="AJ702" s="152"/>
      <c r="AK702" s="152"/>
      <c r="AL702" s="152"/>
      <c r="AM702" s="152"/>
      <c r="AN702" s="152"/>
      <c r="AO702" s="152"/>
      <c r="AP702" s="152"/>
      <c r="AQ702" s="152"/>
      <c r="AR702" s="152"/>
      <c r="AS702" s="152"/>
      <c r="AT702" s="152"/>
      <c r="AU702" s="152"/>
      <c r="AV702" s="152"/>
      <c r="AW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  <c r="AH703" s="152"/>
      <c r="AI703" s="152"/>
      <c r="AJ703" s="152"/>
      <c r="AK703" s="152"/>
      <c r="AL703" s="152"/>
      <c r="AM703" s="152"/>
      <c r="AN703" s="152"/>
      <c r="AO703" s="152"/>
      <c r="AP703" s="152"/>
      <c r="AQ703" s="152"/>
      <c r="AR703" s="152"/>
      <c r="AS703" s="152"/>
      <c r="AT703" s="152"/>
      <c r="AU703" s="152"/>
      <c r="AV703" s="152"/>
      <c r="AW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  <c r="AH704" s="152"/>
      <c r="AI704" s="152"/>
      <c r="AJ704" s="152"/>
      <c r="AK704" s="152"/>
      <c r="AL704" s="152"/>
      <c r="AM704" s="152"/>
      <c r="AN704" s="152"/>
      <c r="AO704" s="152"/>
      <c r="AP704" s="152"/>
      <c r="AQ704" s="152"/>
      <c r="AR704" s="152"/>
      <c r="AS704" s="152"/>
      <c r="AT704" s="152"/>
      <c r="AU704" s="152"/>
      <c r="AV704" s="152"/>
      <c r="AW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  <c r="AG705" s="152"/>
      <c r="AH705" s="152"/>
      <c r="AI705" s="152"/>
      <c r="AJ705" s="152"/>
      <c r="AK705" s="152"/>
      <c r="AL705" s="152"/>
      <c r="AM705" s="152"/>
      <c r="AN705" s="152"/>
      <c r="AO705" s="152"/>
      <c r="AP705" s="152"/>
      <c r="AQ705" s="152"/>
      <c r="AR705" s="152"/>
      <c r="AS705" s="152"/>
      <c r="AT705" s="152"/>
      <c r="AU705" s="152"/>
      <c r="AV705" s="152"/>
      <c r="AW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  <c r="AG706" s="152"/>
      <c r="AH706" s="152"/>
      <c r="AI706" s="152"/>
      <c r="AJ706" s="152"/>
      <c r="AK706" s="152"/>
      <c r="AL706" s="152"/>
      <c r="AM706" s="152"/>
      <c r="AN706" s="152"/>
      <c r="AO706" s="152"/>
      <c r="AP706" s="152"/>
      <c r="AQ706" s="152"/>
      <c r="AR706" s="152"/>
      <c r="AS706" s="152"/>
      <c r="AT706" s="152"/>
      <c r="AU706" s="152"/>
      <c r="AV706" s="152"/>
      <c r="AW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  <c r="AG707" s="152"/>
      <c r="AH707" s="152"/>
      <c r="AI707" s="152"/>
      <c r="AJ707" s="152"/>
      <c r="AK707" s="152"/>
      <c r="AL707" s="152"/>
      <c r="AM707" s="152"/>
      <c r="AN707" s="152"/>
      <c r="AO707" s="152"/>
      <c r="AP707" s="152"/>
      <c r="AQ707" s="152"/>
      <c r="AR707" s="152"/>
      <c r="AS707" s="152"/>
      <c r="AT707" s="152"/>
      <c r="AU707" s="152"/>
      <c r="AV707" s="152"/>
      <c r="AW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  <c r="AG708" s="152"/>
      <c r="AH708" s="152"/>
      <c r="AI708" s="152"/>
      <c r="AJ708" s="152"/>
      <c r="AK708" s="152"/>
      <c r="AL708" s="152"/>
      <c r="AM708" s="152"/>
      <c r="AN708" s="152"/>
      <c r="AO708" s="152"/>
      <c r="AP708" s="152"/>
      <c r="AQ708" s="152"/>
      <c r="AR708" s="152"/>
      <c r="AS708" s="152"/>
      <c r="AT708" s="152"/>
      <c r="AU708" s="152"/>
      <c r="AV708" s="152"/>
      <c r="AW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  <c r="AG709" s="152"/>
      <c r="AH709" s="152"/>
      <c r="AI709" s="152"/>
      <c r="AJ709" s="152"/>
      <c r="AK709" s="152"/>
      <c r="AL709" s="152"/>
      <c r="AM709" s="152"/>
      <c r="AN709" s="152"/>
      <c r="AO709" s="152"/>
      <c r="AP709" s="152"/>
      <c r="AQ709" s="152"/>
      <c r="AR709" s="152"/>
      <c r="AS709" s="152"/>
      <c r="AT709" s="152"/>
      <c r="AU709" s="152"/>
      <c r="AV709" s="152"/>
      <c r="AW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  <c r="AG710" s="152"/>
      <c r="AH710" s="152"/>
      <c r="AI710" s="152"/>
      <c r="AJ710" s="152"/>
      <c r="AK710" s="152"/>
      <c r="AL710" s="152"/>
      <c r="AM710" s="152"/>
      <c r="AN710" s="152"/>
      <c r="AO710" s="152"/>
      <c r="AP710" s="152"/>
      <c r="AQ710" s="152"/>
      <c r="AR710" s="152"/>
      <c r="AS710" s="152"/>
      <c r="AT710" s="152"/>
      <c r="AU710" s="152"/>
      <c r="AV710" s="152"/>
      <c r="AW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  <c r="AG711" s="152"/>
      <c r="AH711" s="152"/>
      <c r="AI711" s="152"/>
      <c r="AJ711" s="152"/>
      <c r="AK711" s="152"/>
      <c r="AL711" s="152"/>
      <c r="AM711" s="152"/>
      <c r="AN711" s="152"/>
      <c r="AO711" s="152"/>
      <c r="AP711" s="152"/>
      <c r="AQ711" s="152"/>
      <c r="AR711" s="152"/>
      <c r="AS711" s="152"/>
      <c r="AT711" s="152"/>
      <c r="AU711" s="152"/>
      <c r="AV711" s="152"/>
      <c r="AW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  <c r="AH712" s="152"/>
      <c r="AI712" s="152"/>
      <c r="AJ712" s="152"/>
      <c r="AK712" s="152"/>
      <c r="AL712" s="152"/>
      <c r="AM712" s="152"/>
      <c r="AN712" s="152"/>
      <c r="AO712" s="152"/>
      <c r="AP712" s="152"/>
      <c r="AQ712" s="152"/>
      <c r="AR712" s="152"/>
      <c r="AS712" s="152"/>
      <c r="AT712" s="152"/>
      <c r="AU712" s="152"/>
      <c r="AV712" s="152"/>
      <c r="AW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  <c r="AH713" s="152"/>
      <c r="AI713" s="152"/>
      <c r="AJ713" s="152"/>
      <c r="AK713" s="152"/>
      <c r="AL713" s="152"/>
      <c r="AM713" s="152"/>
      <c r="AN713" s="152"/>
      <c r="AO713" s="152"/>
      <c r="AP713" s="152"/>
      <c r="AQ713" s="152"/>
      <c r="AR713" s="152"/>
      <c r="AS713" s="152"/>
      <c r="AT713" s="152"/>
      <c r="AU713" s="152"/>
      <c r="AV713" s="152"/>
      <c r="AW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  <c r="AH714" s="152"/>
      <c r="AI714" s="152"/>
      <c r="AJ714" s="152"/>
      <c r="AK714" s="152"/>
      <c r="AL714" s="152"/>
      <c r="AM714" s="152"/>
      <c r="AN714" s="152"/>
      <c r="AO714" s="152"/>
      <c r="AP714" s="152"/>
      <c r="AQ714" s="152"/>
      <c r="AR714" s="152"/>
      <c r="AS714" s="152"/>
      <c r="AT714" s="152"/>
      <c r="AU714" s="152"/>
      <c r="AV714" s="152"/>
      <c r="AW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  <c r="AH715" s="152"/>
      <c r="AI715" s="152"/>
      <c r="AJ715" s="152"/>
      <c r="AK715" s="152"/>
      <c r="AL715" s="152"/>
      <c r="AM715" s="152"/>
      <c r="AN715" s="152"/>
      <c r="AO715" s="152"/>
      <c r="AP715" s="152"/>
      <c r="AQ715" s="152"/>
      <c r="AR715" s="152"/>
      <c r="AS715" s="152"/>
      <c r="AT715" s="152"/>
      <c r="AU715" s="152"/>
      <c r="AV715" s="152"/>
      <c r="AW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  <c r="AH716" s="152"/>
      <c r="AI716" s="152"/>
      <c r="AJ716" s="152"/>
      <c r="AK716" s="152"/>
      <c r="AL716" s="152"/>
      <c r="AM716" s="152"/>
      <c r="AN716" s="152"/>
      <c r="AO716" s="152"/>
      <c r="AP716" s="152"/>
      <c r="AQ716" s="152"/>
      <c r="AR716" s="152"/>
      <c r="AS716" s="152"/>
      <c r="AT716" s="152"/>
      <c r="AU716" s="152"/>
      <c r="AV716" s="152"/>
      <c r="AW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  <c r="AH717" s="152"/>
      <c r="AI717" s="152"/>
      <c r="AJ717" s="152"/>
      <c r="AK717" s="152"/>
      <c r="AL717" s="152"/>
      <c r="AM717" s="152"/>
      <c r="AN717" s="152"/>
      <c r="AO717" s="152"/>
      <c r="AP717" s="152"/>
      <c r="AQ717" s="152"/>
      <c r="AR717" s="152"/>
      <c r="AS717" s="152"/>
      <c r="AT717" s="152"/>
      <c r="AU717" s="152"/>
      <c r="AV717" s="152"/>
      <c r="AW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  <c r="AH718" s="152"/>
      <c r="AI718" s="152"/>
      <c r="AJ718" s="152"/>
      <c r="AK718" s="152"/>
      <c r="AL718" s="152"/>
      <c r="AM718" s="152"/>
      <c r="AN718" s="152"/>
      <c r="AO718" s="152"/>
      <c r="AP718" s="152"/>
      <c r="AQ718" s="152"/>
      <c r="AR718" s="152"/>
      <c r="AS718" s="152"/>
      <c r="AT718" s="152"/>
      <c r="AU718" s="152"/>
      <c r="AV718" s="152"/>
      <c r="AW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  <c r="AH719" s="152"/>
      <c r="AI719" s="152"/>
      <c r="AJ719" s="152"/>
      <c r="AK719" s="152"/>
      <c r="AL719" s="152"/>
      <c r="AM719" s="152"/>
      <c r="AN719" s="152"/>
      <c r="AO719" s="152"/>
      <c r="AP719" s="152"/>
      <c r="AQ719" s="152"/>
      <c r="AR719" s="152"/>
      <c r="AS719" s="152"/>
      <c r="AT719" s="152"/>
      <c r="AU719" s="152"/>
      <c r="AV719" s="152"/>
      <c r="AW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  <c r="AH720" s="152"/>
      <c r="AI720" s="152"/>
      <c r="AJ720" s="152"/>
      <c r="AK720" s="152"/>
      <c r="AL720" s="152"/>
      <c r="AM720" s="152"/>
      <c r="AN720" s="152"/>
      <c r="AO720" s="152"/>
      <c r="AP720" s="152"/>
      <c r="AQ720" s="152"/>
      <c r="AR720" s="152"/>
      <c r="AS720" s="152"/>
      <c r="AT720" s="152"/>
      <c r="AU720" s="152"/>
      <c r="AV720" s="152"/>
      <c r="AW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  <c r="AH721" s="152"/>
      <c r="AI721" s="152"/>
      <c r="AJ721" s="152"/>
      <c r="AK721" s="152"/>
      <c r="AL721" s="152"/>
      <c r="AM721" s="152"/>
      <c r="AN721" s="152"/>
      <c r="AO721" s="152"/>
      <c r="AP721" s="152"/>
      <c r="AQ721" s="152"/>
      <c r="AR721" s="152"/>
      <c r="AS721" s="152"/>
      <c r="AT721" s="152"/>
      <c r="AU721" s="152"/>
      <c r="AV721" s="152"/>
      <c r="AW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  <c r="AH722" s="152"/>
      <c r="AI722" s="152"/>
      <c r="AJ722" s="152"/>
      <c r="AK722" s="152"/>
      <c r="AL722" s="152"/>
      <c r="AM722" s="152"/>
      <c r="AN722" s="152"/>
      <c r="AO722" s="152"/>
      <c r="AP722" s="152"/>
      <c r="AQ722" s="152"/>
      <c r="AR722" s="152"/>
      <c r="AS722" s="152"/>
      <c r="AT722" s="152"/>
      <c r="AU722" s="152"/>
      <c r="AV722" s="152"/>
      <c r="AW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  <c r="AH723" s="152"/>
      <c r="AI723" s="152"/>
      <c r="AJ723" s="152"/>
      <c r="AK723" s="152"/>
      <c r="AL723" s="152"/>
      <c r="AM723" s="152"/>
      <c r="AN723" s="152"/>
      <c r="AO723" s="152"/>
      <c r="AP723" s="152"/>
      <c r="AQ723" s="152"/>
      <c r="AR723" s="152"/>
      <c r="AS723" s="152"/>
      <c r="AT723" s="152"/>
      <c r="AU723" s="152"/>
      <c r="AV723" s="152"/>
      <c r="AW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  <c r="AH724" s="152"/>
      <c r="AI724" s="152"/>
      <c r="AJ724" s="152"/>
      <c r="AK724" s="152"/>
      <c r="AL724" s="152"/>
      <c r="AM724" s="152"/>
      <c r="AN724" s="152"/>
      <c r="AO724" s="152"/>
      <c r="AP724" s="152"/>
      <c r="AQ724" s="152"/>
      <c r="AR724" s="152"/>
      <c r="AS724" s="152"/>
      <c r="AT724" s="152"/>
      <c r="AU724" s="152"/>
      <c r="AV724" s="152"/>
      <c r="AW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  <c r="AH725" s="152"/>
      <c r="AI725" s="152"/>
      <c r="AJ725" s="152"/>
      <c r="AK725" s="152"/>
      <c r="AL725" s="152"/>
      <c r="AM725" s="152"/>
      <c r="AN725" s="152"/>
      <c r="AO725" s="152"/>
      <c r="AP725" s="152"/>
      <c r="AQ725" s="152"/>
      <c r="AR725" s="152"/>
      <c r="AS725" s="152"/>
      <c r="AT725" s="152"/>
      <c r="AU725" s="152"/>
      <c r="AV725" s="152"/>
      <c r="AW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  <c r="AH726" s="152"/>
      <c r="AI726" s="152"/>
      <c r="AJ726" s="152"/>
      <c r="AK726" s="152"/>
      <c r="AL726" s="152"/>
      <c r="AM726" s="152"/>
      <c r="AN726" s="152"/>
      <c r="AO726" s="152"/>
      <c r="AP726" s="152"/>
      <c r="AQ726" s="152"/>
      <c r="AR726" s="152"/>
      <c r="AS726" s="152"/>
      <c r="AT726" s="152"/>
      <c r="AU726" s="152"/>
      <c r="AV726" s="152"/>
      <c r="AW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  <c r="AH727" s="152"/>
      <c r="AI727" s="152"/>
      <c r="AJ727" s="152"/>
      <c r="AK727" s="152"/>
      <c r="AL727" s="152"/>
      <c r="AM727" s="152"/>
      <c r="AN727" s="152"/>
      <c r="AO727" s="152"/>
      <c r="AP727" s="152"/>
      <c r="AQ727" s="152"/>
      <c r="AR727" s="152"/>
      <c r="AS727" s="152"/>
      <c r="AT727" s="152"/>
      <c r="AU727" s="152"/>
      <c r="AV727" s="152"/>
      <c r="AW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  <c r="AH728" s="152"/>
      <c r="AI728" s="152"/>
      <c r="AJ728" s="152"/>
      <c r="AK728" s="152"/>
      <c r="AL728" s="152"/>
      <c r="AM728" s="152"/>
      <c r="AN728" s="152"/>
      <c r="AO728" s="152"/>
      <c r="AP728" s="152"/>
      <c r="AQ728" s="152"/>
      <c r="AR728" s="152"/>
      <c r="AS728" s="152"/>
      <c r="AT728" s="152"/>
      <c r="AU728" s="152"/>
      <c r="AV728" s="152"/>
      <c r="AW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  <c r="AH729" s="152"/>
      <c r="AI729" s="152"/>
      <c r="AJ729" s="152"/>
      <c r="AK729" s="152"/>
      <c r="AL729" s="152"/>
      <c r="AM729" s="152"/>
      <c r="AN729" s="152"/>
      <c r="AO729" s="152"/>
      <c r="AP729" s="152"/>
      <c r="AQ729" s="152"/>
      <c r="AR729" s="152"/>
      <c r="AS729" s="152"/>
      <c r="AT729" s="152"/>
      <c r="AU729" s="152"/>
      <c r="AV729" s="152"/>
      <c r="AW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  <c r="AH730" s="152"/>
      <c r="AI730" s="152"/>
      <c r="AJ730" s="152"/>
      <c r="AK730" s="152"/>
      <c r="AL730" s="152"/>
      <c r="AM730" s="152"/>
      <c r="AN730" s="152"/>
      <c r="AO730" s="152"/>
      <c r="AP730" s="152"/>
      <c r="AQ730" s="152"/>
      <c r="AR730" s="152"/>
      <c r="AS730" s="152"/>
      <c r="AT730" s="152"/>
      <c r="AU730" s="152"/>
      <c r="AV730" s="152"/>
      <c r="AW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  <c r="AH731" s="152"/>
      <c r="AI731" s="152"/>
      <c r="AJ731" s="152"/>
      <c r="AK731" s="152"/>
      <c r="AL731" s="152"/>
      <c r="AM731" s="152"/>
      <c r="AN731" s="152"/>
      <c r="AO731" s="152"/>
      <c r="AP731" s="152"/>
      <c r="AQ731" s="152"/>
      <c r="AR731" s="152"/>
      <c r="AS731" s="152"/>
      <c r="AT731" s="152"/>
      <c r="AU731" s="152"/>
      <c r="AV731" s="152"/>
      <c r="AW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  <c r="AG732" s="152"/>
      <c r="AH732" s="152"/>
      <c r="AI732" s="152"/>
      <c r="AJ732" s="152"/>
      <c r="AK732" s="152"/>
      <c r="AL732" s="152"/>
      <c r="AM732" s="152"/>
      <c r="AN732" s="152"/>
      <c r="AO732" s="152"/>
      <c r="AP732" s="152"/>
      <c r="AQ732" s="152"/>
      <c r="AR732" s="152"/>
      <c r="AS732" s="152"/>
      <c r="AT732" s="152"/>
      <c r="AU732" s="152"/>
      <c r="AV732" s="152"/>
      <c r="AW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  <c r="AG733" s="152"/>
      <c r="AH733" s="152"/>
      <c r="AI733" s="152"/>
      <c r="AJ733" s="152"/>
      <c r="AK733" s="152"/>
      <c r="AL733" s="152"/>
      <c r="AM733" s="152"/>
      <c r="AN733" s="152"/>
      <c r="AO733" s="152"/>
      <c r="AP733" s="152"/>
      <c r="AQ733" s="152"/>
      <c r="AR733" s="152"/>
      <c r="AS733" s="152"/>
      <c r="AT733" s="152"/>
      <c r="AU733" s="152"/>
      <c r="AV733" s="152"/>
      <c r="AW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  <c r="AG734" s="152"/>
      <c r="AH734" s="152"/>
      <c r="AI734" s="152"/>
      <c r="AJ734" s="152"/>
      <c r="AK734" s="152"/>
      <c r="AL734" s="152"/>
      <c r="AM734" s="152"/>
      <c r="AN734" s="152"/>
      <c r="AO734" s="152"/>
      <c r="AP734" s="152"/>
      <c r="AQ734" s="152"/>
      <c r="AR734" s="152"/>
      <c r="AS734" s="152"/>
      <c r="AT734" s="152"/>
      <c r="AU734" s="152"/>
      <c r="AV734" s="152"/>
      <c r="AW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  <c r="AG735" s="152"/>
      <c r="AH735" s="152"/>
      <c r="AI735" s="152"/>
      <c r="AJ735" s="152"/>
      <c r="AK735" s="152"/>
      <c r="AL735" s="152"/>
      <c r="AM735" s="152"/>
      <c r="AN735" s="152"/>
      <c r="AO735" s="152"/>
      <c r="AP735" s="152"/>
      <c r="AQ735" s="152"/>
      <c r="AR735" s="152"/>
      <c r="AS735" s="152"/>
      <c r="AT735" s="152"/>
      <c r="AU735" s="152"/>
      <c r="AV735" s="152"/>
      <c r="AW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  <c r="AG736" s="152"/>
      <c r="AH736" s="152"/>
      <c r="AI736" s="152"/>
      <c r="AJ736" s="152"/>
      <c r="AK736" s="152"/>
      <c r="AL736" s="152"/>
      <c r="AM736" s="152"/>
      <c r="AN736" s="152"/>
      <c r="AO736" s="152"/>
      <c r="AP736" s="152"/>
      <c r="AQ736" s="152"/>
      <c r="AR736" s="152"/>
      <c r="AS736" s="152"/>
      <c r="AT736" s="152"/>
      <c r="AU736" s="152"/>
      <c r="AV736" s="152"/>
      <c r="AW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  <c r="AG737" s="152"/>
      <c r="AH737" s="152"/>
      <c r="AI737" s="152"/>
      <c r="AJ737" s="152"/>
      <c r="AK737" s="152"/>
      <c r="AL737" s="152"/>
      <c r="AM737" s="152"/>
      <c r="AN737" s="152"/>
      <c r="AO737" s="152"/>
      <c r="AP737" s="152"/>
      <c r="AQ737" s="152"/>
      <c r="AR737" s="152"/>
      <c r="AS737" s="152"/>
      <c r="AT737" s="152"/>
      <c r="AU737" s="152"/>
      <c r="AV737" s="152"/>
      <c r="AW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  <c r="AH738" s="152"/>
      <c r="AI738" s="152"/>
      <c r="AJ738" s="152"/>
      <c r="AK738" s="152"/>
      <c r="AL738" s="152"/>
      <c r="AM738" s="152"/>
      <c r="AN738" s="152"/>
      <c r="AO738" s="152"/>
      <c r="AP738" s="152"/>
      <c r="AQ738" s="152"/>
      <c r="AR738" s="152"/>
      <c r="AS738" s="152"/>
      <c r="AT738" s="152"/>
      <c r="AU738" s="152"/>
      <c r="AV738" s="152"/>
      <c r="AW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  <c r="AH739" s="152"/>
      <c r="AI739" s="152"/>
      <c r="AJ739" s="152"/>
      <c r="AK739" s="152"/>
      <c r="AL739" s="152"/>
      <c r="AM739" s="152"/>
      <c r="AN739" s="152"/>
      <c r="AO739" s="152"/>
      <c r="AP739" s="152"/>
      <c r="AQ739" s="152"/>
      <c r="AR739" s="152"/>
      <c r="AS739" s="152"/>
      <c r="AT739" s="152"/>
      <c r="AU739" s="152"/>
      <c r="AV739" s="152"/>
      <c r="AW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  <c r="AH740" s="152"/>
      <c r="AI740" s="152"/>
      <c r="AJ740" s="152"/>
      <c r="AK740" s="152"/>
      <c r="AL740" s="152"/>
      <c r="AM740" s="152"/>
      <c r="AN740" s="152"/>
      <c r="AO740" s="152"/>
      <c r="AP740" s="152"/>
      <c r="AQ740" s="152"/>
      <c r="AR740" s="152"/>
      <c r="AS740" s="152"/>
      <c r="AT740" s="152"/>
      <c r="AU740" s="152"/>
      <c r="AV740" s="152"/>
      <c r="AW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  <c r="AH741" s="152"/>
      <c r="AI741" s="152"/>
      <c r="AJ741" s="152"/>
      <c r="AK741" s="152"/>
      <c r="AL741" s="152"/>
      <c r="AM741" s="152"/>
      <c r="AN741" s="152"/>
      <c r="AO741" s="152"/>
      <c r="AP741" s="152"/>
      <c r="AQ741" s="152"/>
      <c r="AR741" s="152"/>
      <c r="AS741" s="152"/>
      <c r="AT741" s="152"/>
      <c r="AU741" s="152"/>
      <c r="AV741" s="152"/>
      <c r="AW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  <c r="AH742" s="152"/>
      <c r="AI742" s="152"/>
      <c r="AJ742" s="152"/>
      <c r="AK742" s="152"/>
      <c r="AL742" s="152"/>
      <c r="AM742" s="152"/>
      <c r="AN742" s="152"/>
      <c r="AO742" s="152"/>
      <c r="AP742" s="152"/>
      <c r="AQ742" s="152"/>
      <c r="AR742" s="152"/>
      <c r="AS742" s="152"/>
      <c r="AT742" s="152"/>
      <c r="AU742" s="152"/>
      <c r="AV742" s="152"/>
      <c r="AW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  <c r="AH743" s="152"/>
      <c r="AI743" s="152"/>
      <c r="AJ743" s="152"/>
      <c r="AK743" s="152"/>
      <c r="AL743" s="152"/>
      <c r="AM743" s="152"/>
      <c r="AN743" s="152"/>
      <c r="AO743" s="152"/>
      <c r="AP743" s="152"/>
      <c r="AQ743" s="152"/>
      <c r="AR743" s="152"/>
      <c r="AS743" s="152"/>
      <c r="AT743" s="152"/>
      <c r="AU743" s="152"/>
      <c r="AV743" s="152"/>
      <c r="AW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  <c r="AH744" s="152"/>
      <c r="AI744" s="152"/>
      <c r="AJ744" s="152"/>
      <c r="AK744" s="152"/>
      <c r="AL744" s="152"/>
      <c r="AM744" s="152"/>
      <c r="AN744" s="152"/>
      <c r="AO744" s="152"/>
      <c r="AP744" s="152"/>
      <c r="AQ744" s="152"/>
      <c r="AR744" s="152"/>
      <c r="AS744" s="152"/>
      <c r="AT744" s="152"/>
      <c r="AU744" s="152"/>
      <c r="AV744" s="152"/>
      <c r="AW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  <c r="AH745" s="152"/>
      <c r="AI745" s="152"/>
      <c r="AJ745" s="152"/>
      <c r="AK745" s="152"/>
      <c r="AL745" s="152"/>
      <c r="AM745" s="152"/>
      <c r="AN745" s="152"/>
      <c r="AO745" s="152"/>
      <c r="AP745" s="152"/>
      <c r="AQ745" s="152"/>
      <c r="AR745" s="152"/>
      <c r="AS745" s="152"/>
      <c r="AT745" s="152"/>
      <c r="AU745" s="152"/>
      <c r="AV745" s="152"/>
      <c r="AW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  <c r="AG746" s="152"/>
      <c r="AH746" s="152"/>
      <c r="AI746" s="152"/>
      <c r="AJ746" s="152"/>
      <c r="AK746" s="152"/>
      <c r="AL746" s="152"/>
      <c r="AM746" s="152"/>
      <c r="AN746" s="152"/>
      <c r="AO746" s="152"/>
      <c r="AP746" s="152"/>
      <c r="AQ746" s="152"/>
      <c r="AR746" s="152"/>
      <c r="AS746" s="152"/>
      <c r="AT746" s="152"/>
      <c r="AU746" s="152"/>
      <c r="AV746" s="152"/>
      <c r="AW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  <c r="AG747" s="152"/>
      <c r="AH747" s="152"/>
      <c r="AI747" s="152"/>
      <c r="AJ747" s="152"/>
      <c r="AK747" s="152"/>
      <c r="AL747" s="152"/>
      <c r="AM747" s="152"/>
      <c r="AN747" s="152"/>
      <c r="AO747" s="152"/>
      <c r="AP747" s="152"/>
      <c r="AQ747" s="152"/>
      <c r="AR747" s="152"/>
      <c r="AS747" s="152"/>
      <c r="AT747" s="152"/>
      <c r="AU747" s="152"/>
      <c r="AV747" s="152"/>
      <c r="AW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  <c r="AG748" s="152"/>
      <c r="AH748" s="152"/>
      <c r="AI748" s="152"/>
      <c r="AJ748" s="152"/>
      <c r="AK748" s="152"/>
      <c r="AL748" s="152"/>
      <c r="AM748" s="152"/>
      <c r="AN748" s="152"/>
      <c r="AO748" s="152"/>
      <c r="AP748" s="152"/>
      <c r="AQ748" s="152"/>
      <c r="AR748" s="152"/>
      <c r="AS748" s="152"/>
      <c r="AT748" s="152"/>
      <c r="AU748" s="152"/>
      <c r="AV748" s="152"/>
      <c r="AW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  <c r="AG749" s="152"/>
      <c r="AH749" s="152"/>
      <c r="AI749" s="152"/>
      <c r="AJ749" s="152"/>
      <c r="AK749" s="152"/>
      <c r="AL749" s="152"/>
      <c r="AM749" s="152"/>
      <c r="AN749" s="152"/>
      <c r="AO749" s="152"/>
      <c r="AP749" s="152"/>
      <c r="AQ749" s="152"/>
      <c r="AR749" s="152"/>
      <c r="AS749" s="152"/>
      <c r="AT749" s="152"/>
      <c r="AU749" s="152"/>
      <c r="AV749" s="152"/>
      <c r="AW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  <c r="AG750" s="152"/>
      <c r="AH750" s="152"/>
      <c r="AI750" s="152"/>
      <c r="AJ750" s="152"/>
      <c r="AK750" s="152"/>
      <c r="AL750" s="152"/>
      <c r="AM750" s="152"/>
      <c r="AN750" s="152"/>
      <c r="AO750" s="152"/>
      <c r="AP750" s="152"/>
      <c r="AQ750" s="152"/>
      <c r="AR750" s="152"/>
      <c r="AS750" s="152"/>
      <c r="AT750" s="152"/>
      <c r="AU750" s="152"/>
      <c r="AV750" s="152"/>
      <c r="AW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  <c r="AG751" s="152"/>
      <c r="AH751" s="152"/>
      <c r="AI751" s="152"/>
      <c r="AJ751" s="152"/>
      <c r="AK751" s="152"/>
      <c r="AL751" s="152"/>
      <c r="AM751" s="152"/>
      <c r="AN751" s="152"/>
      <c r="AO751" s="152"/>
      <c r="AP751" s="152"/>
      <c r="AQ751" s="152"/>
      <c r="AR751" s="152"/>
      <c r="AS751" s="152"/>
      <c r="AT751" s="152"/>
      <c r="AU751" s="152"/>
      <c r="AV751" s="152"/>
      <c r="AW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  <c r="AG752" s="152"/>
      <c r="AH752" s="152"/>
      <c r="AI752" s="152"/>
      <c r="AJ752" s="152"/>
      <c r="AK752" s="152"/>
      <c r="AL752" s="152"/>
      <c r="AM752" s="152"/>
      <c r="AN752" s="152"/>
      <c r="AO752" s="152"/>
      <c r="AP752" s="152"/>
      <c r="AQ752" s="152"/>
      <c r="AR752" s="152"/>
      <c r="AS752" s="152"/>
      <c r="AT752" s="152"/>
      <c r="AU752" s="152"/>
      <c r="AV752" s="152"/>
      <c r="AW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  <c r="AG753" s="152"/>
      <c r="AH753" s="152"/>
      <c r="AI753" s="152"/>
      <c r="AJ753" s="152"/>
      <c r="AK753" s="152"/>
      <c r="AL753" s="152"/>
      <c r="AM753" s="152"/>
      <c r="AN753" s="152"/>
      <c r="AO753" s="152"/>
      <c r="AP753" s="152"/>
      <c r="AQ753" s="152"/>
      <c r="AR753" s="152"/>
      <c r="AS753" s="152"/>
      <c r="AT753" s="152"/>
      <c r="AU753" s="152"/>
      <c r="AV753" s="152"/>
      <c r="AW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  <c r="AG754" s="152"/>
      <c r="AH754" s="152"/>
      <c r="AI754" s="152"/>
      <c r="AJ754" s="152"/>
      <c r="AK754" s="152"/>
      <c r="AL754" s="152"/>
      <c r="AM754" s="152"/>
      <c r="AN754" s="152"/>
      <c r="AO754" s="152"/>
      <c r="AP754" s="152"/>
      <c r="AQ754" s="152"/>
      <c r="AR754" s="152"/>
      <c r="AS754" s="152"/>
      <c r="AT754" s="152"/>
      <c r="AU754" s="152"/>
      <c r="AV754" s="152"/>
      <c r="AW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  <c r="AG755" s="152"/>
      <c r="AH755" s="152"/>
      <c r="AI755" s="152"/>
      <c r="AJ755" s="152"/>
      <c r="AK755" s="152"/>
      <c r="AL755" s="152"/>
      <c r="AM755" s="152"/>
      <c r="AN755" s="152"/>
      <c r="AO755" s="152"/>
      <c r="AP755" s="152"/>
      <c r="AQ755" s="152"/>
      <c r="AR755" s="152"/>
      <c r="AS755" s="152"/>
      <c r="AT755" s="152"/>
      <c r="AU755" s="152"/>
      <c r="AV755" s="152"/>
      <c r="AW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  <c r="AG756" s="152"/>
      <c r="AH756" s="152"/>
      <c r="AI756" s="152"/>
      <c r="AJ756" s="152"/>
      <c r="AK756" s="152"/>
      <c r="AL756" s="152"/>
      <c r="AM756" s="152"/>
      <c r="AN756" s="152"/>
      <c r="AO756" s="152"/>
      <c r="AP756" s="152"/>
      <c r="AQ756" s="152"/>
      <c r="AR756" s="152"/>
      <c r="AS756" s="152"/>
      <c r="AT756" s="152"/>
      <c r="AU756" s="152"/>
      <c r="AV756" s="152"/>
      <c r="AW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  <c r="AG757" s="152"/>
      <c r="AH757" s="152"/>
      <c r="AI757" s="152"/>
      <c r="AJ757" s="152"/>
      <c r="AK757" s="152"/>
      <c r="AL757" s="152"/>
      <c r="AM757" s="152"/>
      <c r="AN757" s="152"/>
      <c r="AO757" s="152"/>
      <c r="AP757" s="152"/>
      <c r="AQ757" s="152"/>
      <c r="AR757" s="152"/>
      <c r="AS757" s="152"/>
      <c r="AT757" s="152"/>
      <c r="AU757" s="152"/>
      <c r="AV757" s="152"/>
      <c r="AW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  <c r="AG758" s="152"/>
      <c r="AH758" s="152"/>
      <c r="AI758" s="152"/>
      <c r="AJ758" s="152"/>
      <c r="AK758" s="152"/>
      <c r="AL758" s="152"/>
      <c r="AM758" s="152"/>
      <c r="AN758" s="152"/>
      <c r="AO758" s="152"/>
      <c r="AP758" s="152"/>
      <c r="AQ758" s="152"/>
      <c r="AR758" s="152"/>
      <c r="AS758" s="152"/>
      <c r="AT758" s="152"/>
      <c r="AU758" s="152"/>
      <c r="AV758" s="152"/>
      <c r="AW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  <c r="AG759" s="152"/>
      <c r="AH759" s="152"/>
      <c r="AI759" s="152"/>
      <c r="AJ759" s="152"/>
      <c r="AK759" s="152"/>
      <c r="AL759" s="152"/>
      <c r="AM759" s="152"/>
      <c r="AN759" s="152"/>
      <c r="AO759" s="152"/>
      <c r="AP759" s="152"/>
      <c r="AQ759" s="152"/>
      <c r="AR759" s="152"/>
      <c r="AS759" s="152"/>
      <c r="AT759" s="152"/>
      <c r="AU759" s="152"/>
      <c r="AV759" s="152"/>
      <c r="AW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  <c r="AG760" s="152"/>
      <c r="AH760" s="152"/>
      <c r="AI760" s="152"/>
      <c r="AJ760" s="152"/>
      <c r="AK760" s="152"/>
      <c r="AL760" s="152"/>
      <c r="AM760" s="152"/>
      <c r="AN760" s="152"/>
      <c r="AO760" s="152"/>
      <c r="AP760" s="152"/>
      <c r="AQ760" s="152"/>
      <c r="AR760" s="152"/>
      <c r="AS760" s="152"/>
      <c r="AT760" s="152"/>
      <c r="AU760" s="152"/>
      <c r="AV760" s="152"/>
      <c r="AW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  <c r="AG761" s="152"/>
      <c r="AH761" s="152"/>
      <c r="AI761" s="152"/>
      <c r="AJ761" s="152"/>
      <c r="AK761" s="152"/>
      <c r="AL761" s="152"/>
      <c r="AM761" s="152"/>
      <c r="AN761" s="152"/>
      <c r="AO761" s="152"/>
      <c r="AP761" s="152"/>
      <c r="AQ761" s="152"/>
      <c r="AR761" s="152"/>
      <c r="AS761" s="152"/>
      <c r="AT761" s="152"/>
      <c r="AU761" s="152"/>
      <c r="AV761" s="152"/>
      <c r="AW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  <c r="AG762" s="152"/>
      <c r="AH762" s="152"/>
      <c r="AI762" s="152"/>
      <c r="AJ762" s="152"/>
      <c r="AK762" s="152"/>
      <c r="AL762" s="152"/>
      <c r="AM762" s="152"/>
      <c r="AN762" s="152"/>
      <c r="AO762" s="152"/>
      <c r="AP762" s="152"/>
      <c r="AQ762" s="152"/>
      <c r="AR762" s="152"/>
      <c r="AS762" s="152"/>
      <c r="AT762" s="152"/>
      <c r="AU762" s="152"/>
      <c r="AV762" s="152"/>
      <c r="AW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  <c r="AG763" s="152"/>
      <c r="AH763" s="152"/>
      <c r="AI763" s="152"/>
      <c r="AJ763" s="152"/>
      <c r="AK763" s="152"/>
      <c r="AL763" s="152"/>
      <c r="AM763" s="152"/>
      <c r="AN763" s="152"/>
      <c r="AO763" s="152"/>
      <c r="AP763" s="152"/>
      <c r="AQ763" s="152"/>
      <c r="AR763" s="152"/>
      <c r="AS763" s="152"/>
      <c r="AT763" s="152"/>
      <c r="AU763" s="152"/>
      <c r="AV763" s="152"/>
      <c r="AW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  <c r="AG764" s="152"/>
      <c r="AH764" s="152"/>
      <c r="AI764" s="152"/>
      <c r="AJ764" s="152"/>
      <c r="AK764" s="152"/>
      <c r="AL764" s="152"/>
      <c r="AM764" s="152"/>
      <c r="AN764" s="152"/>
      <c r="AO764" s="152"/>
      <c r="AP764" s="152"/>
      <c r="AQ764" s="152"/>
      <c r="AR764" s="152"/>
      <c r="AS764" s="152"/>
      <c r="AT764" s="152"/>
      <c r="AU764" s="152"/>
      <c r="AV764" s="152"/>
      <c r="AW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  <c r="AG765" s="152"/>
      <c r="AH765" s="152"/>
      <c r="AI765" s="152"/>
      <c r="AJ765" s="152"/>
      <c r="AK765" s="152"/>
      <c r="AL765" s="152"/>
      <c r="AM765" s="152"/>
      <c r="AN765" s="152"/>
      <c r="AO765" s="152"/>
      <c r="AP765" s="152"/>
      <c r="AQ765" s="152"/>
      <c r="AR765" s="152"/>
      <c r="AS765" s="152"/>
      <c r="AT765" s="152"/>
      <c r="AU765" s="152"/>
      <c r="AV765" s="152"/>
      <c r="AW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  <c r="AG766" s="152"/>
      <c r="AH766" s="152"/>
      <c r="AI766" s="152"/>
      <c r="AJ766" s="152"/>
      <c r="AK766" s="152"/>
      <c r="AL766" s="152"/>
      <c r="AM766" s="152"/>
      <c r="AN766" s="152"/>
      <c r="AO766" s="152"/>
      <c r="AP766" s="152"/>
      <c r="AQ766" s="152"/>
      <c r="AR766" s="152"/>
      <c r="AS766" s="152"/>
      <c r="AT766" s="152"/>
      <c r="AU766" s="152"/>
      <c r="AV766" s="152"/>
      <c r="AW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  <c r="AG767" s="152"/>
      <c r="AH767" s="152"/>
      <c r="AI767" s="152"/>
      <c r="AJ767" s="152"/>
      <c r="AK767" s="152"/>
      <c r="AL767" s="152"/>
      <c r="AM767" s="152"/>
      <c r="AN767" s="152"/>
      <c r="AO767" s="152"/>
      <c r="AP767" s="152"/>
      <c r="AQ767" s="152"/>
      <c r="AR767" s="152"/>
      <c r="AS767" s="152"/>
      <c r="AT767" s="152"/>
      <c r="AU767" s="152"/>
      <c r="AV767" s="152"/>
      <c r="AW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  <c r="AG768" s="152"/>
      <c r="AH768" s="152"/>
      <c r="AI768" s="152"/>
      <c r="AJ768" s="152"/>
      <c r="AK768" s="152"/>
      <c r="AL768" s="152"/>
      <c r="AM768" s="152"/>
      <c r="AN768" s="152"/>
      <c r="AO768" s="152"/>
      <c r="AP768" s="152"/>
      <c r="AQ768" s="152"/>
      <c r="AR768" s="152"/>
      <c r="AS768" s="152"/>
      <c r="AT768" s="152"/>
      <c r="AU768" s="152"/>
      <c r="AV768" s="152"/>
      <c r="AW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  <c r="AG769" s="152"/>
      <c r="AH769" s="152"/>
      <c r="AI769" s="152"/>
      <c r="AJ769" s="152"/>
      <c r="AK769" s="152"/>
      <c r="AL769" s="152"/>
      <c r="AM769" s="152"/>
      <c r="AN769" s="152"/>
      <c r="AO769" s="152"/>
      <c r="AP769" s="152"/>
      <c r="AQ769" s="152"/>
      <c r="AR769" s="152"/>
      <c r="AS769" s="152"/>
      <c r="AT769" s="152"/>
      <c r="AU769" s="152"/>
      <c r="AV769" s="152"/>
      <c r="AW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  <c r="AG770" s="152"/>
      <c r="AH770" s="152"/>
      <c r="AI770" s="152"/>
      <c r="AJ770" s="152"/>
      <c r="AK770" s="152"/>
      <c r="AL770" s="152"/>
      <c r="AM770" s="152"/>
      <c r="AN770" s="152"/>
      <c r="AO770" s="152"/>
      <c r="AP770" s="152"/>
      <c r="AQ770" s="152"/>
      <c r="AR770" s="152"/>
      <c r="AS770" s="152"/>
      <c r="AT770" s="152"/>
      <c r="AU770" s="152"/>
      <c r="AV770" s="152"/>
      <c r="AW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  <c r="AG771" s="152"/>
      <c r="AH771" s="152"/>
      <c r="AI771" s="152"/>
      <c r="AJ771" s="152"/>
      <c r="AK771" s="152"/>
      <c r="AL771" s="152"/>
      <c r="AM771" s="152"/>
      <c r="AN771" s="152"/>
      <c r="AO771" s="152"/>
      <c r="AP771" s="152"/>
      <c r="AQ771" s="152"/>
      <c r="AR771" s="152"/>
      <c r="AS771" s="152"/>
      <c r="AT771" s="152"/>
      <c r="AU771" s="152"/>
      <c r="AV771" s="152"/>
      <c r="AW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  <c r="AH772" s="152"/>
      <c r="AI772" s="152"/>
      <c r="AJ772" s="152"/>
      <c r="AK772" s="152"/>
      <c r="AL772" s="152"/>
      <c r="AM772" s="152"/>
      <c r="AN772" s="152"/>
      <c r="AO772" s="152"/>
      <c r="AP772" s="152"/>
      <c r="AQ772" s="152"/>
      <c r="AR772" s="152"/>
      <c r="AS772" s="152"/>
      <c r="AT772" s="152"/>
      <c r="AU772" s="152"/>
      <c r="AV772" s="152"/>
      <c r="AW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  <c r="AH773" s="152"/>
      <c r="AI773" s="152"/>
      <c r="AJ773" s="152"/>
      <c r="AK773" s="152"/>
      <c r="AL773" s="152"/>
      <c r="AM773" s="152"/>
      <c r="AN773" s="152"/>
      <c r="AO773" s="152"/>
      <c r="AP773" s="152"/>
      <c r="AQ773" s="152"/>
      <c r="AR773" s="152"/>
      <c r="AS773" s="152"/>
      <c r="AT773" s="152"/>
      <c r="AU773" s="152"/>
      <c r="AV773" s="152"/>
      <c r="AW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  <c r="AH774" s="152"/>
      <c r="AI774" s="152"/>
      <c r="AJ774" s="152"/>
      <c r="AK774" s="152"/>
      <c r="AL774" s="152"/>
      <c r="AM774" s="152"/>
      <c r="AN774" s="152"/>
      <c r="AO774" s="152"/>
      <c r="AP774" s="152"/>
      <c r="AQ774" s="152"/>
      <c r="AR774" s="152"/>
      <c r="AS774" s="152"/>
      <c r="AT774" s="152"/>
      <c r="AU774" s="152"/>
      <c r="AV774" s="152"/>
      <c r="AW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  <c r="AH775" s="152"/>
      <c r="AI775" s="152"/>
      <c r="AJ775" s="152"/>
      <c r="AK775" s="152"/>
      <c r="AL775" s="152"/>
      <c r="AM775" s="152"/>
      <c r="AN775" s="152"/>
      <c r="AO775" s="152"/>
      <c r="AP775" s="152"/>
      <c r="AQ775" s="152"/>
      <c r="AR775" s="152"/>
      <c r="AS775" s="152"/>
      <c r="AT775" s="152"/>
      <c r="AU775" s="152"/>
      <c r="AV775" s="152"/>
      <c r="AW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  <c r="AH776" s="152"/>
      <c r="AI776" s="152"/>
      <c r="AJ776" s="152"/>
      <c r="AK776" s="152"/>
      <c r="AL776" s="152"/>
      <c r="AM776" s="152"/>
      <c r="AN776" s="152"/>
      <c r="AO776" s="152"/>
      <c r="AP776" s="152"/>
      <c r="AQ776" s="152"/>
      <c r="AR776" s="152"/>
      <c r="AS776" s="152"/>
      <c r="AT776" s="152"/>
      <c r="AU776" s="152"/>
      <c r="AV776" s="152"/>
      <c r="AW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  <c r="AH777" s="152"/>
      <c r="AI777" s="152"/>
      <c r="AJ777" s="152"/>
      <c r="AK777" s="152"/>
      <c r="AL777" s="152"/>
      <c r="AM777" s="152"/>
      <c r="AN777" s="152"/>
      <c r="AO777" s="152"/>
      <c r="AP777" s="152"/>
      <c r="AQ777" s="152"/>
      <c r="AR777" s="152"/>
      <c r="AS777" s="152"/>
      <c r="AT777" s="152"/>
      <c r="AU777" s="152"/>
      <c r="AV777" s="152"/>
      <c r="AW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  <c r="AH778" s="152"/>
      <c r="AI778" s="152"/>
      <c r="AJ778" s="152"/>
      <c r="AK778" s="152"/>
      <c r="AL778" s="152"/>
      <c r="AM778" s="152"/>
      <c r="AN778" s="152"/>
      <c r="AO778" s="152"/>
      <c r="AP778" s="152"/>
      <c r="AQ778" s="152"/>
      <c r="AR778" s="152"/>
      <c r="AS778" s="152"/>
      <c r="AT778" s="152"/>
      <c r="AU778" s="152"/>
      <c r="AV778" s="152"/>
      <c r="AW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  <c r="AH779" s="152"/>
      <c r="AI779" s="152"/>
      <c r="AJ779" s="152"/>
      <c r="AK779" s="152"/>
      <c r="AL779" s="152"/>
      <c r="AM779" s="152"/>
      <c r="AN779" s="152"/>
      <c r="AO779" s="152"/>
      <c r="AP779" s="152"/>
      <c r="AQ779" s="152"/>
      <c r="AR779" s="152"/>
      <c r="AS779" s="152"/>
      <c r="AT779" s="152"/>
      <c r="AU779" s="152"/>
      <c r="AV779" s="152"/>
      <c r="AW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  <c r="AG780" s="152"/>
      <c r="AH780" s="152"/>
      <c r="AI780" s="152"/>
      <c r="AJ780" s="152"/>
      <c r="AK780" s="152"/>
      <c r="AL780" s="152"/>
      <c r="AM780" s="152"/>
      <c r="AN780" s="152"/>
      <c r="AO780" s="152"/>
      <c r="AP780" s="152"/>
      <c r="AQ780" s="152"/>
      <c r="AR780" s="152"/>
      <c r="AS780" s="152"/>
      <c r="AT780" s="152"/>
      <c r="AU780" s="152"/>
      <c r="AV780" s="152"/>
      <c r="AW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  <c r="AG781" s="152"/>
      <c r="AH781" s="152"/>
      <c r="AI781" s="152"/>
      <c r="AJ781" s="152"/>
      <c r="AK781" s="152"/>
      <c r="AL781" s="152"/>
      <c r="AM781" s="152"/>
      <c r="AN781" s="152"/>
      <c r="AO781" s="152"/>
      <c r="AP781" s="152"/>
      <c r="AQ781" s="152"/>
      <c r="AR781" s="152"/>
      <c r="AS781" s="152"/>
      <c r="AT781" s="152"/>
      <c r="AU781" s="152"/>
      <c r="AV781" s="152"/>
      <c r="AW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  <c r="AG782" s="152"/>
      <c r="AH782" s="152"/>
      <c r="AI782" s="152"/>
      <c r="AJ782" s="152"/>
      <c r="AK782" s="152"/>
      <c r="AL782" s="152"/>
      <c r="AM782" s="152"/>
      <c r="AN782" s="152"/>
      <c r="AO782" s="152"/>
      <c r="AP782" s="152"/>
      <c r="AQ782" s="152"/>
      <c r="AR782" s="152"/>
      <c r="AS782" s="152"/>
      <c r="AT782" s="152"/>
      <c r="AU782" s="152"/>
      <c r="AV782" s="152"/>
      <c r="AW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  <c r="AG783" s="152"/>
      <c r="AH783" s="152"/>
      <c r="AI783" s="152"/>
      <c r="AJ783" s="152"/>
      <c r="AK783" s="152"/>
      <c r="AL783" s="152"/>
      <c r="AM783" s="152"/>
      <c r="AN783" s="152"/>
      <c r="AO783" s="152"/>
      <c r="AP783" s="152"/>
      <c r="AQ783" s="152"/>
      <c r="AR783" s="152"/>
      <c r="AS783" s="152"/>
      <c r="AT783" s="152"/>
      <c r="AU783" s="152"/>
      <c r="AV783" s="152"/>
      <c r="AW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  <c r="AG784" s="152"/>
      <c r="AH784" s="152"/>
      <c r="AI784" s="152"/>
      <c r="AJ784" s="152"/>
      <c r="AK784" s="152"/>
      <c r="AL784" s="152"/>
      <c r="AM784" s="152"/>
      <c r="AN784" s="152"/>
      <c r="AO784" s="152"/>
      <c r="AP784" s="152"/>
      <c r="AQ784" s="152"/>
      <c r="AR784" s="152"/>
      <c r="AS784" s="152"/>
      <c r="AT784" s="152"/>
      <c r="AU784" s="152"/>
      <c r="AV784" s="152"/>
      <c r="AW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  <c r="AG785" s="152"/>
      <c r="AH785" s="152"/>
      <c r="AI785" s="152"/>
      <c r="AJ785" s="152"/>
      <c r="AK785" s="152"/>
      <c r="AL785" s="152"/>
      <c r="AM785" s="152"/>
      <c r="AN785" s="152"/>
      <c r="AO785" s="152"/>
      <c r="AP785" s="152"/>
      <c r="AQ785" s="152"/>
      <c r="AR785" s="152"/>
      <c r="AS785" s="152"/>
      <c r="AT785" s="152"/>
      <c r="AU785" s="152"/>
      <c r="AV785" s="152"/>
      <c r="AW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  <c r="AG786" s="152"/>
      <c r="AH786" s="152"/>
      <c r="AI786" s="152"/>
      <c r="AJ786" s="152"/>
      <c r="AK786" s="152"/>
      <c r="AL786" s="152"/>
      <c r="AM786" s="152"/>
      <c r="AN786" s="152"/>
      <c r="AO786" s="152"/>
      <c r="AP786" s="152"/>
      <c r="AQ786" s="152"/>
      <c r="AR786" s="152"/>
      <c r="AS786" s="152"/>
      <c r="AT786" s="152"/>
      <c r="AU786" s="152"/>
      <c r="AV786" s="152"/>
      <c r="AW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  <c r="AG787" s="152"/>
      <c r="AH787" s="152"/>
      <c r="AI787" s="152"/>
      <c r="AJ787" s="152"/>
      <c r="AK787" s="152"/>
      <c r="AL787" s="152"/>
      <c r="AM787" s="152"/>
      <c r="AN787" s="152"/>
      <c r="AO787" s="152"/>
      <c r="AP787" s="152"/>
      <c r="AQ787" s="152"/>
      <c r="AR787" s="152"/>
      <c r="AS787" s="152"/>
      <c r="AT787" s="152"/>
      <c r="AU787" s="152"/>
      <c r="AV787" s="152"/>
      <c r="AW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  <c r="AG788" s="152"/>
      <c r="AH788" s="152"/>
      <c r="AI788" s="152"/>
      <c r="AJ788" s="152"/>
      <c r="AK788" s="152"/>
      <c r="AL788" s="152"/>
      <c r="AM788" s="152"/>
      <c r="AN788" s="152"/>
      <c r="AO788" s="152"/>
      <c r="AP788" s="152"/>
      <c r="AQ788" s="152"/>
      <c r="AR788" s="152"/>
      <c r="AS788" s="152"/>
      <c r="AT788" s="152"/>
      <c r="AU788" s="152"/>
      <c r="AV788" s="152"/>
      <c r="AW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  <c r="AP789" s="152"/>
      <c r="AQ789" s="152"/>
      <c r="AR789" s="152"/>
      <c r="AS789" s="152"/>
      <c r="AT789" s="152"/>
      <c r="AU789" s="152"/>
      <c r="AV789" s="152"/>
      <c r="AW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  <c r="AH790" s="152"/>
      <c r="AI790" s="152"/>
      <c r="AJ790" s="152"/>
      <c r="AK790" s="152"/>
      <c r="AL790" s="152"/>
      <c r="AM790" s="152"/>
      <c r="AN790" s="152"/>
      <c r="AO790" s="152"/>
      <c r="AP790" s="152"/>
      <c r="AQ790" s="152"/>
      <c r="AR790" s="152"/>
      <c r="AS790" s="152"/>
      <c r="AT790" s="152"/>
      <c r="AU790" s="152"/>
      <c r="AV790" s="152"/>
      <c r="AW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  <c r="AH791" s="152"/>
      <c r="AI791" s="152"/>
      <c r="AJ791" s="152"/>
      <c r="AK791" s="152"/>
      <c r="AL791" s="152"/>
      <c r="AM791" s="152"/>
      <c r="AN791" s="152"/>
      <c r="AO791" s="152"/>
      <c r="AP791" s="152"/>
      <c r="AQ791" s="152"/>
      <c r="AR791" s="152"/>
      <c r="AS791" s="152"/>
      <c r="AT791" s="152"/>
      <c r="AU791" s="152"/>
      <c r="AV791" s="152"/>
      <c r="AW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  <c r="AH792" s="152"/>
      <c r="AI792" s="152"/>
      <c r="AJ792" s="152"/>
      <c r="AK792" s="152"/>
      <c r="AL792" s="152"/>
      <c r="AM792" s="152"/>
      <c r="AN792" s="152"/>
      <c r="AO792" s="152"/>
      <c r="AP792" s="152"/>
      <c r="AQ792" s="152"/>
      <c r="AR792" s="152"/>
      <c r="AS792" s="152"/>
      <c r="AT792" s="152"/>
      <c r="AU792" s="152"/>
      <c r="AV792" s="152"/>
      <c r="AW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  <c r="AH793" s="152"/>
      <c r="AI793" s="152"/>
      <c r="AJ793" s="152"/>
      <c r="AK793" s="152"/>
      <c r="AL793" s="152"/>
      <c r="AM793" s="152"/>
      <c r="AN793" s="152"/>
      <c r="AO793" s="152"/>
      <c r="AP793" s="152"/>
      <c r="AQ793" s="152"/>
      <c r="AR793" s="152"/>
      <c r="AS793" s="152"/>
      <c r="AT793" s="152"/>
      <c r="AU793" s="152"/>
      <c r="AV793" s="152"/>
      <c r="AW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  <c r="AH794" s="152"/>
      <c r="AI794" s="152"/>
      <c r="AJ794" s="152"/>
      <c r="AK794" s="152"/>
      <c r="AL794" s="152"/>
      <c r="AM794" s="152"/>
      <c r="AN794" s="152"/>
      <c r="AO794" s="152"/>
      <c r="AP794" s="152"/>
      <c r="AQ794" s="152"/>
      <c r="AR794" s="152"/>
      <c r="AS794" s="152"/>
      <c r="AT794" s="152"/>
      <c r="AU794" s="152"/>
      <c r="AV794" s="152"/>
      <c r="AW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  <c r="AH795" s="152"/>
      <c r="AI795" s="152"/>
      <c r="AJ795" s="152"/>
      <c r="AK795" s="152"/>
      <c r="AL795" s="152"/>
      <c r="AM795" s="152"/>
      <c r="AN795" s="152"/>
      <c r="AO795" s="152"/>
      <c r="AP795" s="152"/>
      <c r="AQ795" s="152"/>
      <c r="AR795" s="152"/>
      <c r="AS795" s="152"/>
      <c r="AT795" s="152"/>
      <c r="AU795" s="152"/>
      <c r="AV795" s="152"/>
      <c r="AW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  <c r="AH796" s="152"/>
      <c r="AI796" s="152"/>
      <c r="AJ796" s="152"/>
      <c r="AK796" s="152"/>
      <c r="AL796" s="152"/>
      <c r="AM796" s="152"/>
      <c r="AN796" s="152"/>
      <c r="AO796" s="152"/>
      <c r="AP796" s="152"/>
      <c r="AQ796" s="152"/>
      <c r="AR796" s="152"/>
      <c r="AS796" s="152"/>
      <c r="AT796" s="152"/>
      <c r="AU796" s="152"/>
      <c r="AV796" s="152"/>
      <c r="AW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  <c r="AG797" s="152"/>
      <c r="AH797" s="152"/>
      <c r="AI797" s="152"/>
      <c r="AJ797" s="152"/>
      <c r="AK797" s="152"/>
      <c r="AL797" s="152"/>
      <c r="AM797" s="152"/>
      <c r="AN797" s="152"/>
      <c r="AO797" s="152"/>
      <c r="AP797" s="152"/>
      <c r="AQ797" s="152"/>
      <c r="AR797" s="152"/>
      <c r="AS797" s="152"/>
      <c r="AT797" s="152"/>
      <c r="AU797" s="152"/>
      <c r="AV797" s="152"/>
      <c r="AW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  <c r="AG798" s="152"/>
      <c r="AH798" s="152"/>
      <c r="AI798" s="152"/>
      <c r="AJ798" s="152"/>
      <c r="AK798" s="152"/>
      <c r="AL798" s="152"/>
      <c r="AM798" s="152"/>
      <c r="AN798" s="152"/>
      <c r="AO798" s="152"/>
      <c r="AP798" s="152"/>
      <c r="AQ798" s="152"/>
      <c r="AR798" s="152"/>
      <c r="AS798" s="152"/>
      <c r="AT798" s="152"/>
      <c r="AU798" s="152"/>
      <c r="AV798" s="152"/>
      <c r="AW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  <c r="AG799" s="152"/>
      <c r="AH799" s="152"/>
      <c r="AI799" s="152"/>
      <c r="AJ799" s="152"/>
      <c r="AK799" s="152"/>
      <c r="AL799" s="152"/>
      <c r="AM799" s="152"/>
      <c r="AN799" s="152"/>
      <c r="AO799" s="152"/>
      <c r="AP799" s="152"/>
      <c r="AQ799" s="152"/>
      <c r="AR799" s="152"/>
      <c r="AS799" s="152"/>
      <c r="AT799" s="152"/>
      <c r="AU799" s="152"/>
      <c r="AV799" s="152"/>
      <c r="AW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  <c r="AG800" s="152"/>
      <c r="AH800" s="152"/>
      <c r="AI800" s="152"/>
      <c r="AJ800" s="152"/>
      <c r="AK800" s="152"/>
      <c r="AL800" s="152"/>
      <c r="AM800" s="152"/>
      <c r="AN800" s="152"/>
      <c r="AO800" s="152"/>
      <c r="AP800" s="152"/>
      <c r="AQ800" s="152"/>
      <c r="AR800" s="152"/>
      <c r="AS800" s="152"/>
      <c r="AT800" s="152"/>
      <c r="AU800" s="152"/>
      <c r="AV800" s="152"/>
      <c r="AW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  <c r="AG801" s="152"/>
      <c r="AH801" s="152"/>
      <c r="AI801" s="152"/>
      <c r="AJ801" s="152"/>
      <c r="AK801" s="152"/>
      <c r="AL801" s="152"/>
      <c r="AM801" s="152"/>
      <c r="AN801" s="152"/>
      <c r="AO801" s="152"/>
      <c r="AP801" s="152"/>
      <c r="AQ801" s="152"/>
      <c r="AR801" s="152"/>
      <c r="AS801" s="152"/>
      <c r="AT801" s="152"/>
      <c r="AU801" s="152"/>
      <c r="AV801" s="152"/>
      <c r="AW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  <c r="AG802" s="152"/>
      <c r="AH802" s="152"/>
      <c r="AI802" s="152"/>
      <c r="AJ802" s="152"/>
      <c r="AK802" s="152"/>
      <c r="AL802" s="152"/>
      <c r="AM802" s="152"/>
      <c r="AN802" s="152"/>
      <c r="AO802" s="152"/>
      <c r="AP802" s="152"/>
      <c r="AQ802" s="152"/>
      <c r="AR802" s="152"/>
      <c r="AS802" s="152"/>
      <c r="AT802" s="152"/>
      <c r="AU802" s="152"/>
      <c r="AV802" s="152"/>
      <c r="AW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  <c r="AG803" s="152"/>
      <c r="AH803" s="152"/>
      <c r="AI803" s="152"/>
      <c r="AJ803" s="152"/>
      <c r="AK803" s="152"/>
      <c r="AL803" s="152"/>
      <c r="AM803" s="152"/>
      <c r="AN803" s="152"/>
      <c r="AO803" s="152"/>
      <c r="AP803" s="152"/>
      <c r="AQ803" s="152"/>
      <c r="AR803" s="152"/>
      <c r="AS803" s="152"/>
      <c r="AT803" s="152"/>
      <c r="AU803" s="152"/>
      <c r="AV803" s="152"/>
      <c r="AW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  <c r="AG804" s="152"/>
      <c r="AH804" s="152"/>
      <c r="AI804" s="152"/>
      <c r="AJ804" s="152"/>
      <c r="AK804" s="152"/>
      <c r="AL804" s="152"/>
      <c r="AM804" s="152"/>
      <c r="AN804" s="152"/>
      <c r="AO804" s="152"/>
      <c r="AP804" s="152"/>
      <c r="AQ804" s="152"/>
      <c r="AR804" s="152"/>
      <c r="AS804" s="152"/>
      <c r="AT804" s="152"/>
      <c r="AU804" s="152"/>
      <c r="AV804" s="152"/>
      <c r="AW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  <c r="AG805" s="152"/>
      <c r="AH805" s="152"/>
      <c r="AI805" s="152"/>
      <c r="AJ805" s="152"/>
      <c r="AK805" s="152"/>
      <c r="AL805" s="152"/>
      <c r="AM805" s="152"/>
      <c r="AN805" s="152"/>
      <c r="AO805" s="152"/>
      <c r="AP805" s="152"/>
      <c r="AQ805" s="152"/>
      <c r="AR805" s="152"/>
      <c r="AS805" s="152"/>
      <c r="AT805" s="152"/>
      <c r="AU805" s="152"/>
      <c r="AV805" s="152"/>
      <c r="AW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  <c r="AG806" s="152"/>
      <c r="AH806" s="152"/>
      <c r="AI806" s="152"/>
      <c r="AJ806" s="152"/>
      <c r="AK806" s="152"/>
      <c r="AL806" s="152"/>
      <c r="AM806" s="152"/>
      <c r="AN806" s="152"/>
      <c r="AO806" s="152"/>
      <c r="AP806" s="152"/>
      <c r="AQ806" s="152"/>
      <c r="AR806" s="152"/>
      <c r="AS806" s="152"/>
      <c r="AT806" s="152"/>
      <c r="AU806" s="152"/>
      <c r="AV806" s="152"/>
      <c r="AW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  <c r="AG807" s="152"/>
      <c r="AH807" s="152"/>
      <c r="AI807" s="152"/>
      <c r="AJ807" s="152"/>
      <c r="AK807" s="152"/>
      <c r="AL807" s="152"/>
      <c r="AM807" s="152"/>
      <c r="AN807" s="152"/>
      <c r="AO807" s="152"/>
      <c r="AP807" s="152"/>
      <c r="AQ807" s="152"/>
      <c r="AR807" s="152"/>
      <c r="AS807" s="152"/>
      <c r="AT807" s="152"/>
      <c r="AU807" s="152"/>
      <c r="AV807" s="152"/>
      <c r="AW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  <c r="AG808" s="152"/>
      <c r="AH808" s="152"/>
      <c r="AI808" s="152"/>
      <c r="AJ808" s="152"/>
      <c r="AK808" s="152"/>
      <c r="AL808" s="152"/>
      <c r="AM808" s="152"/>
      <c r="AN808" s="152"/>
      <c r="AO808" s="152"/>
      <c r="AP808" s="152"/>
      <c r="AQ808" s="152"/>
      <c r="AR808" s="152"/>
      <c r="AS808" s="152"/>
      <c r="AT808" s="152"/>
      <c r="AU808" s="152"/>
      <c r="AV808" s="152"/>
      <c r="AW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  <c r="AG809" s="152"/>
      <c r="AH809" s="152"/>
      <c r="AI809" s="152"/>
      <c r="AJ809" s="152"/>
      <c r="AK809" s="152"/>
      <c r="AL809" s="152"/>
      <c r="AM809" s="152"/>
      <c r="AN809" s="152"/>
      <c r="AO809" s="152"/>
      <c r="AP809" s="152"/>
      <c r="AQ809" s="152"/>
      <c r="AR809" s="152"/>
      <c r="AS809" s="152"/>
      <c r="AT809" s="152"/>
      <c r="AU809" s="152"/>
      <c r="AV809" s="152"/>
      <c r="AW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  <c r="AG810" s="152"/>
      <c r="AH810" s="152"/>
      <c r="AI810" s="152"/>
      <c r="AJ810" s="152"/>
      <c r="AK810" s="152"/>
      <c r="AL810" s="152"/>
      <c r="AM810" s="152"/>
      <c r="AN810" s="152"/>
      <c r="AO810" s="152"/>
      <c r="AP810" s="152"/>
      <c r="AQ810" s="152"/>
      <c r="AR810" s="152"/>
      <c r="AS810" s="152"/>
      <c r="AT810" s="152"/>
      <c r="AU810" s="152"/>
      <c r="AV810" s="152"/>
      <c r="AW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  <c r="AG811" s="152"/>
      <c r="AH811" s="152"/>
      <c r="AI811" s="152"/>
      <c r="AJ811" s="152"/>
      <c r="AK811" s="152"/>
      <c r="AL811" s="152"/>
      <c r="AM811" s="152"/>
      <c r="AN811" s="152"/>
      <c r="AO811" s="152"/>
      <c r="AP811" s="152"/>
      <c r="AQ811" s="152"/>
      <c r="AR811" s="152"/>
      <c r="AS811" s="152"/>
      <c r="AT811" s="152"/>
      <c r="AU811" s="152"/>
      <c r="AV811" s="152"/>
      <c r="AW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  <c r="AG812" s="152"/>
      <c r="AH812" s="152"/>
      <c r="AI812" s="152"/>
      <c r="AJ812" s="152"/>
      <c r="AK812" s="152"/>
      <c r="AL812" s="152"/>
      <c r="AM812" s="152"/>
      <c r="AN812" s="152"/>
      <c r="AO812" s="152"/>
      <c r="AP812" s="152"/>
      <c r="AQ812" s="152"/>
      <c r="AR812" s="152"/>
      <c r="AS812" s="152"/>
      <c r="AT812" s="152"/>
      <c r="AU812" s="152"/>
      <c r="AV812" s="152"/>
      <c r="AW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  <c r="AG813" s="152"/>
      <c r="AH813" s="152"/>
      <c r="AI813" s="152"/>
      <c r="AJ813" s="152"/>
      <c r="AK813" s="152"/>
      <c r="AL813" s="152"/>
      <c r="AM813" s="152"/>
      <c r="AN813" s="152"/>
      <c r="AO813" s="152"/>
      <c r="AP813" s="152"/>
      <c r="AQ813" s="152"/>
      <c r="AR813" s="152"/>
      <c r="AS813" s="152"/>
      <c r="AT813" s="152"/>
      <c r="AU813" s="152"/>
      <c r="AV813" s="152"/>
      <c r="AW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  <c r="AG814" s="152"/>
      <c r="AH814" s="152"/>
      <c r="AI814" s="152"/>
      <c r="AJ814" s="152"/>
      <c r="AK814" s="152"/>
      <c r="AL814" s="152"/>
      <c r="AM814" s="152"/>
      <c r="AN814" s="152"/>
      <c r="AO814" s="152"/>
      <c r="AP814" s="152"/>
      <c r="AQ814" s="152"/>
      <c r="AR814" s="152"/>
      <c r="AS814" s="152"/>
      <c r="AT814" s="152"/>
      <c r="AU814" s="152"/>
      <c r="AV814" s="152"/>
      <c r="AW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  <c r="AG815" s="152"/>
      <c r="AH815" s="152"/>
      <c r="AI815" s="152"/>
      <c r="AJ815" s="152"/>
      <c r="AK815" s="152"/>
      <c r="AL815" s="152"/>
      <c r="AM815" s="152"/>
      <c r="AN815" s="152"/>
      <c r="AO815" s="152"/>
      <c r="AP815" s="152"/>
      <c r="AQ815" s="152"/>
      <c r="AR815" s="152"/>
      <c r="AS815" s="152"/>
      <c r="AT815" s="152"/>
      <c r="AU815" s="152"/>
      <c r="AV815" s="152"/>
      <c r="AW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  <c r="AG816" s="152"/>
      <c r="AH816" s="152"/>
      <c r="AI816" s="152"/>
      <c r="AJ816" s="152"/>
      <c r="AK816" s="152"/>
      <c r="AL816" s="152"/>
      <c r="AM816" s="152"/>
      <c r="AN816" s="152"/>
      <c r="AO816" s="152"/>
      <c r="AP816" s="152"/>
      <c r="AQ816" s="152"/>
      <c r="AR816" s="152"/>
      <c r="AS816" s="152"/>
      <c r="AT816" s="152"/>
      <c r="AU816" s="152"/>
      <c r="AV816" s="152"/>
      <c r="AW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  <c r="AG817" s="152"/>
      <c r="AH817" s="152"/>
      <c r="AI817" s="152"/>
      <c r="AJ817" s="152"/>
      <c r="AK817" s="152"/>
      <c r="AL817" s="152"/>
      <c r="AM817" s="152"/>
      <c r="AN817" s="152"/>
      <c r="AO817" s="152"/>
      <c r="AP817" s="152"/>
      <c r="AQ817" s="152"/>
      <c r="AR817" s="152"/>
      <c r="AS817" s="152"/>
      <c r="AT817" s="152"/>
      <c r="AU817" s="152"/>
      <c r="AV817" s="152"/>
      <c r="AW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  <c r="AG818" s="152"/>
      <c r="AH818" s="152"/>
      <c r="AI818" s="152"/>
      <c r="AJ818" s="152"/>
      <c r="AK818" s="152"/>
      <c r="AL818" s="152"/>
      <c r="AM818" s="152"/>
      <c r="AN818" s="152"/>
      <c r="AO818" s="152"/>
      <c r="AP818" s="152"/>
      <c r="AQ818" s="152"/>
      <c r="AR818" s="152"/>
      <c r="AS818" s="152"/>
      <c r="AT818" s="152"/>
      <c r="AU818" s="152"/>
      <c r="AV818" s="152"/>
      <c r="AW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  <c r="AG819" s="152"/>
      <c r="AH819" s="152"/>
      <c r="AI819" s="152"/>
      <c r="AJ819" s="152"/>
      <c r="AK819" s="152"/>
      <c r="AL819" s="152"/>
      <c r="AM819" s="152"/>
      <c r="AN819" s="152"/>
      <c r="AO819" s="152"/>
      <c r="AP819" s="152"/>
      <c r="AQ819" s="152"/>
      <c r="AR819" s="152"/>
      <c r="AS819" s="152"/>
      <c r="AT819" s="152"/>
      <c r="AU819" s="152"/>
      <c r="AV819" s="152"/>
      <c r="AW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  <c r="AG820" s="152"/>
      <c r="AH820" s="152"/>
      <c r="AI820" s="152"/>
      <c r="AJ820" s="152"/>
      <c r="AK820" s="152"/>
      <c r="AL820" s="152"/>
      <c r="AM820" s="152"/>
      <c r="AN820" s="152"/>
      <c r="AO820" s="152"/>
      <c r="AP820" s="152"/>
      <c r="AQ820" s="152"/>
      <c r="AR820" s="152"/>
      <c r="AS820" s="152"/>
      <c r="AT820" s="152"/>
      <c r="AU820" s="152"/>
      <c r="AV820" s="152"/>
      <c r="AW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  <c r="AG821" s="152"/>
      <c r="AH821" s="152"/>
      <c r="AI821" s="152"/>
      <c r="AJ821" s="152"/>
      <c r="AK821" s="152"/>
      <c r="AL821" s="152"/>
      <c r="AM821" s="152"/>
      <c r="AN821" s="152"/>
      <c r="AO821" s="152"/>
      <c r="AP821" s="152"/>
      <c r="AQ821" s="152"/>
      <c r="AR821" s="152"/>
      <c r="AS821" s="152"/>
      <c r="AT821" s="152"/>
      <c r="AU821" s="152"/>
      <c r="AV821" s="152"/>
      <c r="AW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  <c r="AG822" s="152"/>
      <c r="AH822" s="152"/>
      <c r="AI822" s="152"/>
      <c r="AJ822" s="152"/>
      <c r="AK822" s="152"/>
      <c r="AL822" s="152"/>
      <c r="AM822" s="152"/>
      <c r="AN822" s="152"/>
      <c r="AO822" s="152"/>
      <c r="AP822" s="152"/>
      <c r="AQ822" s="152"/>
      <c r="AR822" s="152"/>
      <c r="AS822" s="152"/>
      <c r="AT822" s="152"/>
      <c r="AU822" s="152"/>
      <c r="AV822" s="152"/>
      <c r="AW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  <c r="AH823" s="152"/>
      <c r="AI823" s="152"/>
      <c r="AJ823" s="152"/>
      <c r="AK823" s="152"/>
      <c r="AL823" s="152"/>
      <c r="AM823" s="152"/>
      <c r="AN823" s="152"/>
      <c r="AO823" s="152"/>
      <c r="AP823" s="152"/>
      <c r="AQ823" s="152"/>
      <c r="AR823" s="152"/>
      <c r="AS823" s="152"/>
      <c r="AT823" s="152"/>
      <c r="AU823" s="152"/>
      <c r="AV823" s="152"/>
      <c r="AW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  <c r="AH824" s="152"/>
      <c r="AI824" s="152"/>
      <c r="AJ824" s="152"/>
      <c r="AK824" s="152"/>
      <c r="AL824" s="152"/>
      <c r="AM824" s="152"/>
      <c r="AN824" s="152"/>
      <c r="AO824" s="152"/>
      <c r="AP824" s="152"/>
      <c r="AQ824" s="152"/>
      <c r="AR824" s="152"/>
      <c r="AS824" s="152"/>
      <c r="AT824" s="152"/>
      <c r="AU824" s="152"/>
      <c r="AV824" s="152"/>
      <c r="AW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  <c r="AH825" s="152"/>
      <c r="AI825" s="152"/>
      <c r="AJ825" s="152"/>
      <c r="AK825" s="152"/>
      <c r="AL825" s="152"/>
      <c r="AM825" s="152"/>
      <c r="AN825" s="152"/>
      <c r="AO825" s="152"/>
      <c r="AP825" s="152"/>
      <c r="AQ825" s="152"/>
      <c r="AR825" s="152"/>
      <c r="AS825" s="152"/>
      <c r="AT825" s="152"/>
      <c r="AU825" s="152"/>
      <c r="AV825" s="152"/>
      <c r="AW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  <c r="AH826" s="152"/>
      <c r="AI826" s="152"/>
      <c r="AJ826" s="152"/>
      <c r="AK826" s="152"/>
      <c r="AL826" s="152"/>
      <c r="AM826" s="152"/>
      <c r="AN826" s="152"/>
      <c r="AO826" s="152"/>
      <c r="AP826" s="152"/>
      <c r="AQ826" s="152"/>
      <c r="AR826" s="152"/>
      <c r="AS826" s="152"/>
      <c r="AT826" s="152"/>
      <c r="AU826" s="152"/>
      <c r="AV826" s="152"/>
      <c r="AW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  <c r="AH827" s="152"/>
      <c r="AI827" s="152"/>
      <c r="AJ827" s="152"/>
      <c r="AK827" s="152"/>
      <c r="AL827" s="152"/>
      <c r="AM827" s="152"/>
      <c r="AN827" s="152"/>
      <c r="AO827" s="152"/>
      <c r="AP827" s="152"/>
      <c r="AQ827" s="152"/>
      <c r="AR827" s="152"/>
      <c r="AS827" s="152"/>
      <c r="AT827" s="152"/>
      <c r="AU827" s="152"/>
      <c r="AV827" s="152"/>
      <c r="AW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  <c r="AH828" s="152"/>
      <c r="AI828" s="152"/>
      <c r="AJ828" s="152"/>
      <c r="AK828" s="152"/>
      <c r="AL828" s="152"/>
      <c r="AM828" s="152"/>
      <c r="AN828" s="152"/>
      <c r="AO828" s="152"/>
      <c r="AP828" s="152"/>
      <c r="AQ828" s="152"/>
      <c r="AR828" s="152"/>
      <c r="AS828" s="152"/>
      <c r="AT828" s="152"/>
      <c r="AU828" s="152"/>
      <c r="AV828" s="152"/>
      <c r="AW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  <c r="AH829" s="152"/>
      <c r="AI829" s="152"/>
      <c r="AJ829" s="152"/>
      <c r="AK829" s="152"/>
      <c r="AL829" s="152"/>
      <c r="AM829" s="152"/>
      <c r="AN829" s="152"/>
      <c r="AO829" s="152"/>
      <c r="AP829" s="152"/>
      <c r="AQ829" s="152"/>
      <c r="AR829" s="152"/>
      <c r="AS829" s="152"/>
      <c r="AT829" s="152"/>
      <c r="AU829" s="152"/>
      <c r="AV829" s="152"/>
      <c r="AW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  <c r="AH830" s="152"/>
      <c r="AI830" s="152"/>
      <c r="AJ830" s="152"/>
      <c r="AK830" s="152"/>
      <c r="AL830" s="152"/>
      <c r="AM830" s="152"/>
      <c r="AN830" s="152"/>
      <c r="AO830" s="152"/>
      <c r="AP830" s="152"/>
      <c r="AQ830" s="152"/>
      <c r="AR830" s="152"/>
      <c r="AS830" s="152"/>
      <c r="AT830" s="152"/>
      <c r="AU830" s="152"/>
      <c r="AV830" s="152"/>
      <c r="AW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  <c r="AG831" s="152"/>
      <c r="AH831" s="152"/>
      <c r="AI831" s="152"/>
      <c r="AJ831" s="152"/>
      <c r="AK831" s="152"/>
      <c r="AL831" s="152"/>
      <c r="AM831" s="152"/>
      <c r="AN831" s="152"/>
      <c r="AO831" s="152"/>
      <c r="AP831" s="152"/>
      <c r="AQ831" s="152"/>
      <c r="AR831" s="152"/>
      <c r="AS831" s="152"/>
      <c r="AT831" s="152"/>
      <c r="AU831" s="152"/>
      <c r="AV831" s="152"/>
      <c r="AW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  <c r="AG832" s="152"/>
      <c r="AH832" s="152"/>
      <c r="AI832" s="152"/>
      <c r="AJ832" s="152"/>
      <c r="AK832" s="152"/>
      <c r="AL832" s="152"/>
      <c r="AM832" s="152"/>
      <c r="AN832" s="152"/>
      <c r="AO832" s="152"/>
      <c r="AP832" s="152"/>
      <c r="AQ832" s="152"/>
      <c r="AR832" s="152"/>
      <c r="AS832" s="152"/>
      <c r="AT832" s="152"/>
      <c r="AU832" s="152"/>
      <c r="AV832" s="152"/>
      <c r="AW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  <c r="AG833" s="152"/>
      <c r="AH833" s="152"/>
      <c r="AI833" s="152"/>
      <c r="AJ833" s="152"/>
      <c r="AK833" s="152"/>
      <c r="AL833" s="152"/>
      <c r="AM833" s="152"/>
      <c r="AN833" s="152"/>
      <c r="AO833" s="152"/>
      <c r="AP833" s="152"/>
      <c r="AQ833" s="152"/>
      <c r="AR833" s="152"/>
      <c r="AS833" s="152"/>
      <c r="AT833" s="152"/>
      <c r="AU833" s="152"/>
      <c r="AV833" s="152"/>
      <c r="AW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  <c r="AG834" s="152"/>
      <c r="AH834" s="152"/>
      <c r="AI834" s="152"/>
      <c r="AJ834" s="152"/>
      <c r="AK834" s="152"/>
      <c r="AL834" s="152"/>
      <c r="AM834" s="152"/>
      <c r="AN834" s="152"/>
      <c r="AO834" s="152"/>
      <c r="AP834" s="152"/>
      <c r="AQ834" s="152"/>
      <c r="AR834" s="152"/>
      <c r="AS834" s="152"/>
      <c r="AT834" s="152"/>
      <c r="AU834" s="152"/>
      <c r="AV834" s="152"/>
      <c r="AW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  <c r="AG835" s="152"/>
      <c r="AH835" s="152"/>
      <c r="AI835" s="152"/>
      <c r="AJ835" s="152"/>
      <c r="AK835" s="152"/>
      <c r="AL835" s="152"/>
      <c r="AM835" s="152"/>
      <c r="AN835" s="152"/>
      <c r="AO835" s="152"/>
      <c r="AP835" s="152"/>
      <c r="AQ835" s="152"/>
      <c r="AR835" s="152"/>
      <c r="AS835" s="152"/>
      <c r="AT835" s="152"/>
      <c r="AU835" s="152"/>
      <c r="AV835" s="152"/>
      <c r="AW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  <c r="AG836" s="152"/>
      <c r="AH836" s="152"/>
      <c r="AI836" s="152"/>
      <c r="AJ836" s="152"/>
      <c r="AK836" s="152"/>
      <c r="AL836" s="152"/>
      <c r="AM836" s="152"/>
      <c r="AN836" s="152"/>
      <c r="AO836" s="152"/>
      <c r="AP836" s="152"/>
      <c r="AQ836" s="152"/>
      <c r="AR836" s="152"/>
      <c r="AS836" s="152"/>
      <c r="AT836" s="152"/>
      <c r="AU836" s="152"/>
      <c r="AV836" s="152"/>
      <c r="AW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  <c r="AG837" s="152"/>
      <c r="AH837" s="152"/>
      <c r="AI837" s="152"/>
      <c r="AJ837" s="152"/>
      <c r="AK837" s="152"/>
      <c r="AL837" s="152"/>
      <c r="AM837" s="152"/>
      <c r="AN837" s="152"/>
      <c r="AO837" s="152"/>
      <c r="AP837" s="152"/>
      <c r="AQ837" s="152"/>
      <c r="AR837" s="152"/>
      <c r="AS837" s="152"/>
      <c r="AT837" s="152"/>
      <c r="AU837" s="152"/>
      <c r="AV837" s="152"/>
      <c r="AW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  <c r="AG838" s="152"/>
      <c r="AH838" s="152"/>
      <c r="AI838" s="152"/>
      <c r="AJ838" s="152"/>
      <c r="AK838" s="152"/>
      <c r="AL838" s="152"/>
      <c r="AM838" s="152"/>
      <c r="AN838" s="152"/>
      <c r="AO838" s="152"/>
      <c r="AP838" s="152"/>
      <c r="AQ838" s="152"/>
      <c r="AR838" s="152"/>
      <c r="AS838" s="152"/>
      <c r="AT838" s="152"/>
      <c r="AU838" s="152"/>
      <c r="AV838" s="152"/>
      <c r="AW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  <c r="AG839" s="152"/>
      <c r="AH839" s="152"/>
      <c r="AI839" s="152"/>
      <c r="AJ839" s="152"/>
      <c r="AK839" s="152"/>
      <c r="AL839" s="152"/>
      <c r="AM839" s="152"/>
      <c r="AN839" s="152"/>
      <c r="AO839" s="152"/>
      <c r="AP839" s="152"/>
      <c r="AQ839" s="152"/>
      <c r="AR839" s="152"/>
      <c r="AS839" s="152"/>
      <c r="AT839" s="152"/>
      <c r="AU839" s="152"/>
      <c r="AV839" s="152"/>
      <c r="AW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  <c r="AG840" s="152"/>
      <c r="AH840" s="152"/>
      <c r="AI840" s="152"/>
      <c r="AJ840" s="152"/>
      <c r="AK840" s="152"/>
      <c r="AL840" s="152"/>
      <c r="AM840" s="152"/>
      <c r="AN840" s="152"/>
      <c r="AO840" s="152"/>
      <c r="AP840" s="152"/>
      <c r="AQ840" s="152"/>
      <c r="AR840" s="152"/>
      <c r="AS840" s="152"/>
      <c r="AT840" s="152"/>
      <c r="AU840" s="152"/>
      <c r="AV840" s="152"/>
      <c r="AW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  <c r="AG841" s="152"/>
      <c r="AH841" s="152"/>
      <c r="AI841" s="152"/>
      <c r="AJ841" s="152"/>
      <c r="AK841" s="152"/>
      <c r="AL841" s="152"/>
      <c r="AM841" s="152"/>
      <c r="AN841" s="152"/>
      <c r="AO841" s="152"/>
      <c r="AP841" s="152"/>
      <c r="AQ841" s="152"/>
      <c r="AR841" s="152"/>
      <c r="AS841" s="152"/>
      <c r="AT841" s="152"/>
      <c r="AU841" s="152"/>
      <c r="AV841" s="152"/>
      <c r="AW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  <c r="AG842" s="152"/>
      <c r="AH842" s="152"/>
      <c r="AI842" s="152"/>
      <c r="AJ842" s="152"/>
      <c r="AK842" s="152"/>
      <c r="AL842" s="152"/>
      <c r="AM842" s="152"/>
      <c r="AN842" s="152"/>
      <c r="AO842" s="152"/>
      <c r="AP842" s="152"/>
      <c r="AQ842" s="152"/>
      <c r="AR842" s="152"/>
      <c r="AS842" s="152"/>
      <c r="AT842" s="152"/>
      <c r="AU842" s="152"/>
      <c r="AV842" s="152"/>
      <c r="AW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  <c r="AG843" s="152"/>
      <c r="AH843" s="152"/>
      <c r="AI843" s="152"/>
      <c r="AJ843" s="152"/>
      <c r="AK843" s="152"/>
      <c r="AL843" s="152"/>
      <c r="AM843" s="152"/>
      <c r="AN843" s="152"/>
      <c r="AO843" s="152"/>
      <c r="AP843" s="152"/>
      <c r="AQ843" s="152"/>
      <c r="AR843" s="152"/>
      <c r="AS843" s="152"/>
      <c r="AT843" s="152"/>
      <c r="AU843" s="152"/>
      <c r="AV843" s="152"/>
      <c r="AW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  <c r="AG844" s="152"/>
      <c r="AH844" s="152"/>
      <c r="AI844" s="152"/>
      <c r="AJ844" s="152"/>
      <c r="AK844" s="152"/>
      <c r="AL844" s="152"/>
      <c r="AM844" s="152"/>
      <c r="AN844" s="152"/>
      <c r="AO844" s="152"/>
      <c r="AP844" s="152"/>
      <c r="AQ844" s="152"/>
      <c r="AR844" s="152"/>
      <c r="AS844" s="152"/>
      <c r="AT844" s="152"/>
      <c r="AU844" s="152"/>
      <c r="AV844" s="152"/>
      <c r="AW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  <c r="AG845" s="152"/>
      <c r="AH845" s="152"/>
      <c r="AI845" s="152"/>
      <c r="AJ845" s="152"/>
      <c r="AK845" s="152"/>
      <c r="AL845" s="152"/>
      <c r="AM845" s="152"/>
      <c r="AN845" s="152"/>
      <c r="AO845" s="152"/>
      <c r="AP845" s="152"/>
      <c r="AQ845" s="152"/>
      <c r="AR845" s="152"/>
      <c r="AS845" s="152"/>
      <c r="AT845" s="152"/>
      <c r="AU845" s="152"/>
      <c r="AV845" s="152"/>
      <c r="AW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  <c r="AG846" s="152"/>
      <c r="AH846" s="152"/>
      <c r="AI846" s="152"/>
      <c r="AJ846" s="152"/>
      <c r="AK846" s="152"/>
      <c r="AL846" s="152"/>
      <c r="AM846" s="152"/>
      <c r="AN846" s="152"/>
      <c r="AO846" s="152"/>
      <c r="AP846" s="152"/>
      <c r="AQ846" s="152"/>
      <c r="AR846" s="152"/>
      <c r="AS846" s="152"/>
      <c r="AT846" s="152"/>
      <c r="AU846" s="152"/>
      <c r="AV846" s="152"/>
      <c r="AW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  <c r="AG847" s="152"/>
      <c r="AH847" s="152"/>
      <c r="AI847" s="152"/>
      <c r="AJ847" s="152"/>
      <c r="AK847" s="152"/>
      <c r="AL847" s="152"/>
      <c r="AM847" s="152"/>
      <c r="AN847" s="152"/>
      <c r="AO847" s="152"/>
      <c r="AP847" s="152"/>
      <c r="AQ847" s="152"/>
      <c r="AR847" s="152"/>
      <c r="AS847" s="152"/>
      <c r="AT847" s="152"/>
      <c r="AU847" s="152"/>
      <c r="AV847" s="152"/>
      <c r="AW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  <c r="AG848" s="152"/>
      <c r="AH848" s="152"/>
      <c r="AI848" s="152"/>
      <c r="AJ848" s="152"/>
      <c r="AK848" s="152"/>
      <c r="AL848" s="152"/>
      <c r="AM848" s="152"/>
      <c r="AN848" s="152"/>
      <c r="AO848" s="152"/>
      <c r="AP848" s="152"/>
      <c r="AQ848" s="152"/>
      <c r="AR848" s="152"/>
      <c r="AS848" s="152"/>
      <c r="AT848" s="152"/>
      <c r="AU848" s="152"/>
      <c r="AV848" s="152"/>
      <c r="AW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  <c r="AG849" s="152"/>
      <c r="AH849" s="152"/>
      <c r="AI849" s="152"/>
      <c r="AJ849" s="152"/>
      <c r="AK849" s="152"/>
      <c r="AL849" s="152"/>
      <c r="AM849" s="152"/>
      <c r="AN849" s="152"/>
      <c r="AO849" s="152"/>
      <c r="AP849" s="152"/>
      <c r="AQ849" s="152"/>
      <c r="AR849" s="152"/>
      <c r="AS849" s="152"/>
      <c r="AT849" s="152"/>
      <c r="AU849" s="152"/>
      <c r="AV849" s="152"/>
      <c r="AW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  <c r="AG850" s="152"/>
      <c r="AH850" s="152"/>
      <c r="AI850" s="152"/>
      <c r="AJ850" s="152"/>
      <c r="AK850" s="152"/>
      <c r="AL850" s="152"/>
      <c r="AM850" s="152"/>
      <c r="AN850" s="152"/>
      <c r="AO850" s="152"/>
      <c r="AP850" s="152"/>
      <c r="AQ850" s="152"/>
      <c r="AR850" s="152"/>
      <c r="AS850" s="152"/>
      <c r="AT850" s="152"/>
      <c r="AU850" s="152"/>
      <c r="AV850" s="152"/>
      <c r="AW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  <c r="AG851" s="152"/>
      <c r="AH851" s="152"/>
      <c r="AI851" s="152"/>
      <c r="AJ851" s="152"/>
      <c r="AK851" s="152"/>
      <c r="AL851" s="152"/>
      <c r="AM851" s="152"/>
      <c r="AN851" s="152"/>
      <c r="AO851" s="152"/>
      <c r="AP851" s="152"/>
      <c r="AQ851" s="152"/>
      <c r="AR851" s="152"/>
      <c r="AS851" s="152"/>
      <c r="AT851" s="152"/>
      <c r="AU851" s="152"/>
      <c r="AV851" s="152"/>
      <c r="AW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  <c r="AG852" s="152"/>
      <c r="AH852" s="152"/>
      <c r="AI852" s="152"/>
      <c r="AJ852" s="152"/>
      <c r="AK852" s="152"/>
      <c r="AL852" s="152"/>
      <c r="AM852" s="152"/>
      <c r="AN852" s="152"/>
      <c r="AO852" s="152"/>
      <c r="AP852" s="152"/>
      <c r="AQ852" s="152"/>
      <c r="AR852" s="152"/>
      <c r="AS852" s="152"/>
      <c r="AT852" s="152"/>
      <c r="AU852" s="152"/>
      <c r="AV852" s="152"/>
      <c r="AW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  <c r="AG853" s="152"/>
      <c r="AH853" s="152"/>
      <c r="AI853" s="152"/>
      <c r="AJ853" s="152"/>
      <c r="AK853" s="152"/>
      <c r="AL853" s="152"/>
      <c r="AM853" s="152"/>
      <c r="AN853" s="152"/>
      <c r="AO853" s="152"/>
      <c r="AP853" s="152"/>
      <c r="AQ853" s="152"/>
      <c r="AR853" s="152"/>
      <c r="AS853" s="152"/>
      <c r="AT853" s="152"/>
      <c r="AU853" s="152"/>
      <c r="AV853" s="152"/>
      <c r="AW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  <c r="AG854" s="152"/>
      <c r="AH854" s="152"/>
      <c r="AI854" s="152"/>
      <c r="AJ854" s="152"/>
      <c r="AK854" s="152"/>
      <c r="AL854" s="152"/>
      <c r="AM854" s="152"/>
      <c r="AN854" s="152"/>
      <c r="AO854" s="152"/>
      <c r="AP854" s="152"/>
      <c r="AQ854" s="152"/>
      <c r="AR854" s="152"/>
      <c r="AS854" s="152"/>
      <c r="AT854" s="152"/>
      <c r="AU854" s="152"/>
      <c r="AV854" s="152"/>
      <c r="AW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  <c r="AG855" s="152"/>
      <c r="AH855" s="152"/>
      <c r="AI855" s="152"/>
      <c r="AJ855" s="152"/>
      <c r="AK855" s="152"/>
      <c r="AL855" s="152"/>
      <c r="AM855" s="152"/>
      <c r="AN855" s="152"/>
      <c r="AO855" s="152"/>
      <c r="AP855" s="152"/>
      <c r="AQ855" s="152"/>
      <c r="AR855" s="152"/>
      <c r="AS855" s="152"/>
      <c r="AT855" s="152"/>
      <c r="AU855" s="152"/>
      <c r="AV855" s="152"/>
      <c r="AW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  <c r="AG856" s="152"/>
      <c r="AH856" s="152"/>
      <c r="AI856" s="152"/>
      <c r="AJ856" s="152"/>
      <c r="AK856" s="152"/>
      <c r="AL856" s="152"/>
      <c r="AM856" s="152"/>
      <c r="AN856" s="152"/>
      <c r="AO856" s="152"/>
      <c r="AP856" s="152"/>
      <c r="AQ856" s="152"/>
      <c r="AR856" s="152"/>
      <c r="AS856" s="152"/>
      <c r="AT856" s="152"/>
      <c r="AU856" s="152"/>
      <c r="AV856" s="152"/>
      <c r="AW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  <c r="AG857" s="152"/>
      <c r="AH857" s="152"/>
      <c r="AI857" s="152"/>
      <c r="AJ857" s="152"/>
      <c r="AK857" s="152"/>
      <c r="AL857" s="152"/>
      <c r="AM857" s="152"/>
      <c r="AN857" s="152"/>
      <c r="AO857" s="152"/>
      <c r="AP857" s="152"/>
      <c r="AQ857" s="152"/>
      <c r="AR857" s="152"/>
      <c r="AS857" s="152"/>
      <c r="AT857" s="152"/>
      <c r="AU857" s="152"/>
      <c r="AV857" s="152"/>
      <c r="AW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  <c r="AG858" s="152"/>
      <c r="AH858" s="152"/>
      <c r="AI858" s="152"/>
      <c r="AJ858" s="152"/>
      <c r="AK858" s="152"/>
      <c r="AL858" s="152"/>
      <c r="AM858" s="152"/>
      <c r="AN858" s="152"/>
      <c r="AO858" s="152"/>
      <c r="AP858" s="152"/>
      <c r="AQ858" s="152"/>
      <c r="AR858" s="152"/>
      <c r="AS858" s="152"/>
      <c r="AT858" s="152"/>
      <c r="AU858" s="152"/>
      <c r="AV858" s="152"/>
      <c r="AW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  <c r="AH859" s="152"/>
      <c r="AI859" s="152"/>
      <c r="AJ859" s="152"/>
      <c r="AK859" s="152"/>
      <c r="AL859" s="152"/>
      <c r="AM859" s="152"/>
      <c r="AN859" s="152"/>
      <c r="AO859" s="152"/>
      <c r="AP859" s="152"/>
      <c r="AQ859" s="152"/>
      <c r="AR859" s="152"/>
      <c r="AS859" s="152"/>
      <c r="AT859" s="152"/>
      <c r="AU859" s="152"/>
      <c r="AV859" s="152"/>
      <c r="AW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  <c r="AH860" s="152"/>
      <c r="AI860" s="152"/>
      <c r="AJ860" s="152"/>
      <c r="AK860" s="152"/>
      <c r="AL860" s="152"/>
      <c r="AM860" s="152"/>
      <c r="AN860" s="152"/>
      <c r="AO860" s="152"/>
      <c r="AP860" s="152"/>
      <c r="AQ860" s="152"/>
      <c r="AR860" s="152"/>
      <c r="AS860" s="152"/>
      <c r="AT860" s="152"/>
      <c r="AU860" s="152"/>
      <c r="AV860" s="152"/>
      <c r="AW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  <c r="AH861" s="152"/>
      <c r="AI861" s="152"/>
      <c r="AJ861" s="152"/>
      <c r="AK861" s="152"/>
      <c r="AL861" s="152"/>
      <c r="AM861" s="152"/>
      <c r="AN861" s="152"/>
      <c r="AO861" s="152"/>
      <c r="AP861" s="152"/>
      <c r="AQ861" s="152"/>
      <c r="AR861" s="152"/>
      <c r="AS861" s="152"/>
      <c r="AT861" s="152"/>
      <c r="AU861" s="152"/>
      <c r="AV861" s="152"/>
      <c r="AW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  <c r="AH862" s="152"/>
      <c r="AI862" s="152"/>
      <c r="AJ862" s="152"/>
      <c r="AK862" s="152"/>
      <c r="AL862" s="152"/>
      <c r="AM862" s="152"/>
      <c r="AN862" s="152"/>
      <c r="AO862" s="152"/>
      <c r="AP862" s="152"/>
      <c r="AQ862" s="152"/>
      <c r="AR862" s="152"/>
      <c r="AS862" s="152"/>
      <c r="AT862" s="152"/>
      <c r="AU862" s="152"/>
      <c r="AV862" s="152"/>
      <c r="AW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  <c r="AH863" s="152"/>
      <c r="AI863" s="152"/>
      <c r="AJ863" s="152"/>
      <c r="AK863" s="152"/>
      <c r="AL863" s="152"/>
      <c r="AM863" s="152"/>
      <c r="AN863" s="152"/>
      <c r="AO863" s="152"/>
      <c r="AP863" s="152"/>
      <c r="AQ863" s="152"/>
      <c r="AR863" s="152"/>
      <c r="AS863" s="152"/>
      <c r="AT863" s="152"/>
      <c r="AU863" s="152"/>
      <c r="AV863" s="152"/>
      <c r="AW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  <c r="AH864" s="152"/>
      <c r="AI864" s="152"/>
      <c r="AJ864" s="152"/>
      <c r="AK864" s="152"/>
      <c r="AL864" s="152"/>
      <c r="AM864" s="152"/>
      <c r="AN864" s="152"/>
      <c r="AO864" s="152"/>
      <c r="AP864" s="152"/>
      <c r="AQ864" s="152"/>
      <c r="AR864" s="152"/>
      <c r="AS864" s="152"/>
      <c r="AT864" s="152"/>
      <c r="AU864" s="152"/>
      <c r="AV864" s="152"/>
      <c r="AW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  <c r="AH865" s="152"/>
      <c r="AI865" s="152"/>
      <c r="AJ865" s="152"/>
      <c r="AK865" s="152"/>
      <c r="AL865" s="152"/>
      <c r="AM865" s="152"/>
      <c r="AN865" s="152"/>
      <c r="AO865" s="152"/>
      <c r="AP865" s="152"/>
      <c r="AQ865" s="152"/>
      <c r="AR865" s="152"/>
      <c r="AS865" s="152"/>
      <c r="AT865" s="152"/>
      <c r="AU865" s="152"/>
      <c r="AV865" s="152"/>
      <c r="AW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  <c r="AH866" s="152"/>
      <c r="AI866" s="152"/>
      <c r="AJ866" s="152"/>
      <c r="AK866" s="152"/>
      <c r="AL866" s="152"/>
      <c r="AM866" s="152"/>
      <c r="AN866" s="152"/>
      <c r="AO866" s="152"/>
      <c r="AP866" s="152"/>
      <c r="AQ866" s="152"/>
      <c r="AR866" s="152"/>
      <c r="AS866" s="152"/>
      <c r="AT866" s="152"/>
      <c r="AU866" s="152"/>
      <c r="AV866" s="152"/>
      <c r="AW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  <c r="AH867" s="152"/>
      <c r="AI867" s="152"/>
      <c r="AJ867" s="152"/>
      <c r="AK867" s="152"/>
      <c r="AL867" s="152"/>
      <c r="AM867" s="152"/>
      <c r="AN867" s="152"/>
      <c r="AO867" s="152"/>
      <c r="AP867" s="152"/>
      <c r="AQ867" s="152"/>
      <c r="AR867" s="152"/>
      <c r="AS867" s="152"/>
      <c r="AT867" s="152"/>
      <c r="AU867" s="152"/>
      <c r="AV867" s="152"/>
      <c r="AW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  <c r="AG868" s="152"/>
      <c r="AH868" s="152"/>
      <c r="AI868" s="152"/>
      <c r="AJ868" s="152"/>
      <c r="AK868" s="152"/>
      <c r="AL868" s="152"/>
      <c r="AM868" s="152"/>
      <c r="AN868" s="152"/>
      <c r="AO868" s="152"/>
      <c r="AP868" s="152"/>
      <c r="AQ868" s="152"/>
      <c r="AR868" s="152"/>
      <c r="AS868" s="152"/>
      <c r="AT868" s="152"/>
      <c r="AU868" s="152"/>
      <c r="AV868" s="152"/>
      <c r="AW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  <c r="AG869" s="152"/>
      <c r="AH869" s="152"/>
      <c r="AI869" s="152"/>
      <c r="AJ869" s="152"/>
      <c r="AK869" s="152"/>
      <c r="AL869" s="152"/>
      <c r="AM869" s="152"/>
      <c r="AN869" s="152"/>
      <c r="AO869" s="152"/>
      <c r="AP869" s="152"/>
      <c r="AQ869" s="152"/>
      <c r="AR869" s="152"/>
      <c r="AS869" s="152"/>
      <c r="AT869" s="152"/>
      <c r="AU869" s="152"/>
      <c r="AV869" s="152"/>
      <c r="AW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  <c r="AG870" s="152"/>
      <c r="AH870" s="152"/>
      <c r="AI870" s="152"/>
      <c r="AJ870" s="152"/>
      <c r="AK870" s="152"/>
      <c r="AL870" s="152"/>
      <c r="AM870" s="152"/>
      <c r="AN870" s="152"/>
      <c r="AO870" s="152"/>
      <c r="AP870" s="152"/>
      <c r="AQ870" s="152"/>
      <c r="AR870" s="152"/>
      <c r="AS870" s="152"/>
      <c r="AT870" s="152"/>
      <c r="AU870" s="152"/>
      <c r="AV870" s="152"/>
      <c r="AW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  <c r="AG871" s="152"/>
      <c r="AH871" s="152"/>
      <c r="AI871" s="152"/>
      <c r="AJ871" s="152"/>
      <c r="AK871" s="152"/>
      <c r="AL871" s="152"/>
      <c r="AM871" s="152"/>
      <c r="AN871" s="152"/>
      <c r="AO871" s="152"/>
      <c r="AP871" s="152"/>
      <c r="AQ871" s="152"/>
      <c r="AR871" s="152"/>
      <c r="AS871" s="152"/>
      <c r="AT871" s="152"/>
      <c r="AU871" s="152"/>
      <c r="AV871" s="152"/>
      <c r="AW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  <c r="AG872" s="152"/>
      <c r="AH872" s="152"/>
      <c r="AI872" s="152"/>
      <c r="AJ872" s="152"/>
      <c r="AK872" s="152"/>
      <c r="AL872" s="152"/>
      <c r="AM872" s="152"/>
      <c r="AN872" s="152"/>
      <c r="AO872" s="152"/>
      <c r="AP872" s="152"/>
      <c r="AQ872" s="152"/>
      <c r="AR872" s="152"/>
      <c r="AS872" s="152"/>
      <c r="AT872" s="152"/>
      <c r="AU872" s="152"/>
      <c r="AV872" s="152"/>
      <c r="AW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  <c r="AG873" s="152"/>
      <c r="AH873" s="152"/>
      <c r="AI873" s="152"/>
      <c r="AJ873" s="152"/>
      <c r="AK873" s="152"/>
      <c r="AL873" s="152"/>
      <c r="AM873" s="152"/>
      <c r="AN873" s="152"/>
      <c r="AO873" s="152"/>
      <c r="AP873" s="152"/>
      <c r="AQ873" s="152"/>
      <c r="AR873" s="152"/>
      <c r="AS873" s="152"/>
      <c r="AT873" s="152"/>
      <c r="AU873" s="152"/>
      <c r="AV873" s="152"/>
      <c r="AW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  <c r="AG874" s="152"/>
      <c r="AH874" s="152"/>
      <c r="AI874" s="152"/>
      <c r="AJ874" s="152"/>
      <c r="AK874" s="152"/>
      <c r="AL874" s="152"/>
      <c r="AM874" s="152"/>
      <c r="AN874" s="152"/>
      <c r="AO874" s="152"/>
      <c r="AP874" s="152"/>
      <c r="AQ874" s="152"/>
      <c r="AR874" s="152"/>
      <c r="AS874" s="152"/>
      <c r="AT874" s="152"/>
      <c r="AU874" s="152"/>
      <c r="AV874" s="152"/>
      <c r="AW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  <c r="AG875" s="152"/>
      <c r="AH875" s="152"/>
      <c r="AI875" s="152"/>
      <c r="AJ875" s="152"/>
      <c r="AK875" s="152"/>
      <c r="AL875" s="152"/>
      <c r="AM875" s="152"/>
      <c r="AN875" s="152"/>
      <c r="AO875" s="152"/>
      <c r="AP875" s="152"/>
      <c r="AQ875" s="152"/>
      <c r="AR875" s="152"/>
      <c r="AS875" s="152"/>
      <c r="AT875" s="152"/>
      <c r="AU875" s="152"/>
      <c r="AV875" s="152"/>
      <c r="AW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  <c r="AG876" s="152"/>
      <c r="AH876" s="152"/>
      <c r="AI876" s="152"/>
      <c r="AJ876" s="152"/>
      <c r="AK876" s="152"/>
      <c r="AL876" s="152"/>
      <c r="AM876" s="152"/>
      <c r="AN876" s="152"/>
      <c r="AO876" s="152"/>
      <c r="AP876" s="152"/>
      <c r="AQ876" s="152"/>
      <c r="AR876" s="152"/>
      <c r="AS876" s="152"/>
      <c r="AT876" s="152"/>
      <c r="AU876" s="152"/>
      <c r="AV876" s="152"/>
      <c r="AW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  <c r="AH877" s="152"/>
      <c r="AI877" s="152"/>
      <c r="AJ877" s="152"/>
      <c r="AK877" s="152"/>
      <c r="AL877" s="152"/>
      <c r="AM877" s="152"/>
      <c r="AN877" s="152"/>
      <c r="AO877" s="152"/>
      <c r="AP877" s="152"/>
      <c r="AQ877" s="152"/>
      <c r="AR877" s="152"/>
      <c r="AS877" s="152"/>
      <c r="AT877" s="152"/>
      <c r="AU877" s="152"/>
      <c r="AV877" s="152"/>
      <c r="AW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  <c r="AH878" s="152"/>
      <c r="AI878" s="152"/>
      <c r="AJ878" s="152"/>
      <c r="AK878" s="152"/>
      <c r="AL878" s="152"/>
      <c r="AM878" s="152"/>
      <c r="AN878" s="152"/>
      <c r="AO878" s="152"/>
      <c r="AP878" s="152"/>
      <c r="AQ878" s="152"/>
      <c r="AR878" s="152"/>
      <c r="AS878" s="152"/>
      <c r="AT878" s="152"/>
      <c r="AU878" s="152"/>
      <c r="AV878" s="152"/>
      <c r="AW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  <c r="AH879" s="152"/>
      <c r="AI879" s="152"/>
      <c r="AJ879" s="152"/>
      <c r="AK879" s="152"/>
      <c r="AL879" s="152"/>
      <c r="AM879" s="152"/>
      <c r="AN879" s="152"/>
      <c r="AO879" s="152"/>
      <c r="AP879" s="152"/>
      <c r="AQ879" s="152"/>
      <c r="AR879" s="152"/>
      <c r="AS879" s="152"/>
      <c r="AT879" s="152"/>
      <c r="AU879" s="152"/>
      <c r="AV879" s="152"/>
      <c r="AW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  <c r="AH880" s="152"/>
      <c r="AI880" s="152"/>
      <c r="AJ880" s="152"/>
      <c r="AK880" s="152"/>
      <c r="AL880" s="152"/>
      <c r="AM880" s="152"/>
      <c r="AN880" s="152"/>
      <c r="AO880" s="152"/>
      <c r="AP880" s="152"/>
      <c r="AQ880" s="152"/>
      <c r="AR880" s="152"/>
      <c r="AS880" s="152"/>
      <c r="AT880" s="152"/>
      <c r="AU880" s="152"/>
      <c r="AV880" s="152"/>
      <c r="AW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  <c r="AH881" s="152"/>
      <c r="AI881" s="152"/>
      <c r="AJ881" s="152"/>
      <c r="AK881" s="152"/>
      <c r="AL881" s="152"/>
      <c r="AM881" s="152"/>
      <c r="AN881" s="152"/>
      <c r="AO881" s="152"/>
      <c r="AP881" s="152"/>
      <c r="AQ881" s="152"/>
      <c r="AR881" s="152"/>
      <c r="AS881" s="152"/>
      <c r="AT881" s="152"/>
      <c r="AU881" s="152"/>
      <c r="AV881" s="152"/>
      <c r="AW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  <c r="AH882" s="152"/>
      <c r="AI882" s="152"/>
      <c r="AJ882" s="152"/>
      <c r="AK882" s="152"/>
      <c r="AL882" s="152"/>
      <c r="AM882" s="152"/>
      <c r="AN882" s="152"/>
      <c r="AO882" s="152"/>
      <c r="AP882" s="152"/>
      <c r="AQ882" s="152"/>
      <c r="AR882" s="152"/>
      <c r="AS882" s="152"/>
      <c r="AT882" s="152"/>
      <c r="AU882" s="152"/>
      <c r="AV882" s="152"/>
      <c r="AW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  <c r="AH883" s="152"/>
      <c r="AI883" s="152"/>
      <c r="AJ883" s="152"/>
      <c r="AK883" s="152"/>
      <c r="AL883" s="152"/>
      <c r="AM883" s="152"/>
      <c r="AN883" s="152"/>
      <c r="AO883" s="152"/>
      <c r="AP883" s="152"/>
      <c r="AQ883" s="152"/>
      <c r="AR883" s="152"/>
      <c r="AS883" s="152"/>
      <c r="AT883" s="152"/>
      <c r="AU883" s="152"/>
      <c r="AV883" s="152"/>
      <c r="AW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  <c r="AH884" s="152"/>
      <c r="AI884" s="152"/>
      <c r="AJ884" s="152"/>
      <c r="AK884" s="152"/>
      <c r="AL884" s="152"/>
      <c r="AM884" s="152"/>
      <c r="AN884" s="152"/>
      <c r="AO884" s="152"/>
      <c r="AP884" s="152"/>
      <c r="AQ884" s="152"/>
      <c r="AR884" s="152"/>
      <c r="AS884" s="152"/>
      <c r="AT884" s="152"/>
      <c r="AU884" s="152"/>
      <c r="AV884" s="152"/>
      <c r="AW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  <c r="AH885" s="152"/>
      <c r="AI885" s="152"/>
      <c r="AJ885" s="152"/>
      <c r="AK885" s="152"/>
      <c r="AL885" s="152"/>
      <c r="AM885" s="152"/>
      <c r="AN885" s="152"/>
      <c r="AO885" s="152"/>
      <c r="AP885" s="152"/>
      <c r="AQ885" s="152"/>
      <c r="AR885" s="152"/>
      <c r="AS885" s="152"/>
      <c r="AT885" s="152"/>
      <c r="AU885" s="152"/>
      <c r="AV885" s="152"/>
      <c r="AW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  <c r="AG886" s="152"/>
      <c r="AH886" s="152"/>
      <c r="AI886" s="152"/>
      <c r="AJ886" s="152"/>
      <c r="AK886" s="152"/>
      <c r="AL886" s="152"/>
      <c r="AM886" s="152"/>
      <c r="AN886" s="152"/>
      <c r="AO886" s="152"/>
      <c r="AP886" s="152"/>
      <c r="AQ886" s="152"/>
      <c r="AR886" s="152"/>
      <c r="AS886" s="152"/>
      <c r="AT886" s="152"/>
      <c r="AU886" s="152"/>
      <c r="AV886" s="152"/>
      <c r="AW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  <c r="AG887" s="152"/>
      <c r="AH887" s="152"/>
      <c r="AI887" s="152"/>
      <c r="AJ887" s="152"/>
      <c r="AK887" s="152"/>
      <c r="AL887" s="152"/>
      <c r="AM887" s="152"/>
      <c r="AN887" s="152"/>
      <c r="AO887" s="152"/>
      <c r="AP887" s="152"/>
      <c r="AQ887" s="152"/>
      <c r="AR887" s="152"/>
      <c r="AS887" s="152"/>
      <c r="AT887" s="152"/>
      <c r="AU887" s="152"/>
      <c r="AV887" s="152"/>
      <c r="AW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  <c r="AG888" s="152"/>
      <c r="AH888" s="152"/>
      <c r="AI888" s="152"/>
      <c r="AJ888" s="152"/>
      <c r="AK888" s="152"/>
      <c r="AL888" s="152"/>
      <c r="AM888" s="152"/>
      <c r="AN888" s="152"/>
      <c r="AO888" s="152"/>
      <c r="AP888" s="152"/>
      <c r="AQ888" s="152"/>
      <c r="AR888" s="152"/>
      <c r="AS888" s="152"/>
      <c r="AT888" s="152"/>
      <c r="AU888" s="152"/>
      <c r="AV888" s="152"/>
      <c r="AW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  <c r="AG889" s="152"/>
      <c r="AH889" s="152"/>
      <c r="AI889" s="152"/>
      <c r="AJ889" s="152"/>
      <c r="AK889" s="152"/>
      <c r="AL889" s="152"/>
      <c r="AM889" s="152"/>
      <c r="AN889" s="152"/>
      <c r="AO889" s="152"/>
      <c r="AP889" s="152"/>
      <c r="AQ889" s="152"/>
      <c r="AR889" s="152"/>
      <c r="AS889" s="152"/>
      <c r="AT889" s="152"/>
      <c r="AU889" s="152"/>
      <c r="AV889" s="152"/>
      <c r="AW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  <c r="AG890" s="152"/>
      <c r="AH890" s="152"/>
      <c r="AI890" s="152"/>
      <c r="AJ890" s="152"/>
      <c r="AK890" s="152"/>
      <c r="AL890" s="152"/>
      <c r="AM890" s="152"/>
      <c r="AN890" s="152"/>
      <c r="AO890" s="152"/>
      <c r="AP890" s="152"/>
      <c r="AQ890" s="152"/>
      <c r="AR890" s="152"/>
      <c r="AS890" s="152"/>
      <c r="AT890" s="152"/>
      <c r="AU890" s="152"/>
      <c r="AV890" s="152"/>
      <c r="AW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  <c r="AG891" s="152"/>
      <c r="AH891" s="152"/>
      <c r="AI891" s="152"/>
      <c r="AJ891" s="152"/>
      <c r="AK891" s="152"/>
      <c r="AL891" s="152"/>
      <c r="AM891" s="152"/>
      <c r="AN891" s="152"/>
      <c r="AO891" s="152"/>
      <c r="AP891" s="152"/>
      <c r="AQ891" s="152"/>
      <c r="AR891" s="152"/>
      <c r="AS891" s="152"/>
      <c r="AT891" s="152"/>
      <c r="AU891" s="152"/>
      <c r="AV891" s="152"/>
      <c r="AW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  <c r="AG892" s="152"/>
      <c r="AH892" s="152"/>
      <c r="AI892" s="152"/>
      <c r="AJ892" s="152"/>
      <c r="AK892" s="152"/>
      <c r="AL892" s="152"/>
      <c r="AM892" s="152"/>
      <c r="AN892" s="152"/>
      <c r="AO892" s="152"/>
      <c r="AP892" s="152"/>
      <c r="AQ892" s="152"/>
      <c r="AR892" s="152"/>
      <c r="AS892" s="152"/>
      <c r="AT892" s="152"/>
      <c r="AU892" s="152"/>
      <c r="AV892" s="152"/>
      <c r="AW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  <c r="AG893" s="152"/>
      <c r="AH893" s="152"/>
      <c r="AI893" s="152"/>
      <c r="AJ893" s="152"/>
      <c r="AK893" s="152"/>
      <c r="AL893" s="152"/>
      <c r="AM893" s="152"/>
      <c r="AN893" s="152"/>
      <c r="AO893" s="152"/>
      <c r="AP893" s="152"/>
      <c r="AQ893" s="152"/>
      <c r="AR893" s="152"/>
      <c r="AS893" s="152"/>
      <c r="AT893" s="152"/>
      <c r="AU893" s="152"/>
      <c r="AV893" s="152"/>
      <c r="AW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  <c r="AG894" s="152"/>
      <c r="AH894" s="152"/>
      <c r="AI894" s="152"/>
      <c r="AJ894" s="152"/>
      <c r="AK894" s="152"/>
      <c r="AL894" s="152"/>
      <c r="AM894" s="152"/>
      <c r="AN894" s="152"/>
      <c r="AO894" s="152"/>
      <c r="AP894" s="152"/>
      <c r="AQ894" s="152"/>
      <c r="AR894" s="152"/>
      <c r="AS894" s="152"/>
      <c r="AT894" s="152"/>
      <c r="AU894" s="152"/>
      <c r="AV894" s="152"/>
      <c r="AW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  <c r="AG895" s="152"/>
      <c r="AH895" s="152"/>
      <c r="AI895" s="152"/>
      <c r="AJ895" s="152"/>
      <c r="AK895" s="152"/>
      <c r="AL895" s="152"/>
      <c r="AM895" s="152"/>
      <c r="AN895" s="152"/>
      <c r="AO895" s="152"/>
      <c r="AP895" s="152"/>
      <c r="AQ895" s="152"/>
      <c r="AR895" s="152"/>
      <c r="AS895" s="152"/>
      <c r="AT895" s="152"/>
      <c r="AU895" s="152"/>
      <c r="AV895" s="152"/>
      <c r="AW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  <c r="AG896" s="152"/>
      <c r="AH896" s="152"/>
      <c r="AI896" s="152"/>
      <c r="AJ896" s="152"/>
      <c r="AK896" s="152"/>
      <c r="AL896" s="152"/>
      <c r="AM896" s="152"/>
      <c r="AN896" s="152"/>
      <c r="AO896" s="152"/>
      <c r="AP896" s="152"/>
      <c r="AQ896" s="152"/>
      <c r="AR896" s="152"/>
      <c r="AS896" s="152"/>
      <c r="AT896" s="152"/>
      <c r="AU896" s="152"/>
      <c r="AV896" s="152"/>
      <c r="AW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  <c r="AG897" s="152"/>
      <c r="AH897" s="152"/>
      <c r="AI897" s="152"/>
      <c r="AJ897" s="152"/>
      <c r="AK897" s="152"/>
      <c r="AL897" s="152"/>
      <c r="AM897" s="152"/>
      <c r="AN897" s="152"/>
      <c r="AO897" s="152"/>
      <c r="AP897" s="152"/>
      <c r="AQ897" s="152"/>
      <c r="AR897" s="152"/>
      <c r="AS897" s="152"/>
      <c r="AT897" s="152"/>
      <c r="AU897" s="152"/>
      <c r="AV897" s="152"/>
      <c r="AW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  <c r="AG898" s="152"/>
      <c r="AH898" s="152"/>
      <c r="AI898" s="152"/>
      <c r="AJ898" s="152"/>
      <c r="AK898" s="152"/>
      <c r="AL898" s="152"/>
      <c r="AM898" s="152"/>
      <c r="AN898" s="152"/>
      <c r="AO898" s="152"/>
      <c r="AP898" s="152"/>
      <c r="AQ898" s="152"/>
      <c r="AR898" s="152"/>
      <c r="AS898" s="152"/>
      <c r="AT898" s="152"/>
      <c r="AU898" s="152"/>
      <c r="AV898" s="152"/>
      <c r="AW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  <c r="AG899" s="152"/>
      <c r="AH899" s="152"/>
      <c r="AI899" s="152"/>
      <c r="AJ899" s="152"/>
      <c r="AK899" s="152"/>
      <c r="AL899" s="152"/>
      <c r="AM899" s="152"/>
      <c r="AN899" s="152"/>
      <c r="AO899" s="152"/>
      <c r="AP899" s="152"/>
      <c r="AQ899" s="152"/>
      <c r="AR899" s="152"/>
      <c r="AS899" s="152"/>
      <c r="AT899" s="152"/>
      <c r="AU899" s="152"/>
      <c r="AV899" s="152"/>
      <c r="AW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  <c r="AG900" s="152"/>
      <c r="AH900" s="152"/>
      <c r="AI900" s="152"/>
      <c r="AJ900" s="152"/>
      <c r="AK900" s="152"/>
      <c r="AL900" s="152"/>
      <c r="AM900" s="152"/>
      <c r="AN900" s="152"/>
      <c r="AO900" s="152"/>
      <c r="AP900" s="152"/>
      <c r="AQ900" s="152"/>
      <c r="AR900" s="152"/>
      <c r="AS900" s="152"/>
      <c r="AT900" s="152"/>
      <c r="AU900" s="152"/>
      <c r="AV900" s="152"/>
      <c r="AW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  <c r="AG901" s="152"/>
      <c r="AH901" s="152"/>
      <c r="AI901" s="152"/>
      <c r="AJ901" s="152"/>
      <c r="AK901" s="152"/>
      <c r="AL901" s="152"/>
      <c r="AM901" s="152"/>
      <c r="AN901" s="152"/>
      <c r="AO901" s="152"/>
      <c r="AP901" s="152"/>
      <c r="AQ901" s="152"/>
      <c r="AR901" s="152"/>
      <c r="AS901" s="152"/>
      <c r="AT901" s="152"/>
      <c r="AU901" s="152"/>
      <c r="AV901" s="152"/>
      <c r="AW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  <c r="AG902" s="152"/>
      <c r="AH902" s="152"/>
      <c r="AI902" s="152"/>
      <c r="AJ902" s="152"/>
      <c r="AK902" s="152"/>
      <c r="AL902" s="152"/>
      <c r="AM902" s="152"/>
      <c r="AN902" s="152"/>
      <c r="AO902" s="152"/>
      <c r="AP902" s="152"/>
      <c r="AQ902" s="152"/>
      <c r="AR902" s="152"/>
      <c r="AS902" s="152"/>
      <c r="AT902" s="152"/>
      <c r="AU902" s="152"/>
      <c r="AV902" s="152"/>
      <c r="AW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  <c r="AH903" s="152"/>
      <c r="AI903" s="152"/>
      <c r="AJ903" s="152"/>
      <c r="AK903" s="152"/>
      <c r="AL903" s="152"/>
      <c r="AM903" s="152"/>
      <c r="AN903" s="152"/>
      <c r="AO903" s="152"/>
      <c r="AP903" s="152"/>
      <c r="AQ903" s="152"/>
      <c r="AR903" s="152"/>
      <c r="AS903" s="152"/>
      <c r="AT903" s="152"/>
      <c r="AU903" s="152"/>
      <c r="AV903" s="152"/>
      <c r="AW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  <c r="AG904" s="152"/>
      <c r="AH904" s="152"/>
      <c r="AI904" s="152"/>
      <c r="AJ904" s="152"/>
      <c r="AK904" s="152"/>
      <c r="AL904" s="152"/>
      <c r="AM904" s="152"/>
      <c r="AN904" s="152"/>
      <c r="AO904" s="152"/>
      <c r="AP904" s="152"/>
      <c r="AQ904" s="152"/>
      <c r="AR904" s="152"/>
      <c r="AS904" s="152"/>
      <c r="AT904" s="152"/>
      <c r="AU904" s="152"/>
      <c r="AV904" s="152"/>
      <c r="AW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  <c r="AG905" s="152"/>
      <c r="AH905" s="152"/>
      <c r="AI905" s="152"/>
      <c r="AJ905" s="152"/>
      <c r="AK905" s="152"/>
      <c r="AL905" s="152"/>
      <c r="AM905" s="152"/>
      <c r="AN905" s="152"/>
      <c r="AO905" s="152"/>
      <c r="AP905" s="152"/>
      <c r="AQ905" s="152"/>
      <c r="AR905" s="152"/>
      <c r="AS905" s="152"/>
      <c r="AT905" s="152"/>
      <c r="AU905" s="152"/>
      <c r="AV905" s="152"/>
      <c r="AW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  <c r="AG906" s="152"/>
      <c r="AH906" s="152"/>
      <c r="AI906" s="152"/>
      <c r="AJ906" s="152"/>
      <c r="AK906" s="152"/>
      <c r="AL906" s="152"/>
      <c r="AM906" s="152"/>
      <c r="AN906" s="152"/>
      <c r="AO906" s="152"/>
      <c r="AP906" s="152"/>
      <c r="AQ906" s="152"/>
      <c r="AR906" s="152"/>
      <c r="AS906" s="152"/>
      <c r="AT906" s="152"/>
      <c r="AU906" s="152"/>
      <c r="AV906" s="152"/>
      <c r="AW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  <c r="AG907" s="152"/>
      <c r="AH907" s="152"/>
      <c r="AI907" s="152"/>
      <c r="AJ907" s="152"/>
      <c r="AK907" s="152"/>
      <c r="AL907" s="152"/>
      <c r="AM907" s="152"/>
      <c r="AN907" s="152"/>
      <c r="AO907" s="152"/>
      <c r="AP907" s="152"/>
      <c r="AQ907" s="152"/>
      <c r="AR907" s="152"/>
      <c r="AS907" s="152"/>
      <c r="AT907" s="152"/>
      <c r="AU907" s="152"/>
      <c r="AV907" s="152"/>
      <c r="AW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  <c r="AH908" s="152"/>
      <c r="AI908" s="152"/>
      <c r="AJ908" s="152"/>
      <c r="AK908" s="152"/>
      <c r="AL908" s="152"/>
      <c r="AM908" s="152"/>
      <c r="AN908" s="152"/>
      <c r="AO908" s="152"/>
      <c r="AP908" s="152"/>
      <c r="AQ908" s="152"/>
      <c r="AR908" s="152"/>
      <c r="AS908" s="152"/>
      <c r="AT908" s="152"/>
      <c r="AU908" s="152"/>
      <c r="AV908" s="152"/>
      <c r="AW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  <c r="AH909" s="152"/>
      <c r="AI909" s="152"/>
      <c r="AJ909" s="152"/>
      <c r="AK909" s="152"/>
      <c r="AL909" s="152"/>
      <c r="AM909" s="152"/>
      <c r="AN909" s="152"/>
      <c r="AO909" s="152"/>
      <c r="AP909" s="152"/>
      <c r="AQ909" s="152"/>
      <c r="AR909" s="152"/>
      <c r="AS909" s="152"/>
      <c r="AT909" s="152"/>
      <c r="AU909" s="152"/>
      <c r="AV909" s="152"/>
      <c r="AW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  <c r="AH910" s="152"/>
      <c r="AI910" s="152"/>
      <c r="AJ910" s="152"/>
      <c r="AK910" s="152"/>
      <c r="AL910" s="152"/>
      <c r="AM910" s="152"/>
      <c r="AN910" s="152"/>
      <c r="AO910" s="152"/>
      <c r="AP910" s="152"/>
      <c r="AQ910" s="152"/>
      <c r="AR910" s="152"/>
      <c r="AS910" s="152"/>
      <c r="AT910" s="152"/>
      <c r="AU910" s="152"/>
      <c r="AV910" s="152"/>
      <c r="AW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  <c r="AH911" s="152"/>
      <c r="AI911" s="152"/>
      <c r="AJ911" s="152"/>
      <c r="AK911" s="152"/>
      <c r="AL911" s="152"/>
      <c r="AM911" s="152"/>
      <c r="AN911" s="152"/>
      <c r="AO911" s="152"/>
      <c r="AP911" s="152"/>
      <c r="AQ911" s="152"/>
      <c r="AR911" s="152"/>
      <c r="AS911" s="152"/>
      <c r="AT911" s="152"/>
      <c r="AU911" s="152"/>
      <c r="AV911" s="152"/>
      <c r="AW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  <c r="AH912" s="152"/>
      <c r="AI912" s="152"/>
      <c r="AJ912" s="152"/>
      <c r="AK912" s="152"/>
      <c r="AL912" s="152"/>
      <c r="AM912" s="152"/>
      <c r="AN912" s="152"/>
      <c r="AO912" s="152"/>
      <c r="AP912" s="152"/>
      <c r="AQ912" s="152"/>
      <c r="AR912" s="152"/>
      <c r="AS912" s="152"/>
      <c r="AT912" s="152"/>
      <c r="AU912" s="152"/>
      <c r="AV912" s="152"/>
      <c r="AW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  <c r="AH913" s="152"/>
      <c r="AI913" s="152"/>
      <c r="AJ913" s="152"/>
      <c r="AK913" s="152"/>
      <c r="AL913" s="152"/>
      <c r="AM913" s="152"/>
      <c r="AN913" s="152"/>
      <c r="AO913" s="152"/>
      <c r="AP913" s="152"/>
      <c r="AQ913" s="152"/>
      <c r="AR913" s="152"/>
      <c r="AS913" s="152"/>
      <c r="AT913" s="152"/>
      <c r="AU913" s="152"/>
      <c r="AV913" s="152"/>
      <c r="AW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  <c r="AH914" s="152"/>
      <c r="AI914" s="152"/>
      <c r="AJ914" s="152"/>
      <c r="AK914" s="152"/>
      <c r="AL914" s="152"/>
      <c r="AM914" s="152"/>
      <c r="AN914" s="152"/>
      <c r="AO914" s="152"/>
      <c r="AP914" s="152"/>
      <c r="AQ914" s="152"/>
      <c r="AR914" s="152"/>
      <c r="AS914" s="152"/>
      <c r="AT914" s="152"/>
      <c r="AU914" s="152"/>
      <c r="AV914" s="152"/>
      <c r="AW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  <c r="AH915" s="152"/>
      <c r="AI915" s="152"/>
      <c r="AJ915" s="152"/>
      <c r="AK915" s="152"/>
      <c r="AL915" s="152"/>
      <c r="AM915" s="152"/>
      <c r="AN915" s="152"/>
      <c r="AO915" s="152"/>
      <c r="AP915" s="152"/>
      <c r="AQ915" s="152"/>
      <c r="AR915" s="152"/>
      <c r="AS915" s="152"/>
      <c r="AT915" s="152"/>
      <c r="AU915" s="152"/>
      <c r="AV915" s="152"/>
      <c r="AW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  <c r="AH916" s="152"/>
      <c r="AI916" s="152"/>
      <c r="AJ916" s="152"/>
      <c r="AK916" s="152"/>
      <c r="AL916" s="152"/>
      <c r="AM916" s="152"/>
      <c r="AN916" s="152"/>
      <c r="AO916" s="152"/>
      <c r="AP916" s="152"/>
      <c r="AQ916" s="152"/>
      <c r="AR916" s="152"/>
      <c r="AS916" s="152"/>
      <c r="AT916" s="152"/>
      <c r="AU916" s="152"/>
      <c r="AV916" s="152"/>
      <c r="AW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  <c r="AH917" s="152"/>
      <c r="AI917" s="152"/>
      <c r="AJ917" s="152"/>
      <c r="AK917" s="152"/>
      <c r="AL917" s="152"/>
      <c r="AM917" s="152"/>
      <c r="AN917" s="152"/>
      <c r="AO917" s="152"/>
      <c r="AP917" s="152"/>
      <c r="AQ917" s="152"/>
      <c r="AR917" s="152"/>
      <c r="AS917" s="152"/>
      <c r="AT917" s="152"/>
      <c r="AU917" s="152"/>
      <c r="AV917" s="152"/>
      <c r="AW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  <c r="AH918" s="152"/>
      <c r="AI918" s="152"/>
      <c r="AJ918" s="152"/>
      <c r="AK918" s="152"/>
      <c r="AL918" s="152"/>
      <c r="AM918" s="152"/>
      <c r="AN918" s="152"/>
      <c r="AO918" s="152"/>
      <c r="AP918" s="152"/>
      <c r="AQ918" s="152"/>
      <c r="AR918" s="152"/>
      <c r="AS918" s="152"/>
      <c r="AT918" s="152"/>
      <c r="AU918" s="152"/>
      <c r="AV918" s="152"/>
      <c r="AW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  <c r="AH919" s="152"/>
      <c r="AI919" s="152"/>
      <c r="AJ919" s="152"/>
      <c r="AK919" s="152"/>
      <c r="AL919" s="152"/>
      <c r="AM919" s="152"/>
      <c r="AN919" s="152"/>
      <c r="AO919" s="152"/>
      <c r="AP919" s="152"/>
      <c r="AQ919" s="152"/>
      <c r="AR919" s="152"/>
      <c r="AS919" s="152"/>
      <c r="AT919" s="152"/>
      <c r="AU919" s="152"/>
      <c r="AV919" s="152"/>
      <c r="AW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  <c r="AH920" s="152"/>
      <c r="AI920" s="152"/>
      <c r="AJ920" s="152"/>
      <c r="AK920" s="152"/>
      <c r="AL920" s="152"/>
      <c r="AM920" s="152"/>
      <c r="AN920" s="152"/>
      <c r="AO920" s="152"/>
      <c r="AP920" s="152"/>
      <c r="AQ920" s="152"/>
      <c r="AR920" s="152"/>
      <c r="AS920" s="152"/>
      <c r="AT920" s="152"/>
      <c r="AU920" s="152"/>
      <c r="AV920" s="152"/>
      <c r="AW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  <c r="AH921" s="152"/>
      <c r="AI921" s="152"/>
      <c r="AJ921" s="152"/>
      <c r="AK921" s="152"/>
      <c r="AL921" s="152"/>
      <c r="AM921" s="152"/>
      <c r="AN921" s="152"/>
      <c r="AO921" s="152"/>
      <c r="AP921" s="152"/>
      <c r="AQ921" s="152"/>
      <c r="AR921" s="152"/>
      <c r="AS921" s="152"/>
      <c r="AT921" s="152"/>
      <c r="AU921" s="152"/>
      <c r="AV921" s="152"/>
      <c r="AW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  <c r="AH922" s="152"/>
      <c r="AI922" s="152"/>
      <c r="AJ922" s="152"/>
      <c r="AK922" s="152"/>
      <c r="AL922" s="152"/>
      <c r="AM922" s="152"/>
      <c r="AN922" s="152"/>
      <c r="AO922" s="152"/>
      <c r="AP922" s="152"/>
      <c r="AQ922" s="152"/>
      <c r="AR922" s="152"/>
      <c r="AS922" s="152"/>
      <c r="AT922" s="152"/>
      <c r="AU922" s="152"/>
      <c r="AV922" s="152"/>
      <c r="AW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  <c r="AG923" s="152"/>
      <c r="AH923" s="152"/>
      <c r="AI923" s="152"/>
      <c r="AJ923" s="152"/>
      <c r="AK923" s="152"/>
      <c r="AL923" s="152"/>
      <c r="AM923" s="152"/>
      <c r="AN923" s="152"/>
      <c r="AO923" s="152"/>
      <c r="AP923" s="152"/>
      <c r="AQ923" s="152"/>
      <c r="AR923" s="152"/>
      <c r="AS923" s="152"/>
      <c r="AT923" s="152"/>
      <c r="AU923" s="152"/>
      <c r="AV923" s="152"/>
      <c r="AW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  <c r="AG924" s="152"/>
      <c r="AH924" s="152"/>
      <c r="AI924" s="152"/>
      <c r="AJ924" s="152"/>
      <c r="AK924" s="152"/>
      <c r="AL924" s="152"/>
      <c r="AM924" s="152"/>
      <c r="AN924" s="152"/>
      <c r="AO924" s="152"/>
      <c r="AP924" s="152"/>
      <c r="AQ924" s="152"/>
      <c r="AR924" s="152"/>
      <c r="AS924" s="152"/>
      <c r="AT924" s="152"/>
      <c r="AU924" s="152"/>
      <c r="AV924" s="152"/>
      <c r="AW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  <c r="AG925" s="152"/>
      <c r="AH925" s="152"/>
      <c r="AI925" s="152"/>
      <c r="AJ925" s="152"/>
      <c r="AK925" s="152"/>
      <c r="AL925" s="152"/>
      <c r="AM925" s="152"/>
      <c r="AN925" s="152"/>
      <c r="AO925" s="152"/>
      <c r="AP925" s="152"/>
      <c r="AQ925" s="152"/>
      <c r="AR925" s="152"/>
      <c r="AS925" s="152"/>
      <c r="AT925" s="152"/>
      <c r="AU925" s="152"/>
      <c r="AV925" s="152"/>
      <c r="AW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  <c r="AG926" s="152"/>
      <c r="AH926" s="152"/>
      <c r="AI926" s="152"/>
      <c r="AJ926" s="152"/>
      <c r="AK926" s="152"/>
      <c r="AL926" s="152"/>
      <c r="AM926" s="152"/>
      <c r="AN926" s="152"/>
      <c r="AO926" s="152"/>
      <c r="AP926" s="152"/>
      <c r="AQ926" s="152"/>
      <c r="AR926" s="152"/>
      <c r="AS926" s="152"/>
      <c r="AT926" s="152"/>
      <c r="AU926" s="152"/>
      <c r="AV926" s="152"/>
      <c r="AW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  <c r="AG927" s="152"/>
      <c r="AH927" s="152"/>
      <c r="AI927" s="152"/>
      <c r="AJ927" s="152"/>
      <c r="AK927" s="152"/>
      <c r="AL927" s="152"/>
      <c r="AM927" s="152"/>
      <c r="AN927" s="152"/>
      <c r="AO927" s="152"/>
      <c r="AP927" s="152"/>
      <c r="AQ927" s="152"/>
      <c r="AR927" s="152"/>
      <c r="AS927" s="152"/>
      <c r="AT927" s="152"/>
      <c r="AU927" s="152"/>
      <c r="AV927" s="152"/>
      <c r="AW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  <c r="AG928" s="152"/>
      <c r="AH928" s="152"/>
      <c r="AI928" s="152"/>
      <c r="AJ928" s="152"/>
      <c r="AK928" s="152"/>
      <c r="AL928" s="152"/>
      <c r="AM928" s="152"/>
      <c r="AN928" s="152"/>
      <c r="AO928" s="152"/>
      <c r="AP928" s="152"/>
      <c r="AQ928" s="152"/>
      <c r="AR928" s="152"/>
      <c r="AS928" s="152"/>
      <c r="AT928" s="152"/>
      <c r="AU928" s="152"/>
      <c r="AV928" s="152"/>
      <c r="AW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  <c r="AG929" s="152"/>
      <c r="AH929" s="152"/>
      <c r="AI929" s="152"/>
      <c r="AJ929" s="152"/>
      <c r="AK929" s="152"/>
      <c r="AL929" s="152"/>
      <c r="AM929" s="152"/>
      <c r="AN929" s="152"/>
      <c r="AO929" s="152"/>
      <c r="AP929" s="152"/>
      <c r="AQ929" s="152"/>
      <c r="AR929" s="152"/>
      <c r="AS929" s="152"/>
      <c r="AT929" s="152"/>
      <c r="AU929" s="152"/>
      <c r="AV929" s="152"/>
      <c r="AW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  <c r="AG930" s="152"/>
      <c r="AH930" s="152"/>
      <c r="AI930" s="152"/>
      <c r="AJ930" s="152"/>
      <c r="AK930" s="152"/>
      <c r="AL930" s="152"/>
      <c r="AM930" s="152"/>
      <c r="AN930" s="152"/>
      <c r="AO930" s="152"/>
      <c r="AP930" s="152"/>
      <c r="AQ930" s="152"/>
      <c r="AR930" s="152"/>
      <c r="AS930" s="152"/>
      <c r="AT930" s="152"/>
      <c r="AU930" s="152"/>
      <c r="AV930" s="152"/>
      <c r="AW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  <c r="AG931" s="152"/>
      <c r="AH931" s="152"/>
      <c r="AI931" s="152"/>
      <c r="AJ931" s="152"/>
      <c r="AK931" s="152"/>
      <c r="AL931" s="152"/>
      <c r="AM931" s="152"/>
      <c r="AN931" s="152"/>
      <c r="AO931" s="152"/>
      <c r="AP931" s="152"/>
      <c r="AQ931" s="152"/>
      <c r="AR931" s="152"/>
      <c r="AS931" s="152"/>
      <c r="AT931" s="152"/>
      <c r="AU931" s="152"/>
      <c r="AV931" s="152"/>
      <c r="AW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  <c r="AH932" s="152"/>
      <c r="AI932" s="152"/>
      <c r="AJ932" s="152"/>
      <c r="AK932" s="152"/>
      <c r="AL932" s="152"/>
      <c r="AM932" s="152"/>
      <c r="AN932" s="152"/>
      <c r="AO932" s="152"/>
      <c r="AP932" s="152"/>
      <c r="AQ932" s="152"/>
      <c r="AR932" s="152"/>
      <c r="AS932" s="152"/>
      <c r="AT932" s="152"/>
      <c r="AU932" s="152"/>
      <c r="AV932" s="152"/>
      <c r="AW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  <c r="AH933" s="152"/>
      <c r="AI933" s="152"/>
      <c r="AJ933" s="152"/>
      <c r="AK933" s="152"/>
      <c r="AL933" s="152"/>
      <c r="AM933" s="152"/>
      <c r="AN933" s="152"/>
      <c r="AO933" s="152"/>
      <c r="AP933" s="152"/>
      <c r="AQ933" s="152"/>
      <c r="AR933" s="152"/>
      <c r="AS933" s="152"/>
      <c r="AT933" s="152"/>
      <c r="AU933" s="152"/>
      <c r="AV933" s="152"/>
      <c r="AW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  <c r="AH934" s="152"/>
      <c r="AI934" s="152"/>
      <c r="AJ934" s="152"/>
      <c r="AK934" s="152"/>
      <c r="AL934" s="152"/>
      <c r="AM934" s="152"/>
      <c r="AN934" s="152"/>
      <c r="AO934" s="152"/>
      <c r="AP934" s="152"/>
      <c r="AQ934" s="152"/>
      <c r="AR934" s="152"/>
      <c r="AS934" s="152"/>
      <c r="AT934" s="152"/>
      <c r="AU934" s="152"/>
      <c r="AV934" s="152"/>
      <c r="AW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  <c r="AH935" s="152"/>
      <c r="AI935" s="152"/>
      <c r="AJ935" s="152"/>
      <c r="AK935" s="152"/>
      <c r="AL935" s="152"/>
      <c r="AM935" s="152"/>
      <c r="AN935" s="152"/>
      <c r="AO935" s="152"/>
      <c r="AP935" s="152"/>
      <c r="AQ935" s="152"/>
      <c r="AR935" s="152"/>
      <c r="AS935" s="152"/>
      <c r="AT935" s="152"/>
      <c r="AU935" s="152"/>
      <c r="AV935" s="152"/>
      <c r="AW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  <c r="AH936" s="152"/>
      <c r="AI936" s="152"/>
      <c r="AJ936" s="152"/>
      <c r="AK936" s="152"/>
      <c r="AL936" s="152"/>
      <c r="AM936" s="152"/>
      <c r="AN936" s="152"/>
      <c r="AO936" s="152"/>
      <c r="AP936" s="152"/>
      <c r="AQ936" s="152"/>
      <c r="AR936" s="152"/>
      <c r="AS936" s="152"/>
      <c r="AT936" s="152"/>
      <c r="AU936" s="152"/>
      <c r="AV936" s="152"/>
      <c r="AW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  <c r="AH937" s="152"/>
      <c r="AI937" s="152"/>
      <c r="AJ937" s="152"/>
      <c r="AK937" s="152"/>
      <c r="AL937" s="152"/>
      <c r="AM937" s="152"/>
      <c r="AN937" s="152"/>
      <c r="AO937" s="152"/>
      <c r="AP937" s="152"/>
      <c r="AQ937" s="152"/>
      <c r="AR937" s="152"/>
      <c r="AS937" s="152"/>
      <c r="AT937" s="152"/>
      <c r="AU937" s="152"/>
      <c r="AV937" s="152"/>
      <c r="AW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  <c r="AH938" s="152"/>
      <c r="AI938" s="152"/>
      <c r="AJ938" s="152"/>
      <c r="AK938" s="152"/>
      <c r="AL938" s="152"/>
      <c r="AM938" s="152"/>
      <c r="AN938" s="152"/>
      <c r="AO938" s="152"/>
      <c r="AP938" s="152"/>
      <c r="AQ938" s="152"/>
      <c r="AR938" s="152"/>
      <c r="AS938" s="152"/>
      <c r="AT938" s="152"/>
      <c r="AU938" s="152"/>
      <c r="AV938" s="152"/>
      <c r="AW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  <c r="AH939" s="152"/>
      <c r="AI939" s="152"/>
      <c r="AJ939" s="152"/>
      <c r="AK939" s="152"/>
      <c r="AL939" s="152"/>
      <c r="AM939" s="152"/>
      <c r="AN939" s="152"/>
      <c r="AO939" s="152"/>
      <c r="AP939" s="152"/>
      <c r="AQ939" s="152"/>
      <c r="AR939" s="152"/>
      <c r="AS939" s="152"/>
      <c r="AT939" s="152"/>
      <c r="AU939" s="152"/>
      <c r="AV939" s="152"/>
      <c r="AW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  <c r="AH940" s="152"/>
      <c r="AI940" s="152"/>
      <c r="AJ940" s="152"/>
      <c r="AK940" s="152"/>
      <c r="AL940" s="152"/>
      <c r="AM940" s="152"/>
      <c r="AN940" s="152"/>
      <c r="AO940" s="152"/>
      <c r="AP940" s="152"/>
      <c r="AQ940" s="152"/>
      <c r="AR940" s="152"/>
      <c r="AS940" s="152"/>
      <c r="AT940" s="152"/>
      <c r="AU940" s="152"/>
      <c r="AV940" s="152"/>
      <c r="AW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  <c r="AG941" s="152"/>
      <c r="AH941" s="152"/>
      <c r="AI941" s="152"/>
      <c r="AJ941" s="152"/>
      <c r="AK941" s="152"/>
      <c r="AL941" s="152"/>
      <c r="AM941" s="152"/>
      <c r="AN941" s="152"/>
      <c r="AO941" s="152"/>
      <c r="AP941" s="152"/>
      <c r="AQ941" s="152"/>
      <c r="AR941" s="152"/>
      <c r="AS941" s="152"/>
      <c r="AT941" s="152"/>
      <c r="AU941" s="152"/>
      <c r="AV941" s="152"/>
      <c r="AW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  <c r="AG942" s="152"/>
      <c r="AH942" s="152"/>
      <c r="AI942" s="152"/>
      <c r="AJ942" s="152"/>
      <c r="AK942" s="152"/>
      <c r="AL942" s="152"/>
      <c r="AM942" s="152"/>
      <c r="AN942" s="152"/>
      <c r="AO942" s="152"/>
      <c r="AP942" s="152"/>
      <c r="AQ942" s="152"/>
      <c r="AR942" s="152"/>
      <c r="AS942" s="152"/>
      <c r="AT942" s="152"/>
      <c r="AU942" s="152"/>
      <c r="AV942" s="152"/>
      <c r="AW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  <c r="AG943" s="152"/>
      <c r="AH943" s="152"/>
      <c r="AI943" s="152"/>
      <c r="AJ943" s="152"/>
      <c r="AK943" s="152"/>
      <c r="AL943" s="152"/>
      <c r="AM943" s="152"/>
      <c r="AN943" s="152"/>
      <c r="AO943" s="152"/>
      <c r="AP943" s="152"/>
      <c r="AQ943" s="152"/>
      <c r="AR943" s="152"/>
      <c r="AS943" s="152"/>
      <c r="AT943" s="152"/>
      <c r="AU943" s="152"/>
      <c r="AV943" s="152"/>
      <c r="AW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  <c r="AG944" s="152"/>
      <c r="AH944" s="152"/>
      <c r="AI944" s="152"/>
      <c r="AJ944" s="152"/>
      <c r="AK944" s="152"/>
      <c r="AL944" s="152"/>
      <c r="AM944" s="152"/>
      <c r="AN944" s="152"/>
      <c r="AO944" s="152"/>
      <c r="AP944" s="152"/>
      <c r="AQ944" s="152"/>
      <c r="AR944" s="152"/>
      <c r="AS944" s="152"/>
      <c r="AT944" s="152"/>
      <c r="AU944" s="152"/>
      <c r="AV944" s="152"/>
      <c r="AW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  <c r="AG945" s="152"/>
      <c r="AH945" s="152"/>
      <c r="AI945" s="152"/>
      <c r="AJ945" s="152"/>
      <c r="AK945" s="152"/>
      <c r="AL945" s="152"/>
      <c r="AM945" s="152"/>
      <c r="AN945" s="152"/>
      <c r="AO945" s="152"/>
      <c r="AP945" s="152"/>
      <c r="AQ945" s="152"/>
      <c r="AR945" s="152"/>
      <c r="AS945" s="152"/>
      <c r="AT945" s="152"/>
      <c r="AU945" s="152"/>
      <c r="AV945" s="152"/>
      <c r="AW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  <c r="AG946" s="152"/>
      <c r="AH946" s="152"/>
      <c r="AI946" s="152"/>
      <c r="AJ946" s="152"/>
      <c r="AK946" s="152"/>
      <c r="AL946" s="152"/>
      <c r="AM946" s="152"/>
      <c r="AN946" s="152"/>
      <c r="AO946" s="152"/>
      <c r="AP946" s="152"/>
      <c r="AQ946" s="152"/>
      <c r="AR946" s="152"/>
      <c r="AS946" s="152"/>
      <c r="AT946" s="152"/>
      <c r="AU946" s="152"/>
      <c r="AV946" s="152"/>
      <c r="AW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  <c r="AG947" s="152"/>
      <c r="AH947" s="152"/>
      <c r="AI947" s="152"/>
      <c r="AJ947" s="152"/>
      <c r="AK947" s="152"/>
      <c r="AL947" s="152"/>
      <c r="AM947" s="152"/>
      <c r="AN947" s="152"/>
      <c r="AO947" s="152"/>
      <c r="AP947" s="152"/>
      <c r="AQ947" s="152"/>
      <c r="AR947" s="152"/>
      <c r="AS947" s="152"/>
      <c r="AT947" s="152"/>
      <c r="AU947" s="152"/>
      <c r="AV947" s="152"/>
      <c r="AW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  <c r="AG948" s="152"/>
      <c r="AH948" s="152"/>
      <c r="AI948" s="152"/>
      <c r="AJ948" s="152"/>
      <c r="AK948" s="152"/>
      <c r="AL948" s="152"/>
      <c r="AM948" s="152"/>
      <c r="AN948" s="152"/>
      <c r="AO948" s="152"/>
      <c r="AP948" s="152"/>
      <c r="AQ948" s="152"/>
      <c r="AR948" s="152"/>
      <c r="AS948" s="152"/>
      <c r="AT948" s="152"/>
      <c r="AU948" s="152"/>
      <c r="AV948" s="152"/>
      <c r="AW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  <c r="AG949" s="152"/>
      <c r="AH949" s="152"/>
      <c r="AI949" s="152"/>
      <c r="AJ949" s="152"/>
      <c r="AK949" s="152"/>
      <c r="AL949" s="152"/>
      <c r="AM949" s="152"/>
      <c r="AN949" s="152"/>
      <c r="AO949" s="152"/>
      <c r="AP949" s="152"/>
      <c r="AQ949" s="152"/>
      <c r="AR949" s="152"/>
      <c r="AS949" s="152"/>
      <c r="AT949" s="152"/>
      <c r="AU949" s="152"/>
      <c r="AV949" s="152"/>
      <c r="AW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  <c r="AH950" s="152"/>
      <c r="AI950" s="152"/>
      <c r="AJ950" s="152"/>
      <c r="AK950" s="152"/>
      <c r="AL950" s="152"/>
      <c r="AM950" s="152"/>
      <c r="AN950" s="152"/>
      <c r="AO950" s="152"/>
      <c r="AP950" s="152"/>
      <c r="AQ950" s="152"/>
      <c r="AR950" s="152"/>
      <c r="AS950" s="152"/>
      <c r="AT950" s="152"/>
      <c r="AU950" s="152"/>
      <c r="AV950" s="152"/>
      <c r="AW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  <c r="AH951" s="152"/>
      <c r="AI951" s="152"/>
      <c r="AJ951" s="152"/>
      <c r="AK951" s="152"/>
      <c r="AL951" s="152"/>
      <c r="AM951" s="152"/>
      <c r="AN951" s="152"/>
      <c r="AO951" s="152"/>
      <c r="AP951" s="152"/>
      <c r="AQ951" s="152"/>
      <c r="AR951" s="152"/>
      <c r="AS951" s="152"/>
      <c r="AT951" s="152"/>
      <c r="AU951" s="152"/>
      <c r="AV951" s="152"/>
      <c r="AW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  <c r="AH952" s="152"/>
      <c r="AI952" s="152"/>
      <c r="AJ952" s="152"/>
      <c r="AK952" s="152"/>
      <c r="AL952" s="152"/>
      <c r="AM952" s="152"/>
      <c r="AN952" s="152"/>
      <c r="AO952" s="152"/>
      <c r="AP952" s="152"/>
      <c r="AQ952" s="152"/>
      <c r="AR952" s="152"/>
      <c r="AS952" s="152"/>
      <c r="AT952" s="152"/>
      <c r="AU952" s="152"/>
      <c r="AV952" s="152"/>
      <c r="AW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  <c r="AH953" s="152"/>
      <c r="AI953" s="152"/>
      <c r="AJ953" s="152"/>
      <c r="AK953" s="152"/>
      <c r="AL953" s="152"/>
      <c r="AM953" s="152"/>
      <c r="AN953" s="152"/>
      <c r="AO953" s="152"/>
      <c r="AP953" s="152"/>
      <c r="AQ953" s="152"/>
      <c r="AR953" s="152"/>
      <c r="AS953" s="152"/>
      <c r="AT953" s="152"/>
      <c r="AU953" s="152"/>
      <c r="AV953" s="152"/>
      <c r="AW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  <c r="AH954" s="152"/>
      <c r="AI954" s="152"/>
      <c r="AJ954" s="152"/>
      <c r="AK954" s="152"/>
      <c r="AL954" s="152"/>
      <c r="AM954" s="152"/>
      <c r="AN954" s="152"/>
      <c r="AO954" s="152"/>
      <c r="AP954" s="152"/>
      <c r="AQ954" s="152"/>
      <c r="AR954" s="152"/>
      <c r="AS954" s="152"/>
      <c r="AT954" s="152"/>
      <c r="AU954" s="152"/>
      <c r="AV954" s="152"/>
      <c r="AW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  <c r="AH955" s="152"/>
      <c r="AI955" s="152"/>
      <c r="AJ955" s="152"/>
      <c r="AK955" s="152"/>
      <c r="AL955" s="152"/>
      <c r="AM955" s="152"/>
      <c r="AN955" s="152"/>
      <c r="AO955" s="152"/>
      <c r="AP955" s="152"/>
      <c r="AQ955" s="152"/>
      <c r="AR955" s="152"/>
      <c r="AS955" s="152"/>
      <c r="AT955" s="152"/>
      <c r="AU955" s="152"/>
      <c r="AV955" s="152"/>
      <c r="AW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  <c r="AH956" s="152"/>
      <c r="AI956" s="152"/>
      <c r="AJ956" s="152"/>
      <c r="AK956" s="152"/>
      <c r="AL956" s="152"/>
      <c r="AM956" s="152"/>
      <c r="AN956" s="152"/>
      <c r="AO956" s="152"/>
      <c r="AP956" s="152"/>
      <c r="AQ956" s="152"/>
      <c r="AR956" s="152"/>
      <c r="AS956" s="152"/>
      <c r="AT956" s="152"/>
      <c r="AU956" s="152"/>
      <c r="AV956" s="152"/>
      <c r="AW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  <c r="AH957" s="152"/>
      <c r="AI957" s="152"/>
      <c r="AJ957" s="152"/>
      <c r="AK957" s="152"/>
      <c r="AL957" s="152"/>
      <c r="AM957" s="152"/>
      <c r="AN957" s="152"/>
      <c r="AO957" s="152"/>
      <c r="AP957" s="152"/>
      <c r="AQ957" s="152"/>
      <c r="AR957" s="152"/>
      <c r="AS957" s="152"/>
      <c r="AT957" s="152"/>
      <c r="AU957" s="152"/>
      <c r="AV957" s="152"/>
      <c r="AW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  <c r="AH958" s="152"/>
      <c r="AI958" s="152"/>
      <c r="AJ958" s="152"/>
      <c r="AK958" s="152"/>
      <c r="AL958" s="152"/>
      <c r="AM958" s="152"/>
      <c r="AN958" s="152"/>
      <c r="AO958" s="152"/>
      <c r="AP958" s="152"/>
      <c r="AQ958" s="152"/>
      <c r="AR958" s="152"/>
      <c r="AS958" s="152"/>
      <c r="AT958" s="152"/>
      <c r="AU958" s="152"/>
      <c r="AV958" s="152"/>
      <c r="AW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  <c r="AG959" s="152"/>
      <c r="AH959" s="152"/>
      <c r="AI959" s="152"/>
      <c r="AJ959" s="152"/>
      <c r="AK959" s="152"/>
      <c r="AL959" s="152"/>
      <c r="AM959" s="152"/>
      <c r="AN959" s="152"/>
      <c r="AO959" s="152"/>
      <c r="AP959" s="152"/>
      <c r="AQ959" s="152"/>
      <c r="AR959" s="152"/>
      <c r="AS959" s="152"/>
      <c r="AT959" s="152"/>
      <c r="AU959" s="152"/>
      <c r="AV959" s="152"/>
      <c r="AW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  <c r="AG960" s="152"/>
      <c r="AH960" s="152"/>
      <c r="AI960" s="152"/>
      <c r="AJ960" s="152"/>
      <c r="AK960" s="152"/>
      <c r="AL960" s="152"/>
      <c r="AM960" s="152"/>
      <c r="AN960" s="152"/>
      <c r="AO960" s="152"/>
      <c r="AP960" s="152"/>
      <c r="AQ960" s="152"/>
      <c r="AR960" s="152"/>
      <c r="AS960" s="152"/>
      <c r="AT960" s="152"/>
      <c r="AU960" s="152"/>
      <c r="AV960" s="152"/>
      <c r="AW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  <c r="AG961" s="152"/>
      <c r="AH961" s="152"/>
      <c r="AI961" s="152"/>
      <c r="AJ961" s="152"/>
      <c r="AK961" s="152"/>
      <c r="AL961" s="152"/>
      <c r="AM961" s="152"/>
      <c r="AN961" s="152"/>
      <c r="AO961" s="152"/>
      <c r="AP961" s="152"/>
      <c r="AQ961" s="152"/>
      <c r="AR961" s="152"/>
      <c r="AS961" s="152"/>
      <c r="AT961" s="152"/>
      <c r="AU961" s="152"/>
      <c r="AV961" s="152"/>
      <c r="AW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  <c r="AG962" s="152"/>
      <c r="AH962" s="152"/>
      <c r="AI962" s="152"/>
      <c r="AJ962" s="152"/>
      <c r="AK962" s="152"/>
      <c r="AL962" s="152"/>
      <c r="AM962" s="152"/>
      <c r="AN962" s="152"/>
      <c r="AO962" s="152"/>
      <c r="AP962" s="152"/>
      <c r="AQ962" s="152"/>
      <c r="AR962" s="152"/>
      <c r="AS962" s="152"/>
      <c r="AT962" s="152"/>
      <c r="AU962" s="152"/>
      <c r="AV962" s="152"/>
      <c r="AW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  <c r="AG963" s="152"/>
      <c r="AH963" s="152"/>
      <c r="AI963" s="152"/>
      <c r="AJ963" s="152"/>
      <c r="AK963" s="152"/>
      <c r="AL963" s="152"/>
      <c r="AM963" s="152"/>
      <c r="AN963" s="152"/>
      <c r="AO963" s="152"/>
      <c r="AP963" s="152"/>
      <c r="AQ963" s="152"/>
      <c r="AR963" s="152"/>
      <c r="AS963" s="152"/>
      <c r="AT963" s="152"/>
      <c r="AU963" s="152"/>
      <c r="AV963" s="152"/>
      <c r="AW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  <c r="AG964" s="152"/>
      <c r="AH964" s="152"/>
      <c r="AI964" s="152"/>
      <c r="AJ964" s="152"/>
      <c r="AK964" s="152"/>
      <c r="AL964" s="152"/>
      <c r="AM964" s="152"/>
      <c r="AN964" s="152"/>
      <c r="AO964" s="152"/>
      <c r="AP964" s="152"/>
      <c r="AQ964" s="152"/>
      <c r="AR964" s="152"/>
      <c r="AS964" s="152"/>
      <c r="AT964" s="152"/>
      <c r="AU964" s="152"/>
      <c r="AV964" s="152"/>
      <c r="AW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  <c r="AG965" s="152"/>
      <c r="AH965" s="152"/>
      <c r="AI965" s="152"/>
      <c r="AJ965" s="152"/>
      <c r="AK965" s="152"/>
      <c r="AL965" s="152"/>
      <c r="AM965" s="152"/>
      <c r="AN965" s="152"/>
      <c r="AO965" s="152"/>
      <c r="AP965" s="152"/>
      <c r="AQ965" s="152"/>
      <c r="AR965" s="152"/>
      <c r="AS965" s="152"/>
      <c r="AT965" s="152"/>
      <c r="AU965" s="152"/>
      <c r="AV965" s="152"/>
      <c r="AW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  <c r="AG966" s="152"/>
      <c r="AH966" s="152"/>
      <c r="AI966" s="152"/>
      <c r="AJ966" s="152"/>
      <c r="AK966" s="152"/>
      <c r="AL966" s="152"/>
      <c r="AM966" s="152"/>
      <c r="AN966" s="152"/>
      <c r="AO966" s="152"/>
      <c r="AP966" s="152"/>
      <c r="AQ966" s="152"/>
      <c r="AR966" s="152"/>
      <c r="AS966" s="152"/>
      <c r="AT966" s="152"/>
      <c r="AU966" s="152"/>
      <c r="AV966" s="152"/>
      <c r="AW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  <c r="AG967" s="152"/>
      <c r="AH967" s="152"/>
      <c r="AI967" s="152"/>
      <c r="AJ967" s="152"/>
      <c r="AK967" s="152"/>
      <c r="AL967" s="152"/>
      <c r="AM967" s="152"/>
      <c r="AN967" s="152"/>
      <c r="AO967" s="152"/>
      <c r="AP967" s="152"/>
      <c r="AQ967" s="152"/>
      <c r="AR967" s="152"/>
      <c r="AS967" s="152"/>
      <c r="AT967" s="152"/>
      <c r="AU967" s="152"/>
      <c r="AV967" s="152"/>
      <c r="AW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  <c r="AG968" s="152"/>
      <c r="AH968" s="152"/>
      <c r="AI968" s="152"/>
      <c r="AJ968" s="152"/>
      <c r="AK968" s="152"/>
      <c r="AL968" s="152"/>
      <c r="AM968" s="152"/>
      <c r="AN968" s="152"/>
      <c r="AO968" s="152"/>
      <c r="AP968" s="152"/>
      <c r="AQ968" s="152"/>
      <c r="AR968" s="152"/>
      <c r="AS968" s="152"/>
      <c r="AT968" s="152"/>
      <c r="AU968" s="152"/>
      <c r="AV968" s="152"/>
      <c r="AW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  <c r="AG969" s="152"/>
      <c r="AH969" s="152"/>
      <c r="AI969" s="152"/>
      <c r="AJ969" s="152"/>
      <c r="AK969" s="152"/>
      <c r="AL969" s="152"/>
      <c r="AM969" s="152"/>
      <c r="AN969" s="152"/>
      <c r="AO969" s="152"/>
      <c r="AP969" s="152"/>
      <c r="AQ969" s="152"/>
      <c r="AR969" s="152"/>
      <c r="AS969" s="152"/>
      <c r="AT969" s="152"/>
      <c r="AU969" s="152"/>
      <c r="AV969" s="152"/>
      <c r="AW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  <c r="AG970" s="152"/>
      <c r="AH970" s="152"/>
      <c r="AI970" s="152"/>
      <c r="AJ970" s="152"/>
      <c r="AK970" s="152"/>
      <c r="AL970" s="152"/>
      <c r="AM970" s="152"/>
      <c r="AN970" s="152"/>
      <c r="AO970" s="152"/>
      <c r="AP970" s="152"/>
      <c r="AQ970" s="152"/>
      <c r="AR970" s="152"/>
      <c r="AS970" s="152"/>
      <c r="AT970" s="152"/>
      <c r="AU970" s="152"/>
      <c r="AV970" s="152"/>
      <c r="AW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  <c r="AG971" s="152"/>
      <c r="AH971" s="152"/>
      <c r="AI971" s="152"/>
      <c r="AJ971" s="152"/>
      <c r="AK971" s="152"/>
      <c r="AL971" s="152"/>
      <c r="AM971" s="152"/>
      <c r="AN971" s="152"/>
      <c r="AO971" s="152"/>
      <c r="AP971" s="152"/>
      <c r="AQ971" s="152"/>
      <c r="AR971" s="152"/>
      <c r="AS971" s="152"/>
      <c r="AT971" s="152"/>
      <c r="AU971" s="152"/>
      <c r="AV971" s="152"/>
      <c r="AW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  <c r="AG972" s="152"/>
      <c r="AH972" s="152"/>
      <c r="AI972" s="152"/>
      <c r="AJ972" s="152"/>
      <c r="AK972" s="152"/>
      <c r="AL972" s="152"/>
      <c r="AM972" s="152"/>
      <c r="AN972" s="152"/>
      <c r="AO972" s="152"/>
      <c r="AP972" s="152"/>
      <c r="AQ972" s="152"/>
      <c r="AR972" s="152"/>
      <c r="AS972" s="152"/>
      <c r="AT972" s="152"/>
      <c r="AU972" s="152"/>
      <c r="AV972" s="152"/>
      <c r="AW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  <c r="AG973" s="152"/>
      <c r="AH973" s="152"/>
      <c r="AI973" s="152"/>
      <c r="AJ973" s="152"/>
      <c r="AK973" s="152"/>
      <c r="AL973" s="152"/>
      <c r="AM973" s="152"/>
      <c r="AN973" s="152"/>
      <c r="AO973" s="152"/>
      <c r="AP973" s="152"/>
      <c r="AQ973" s="152"/>
      <c r="AR973" s="152"/>
      <c r="AS973" s="152"/>
      <c r="AT973" s="152"/>
      <c r="AU973" s="152"/>
      <c r="AV973" s="152"/>
      <c r="AW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  <c r="AG974" s="152"/>
      <c r="AH974" s="152"/>
      <c r="AI974" s="152"/>
      <c r="AJ974" s="152"/>
      <c r="AK974" s="152"/>
      <c r="AL974" s="152"/>
      <c r="AM974" s="152"/>
      <c r="AN974" s="152"/>
      <c r="AO974" s="152"/>
      <c r="AP974" s="152"/>
      <c r="AQ974" s="152"/>
      <c r="AR974" s="152"/>
      <c r="AS974" s="152"/>
      <c r="AT974" s="152"/>
      <c r="AU974" s="152"/>
      <c r="AV974" s="152"/>
      <c r="AW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  <c r="AG975" s="152"/>
      <c r="AH975" s="152"/>
      <c r="AI975" s="152"/>
      <c r="AJ975" s="152"/>
      <c r="AK975" s="152"/>
      <c r="AL975" s="152"/>
      <c r="AM975" s="152"/>
      <c r="AN975" s="152"/>
      <c r="AO975" s="152"/>
      <c r="AP975" s="152"/>
      <c r="AQ975" s="152"/>
      <c r="AR975" s="152"/>
      <c r="AS975" s="152"/>
      <c r="AT975" s="152"/>
      <c r="AU975" s="152"/>
      <c r="AV975" s="152"/>
      <c r="AW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  <c r="AG976" s="152"/>
      <c r="AH976" s="152"/>
      <c r="AI976" s="152"/>
      <c r="AJ976" s="152"/>
      <c r="AK976" s="152"/>
      <c r="AL976" s="152"/>
      <c r="AM976" s="152"/>
      <c r="AN976" s="152"/>
      <c r="AO976" s="152"/>
      <c r="AP976" s="152"/>
      <c r="AQ976" s="152"/>
      <c r="AR976" s="152"/>
      <c r="AS976" s="152"/>
      <c r="AT976" s="152"/>
      <c r="AU976" s="152"/>
      <c r="AV976" s="152"/>
      <c r="AW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  <c r="AG977" s="152"/>
      <c r="AH977" s="152"/>
      <c r="AI977" s="152"/>
      <c r="AJ977" s="152"/>
      <c r="AK977" s="152"/>
      <c r="AL977" s="152"/>
      <c r="AM977" s="152"/>
      <c r="AN977" s="152"/>
      <c r="AO977" s="152"/>
      <c r="AP977" s="152"/>
      <c r="AQ977" s="152"/>
      <c r="AR977" s="152"/>
      <c r="AS977" s="152"/>
      <c r="AT977" s="152"/>
      <c r="AU977" s="152"/>
      <c r="AV977" s="152"/>
      <c r="AW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  <c r="AG978" s="152"/>
      <c r="AH978" s="152"/>
      <c r="AI978" s="152"/>
      <c r="AJ978" s="152"/>
      <c r="AK978" s="152"/>
      <c r="AL978" s="152"/>
      <c r="AM978" s="152"/>
      <c r="AN978" s="152"/>
      <c r="AO978" s="152"/>
      <c r="AP978" s="152"/>
      <c r="AQ978" s="152"/>
      <c r="AR978" s="152"/>
      <c r="AS978" s="152"/>
      <c r="AT978" s="152"/>
      <c r="AU978" s="152"/>
      <c r="AV978" s="152"/>
      <c r="AW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  <c r="AG979" s="152"/>
      <c r="AH979" s="152"/>
      <c r="AI979" s="152"/>
      <c r="AJ979" s="152"/>
      <c r="AK979" s="152"/>
      <c r="AL979" s="152"/>
      <c r="AM979" s="152"/>
      <c r="AN979" s="152"/>
      <c r="AO979" s="152"/>
      <c r="AP979" s="152"/>
      <c r="AQ979" s="152"/>
      <c r="AR979" s="152"/>
      <c r="AS979" s="152"/>
      <c r="AT979" s="152"/>
      <c r="AU979" s="152"/>
      <c r="AV979" s="152"/>
      <c r="AW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  <c r="AG980" s="152"/>
      <c r="AH980" s="152"/>
      <c r="AI980" s="152"/>
      <c r="AJ980" s="152"/>
      <c r="AK980" s="152"/>
      <c r="AL980" s="152"/>
      <c r="AM980" s="152"/>
      <c r="AN980" s="152"/>
      <c r="AO980" s="152"/>
      <c r="AP980" s="152"/>
      <c r="AQ980" s="152"/>
      <c r="AR980" s="152"/>
      <c r="AS980" s="152"/>
      <c r="AT980" s="152"/>
      <c r="AU980" s="152"/>
      <c r="AV980" s="152"/>
      <c r="AW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  <c r="AG981" s="152"/>
      <c r="AH981" s="152"/>
      <c r="AI981" s="152"/>
      <c r="AJ981" s="152"/>
      <c r="AK981" s="152"/>
      <c r="AL981" s="152"/>
      <c r="AM981" s="152"/>
      <c r="AN981" s="152"/>
      <c r="AO981" s="152"/>
      <c r="AP981" s="152"/>
      <c r="AQ981" s="152"/>
      <c r="AR981" s="152"/>
      <c r="AS981" s="152"/>
      <c r="AT981" s="152"/>
      <c r="AU981" s="152"/>
      <c r="AV981" s="152"/>
      <c r="AW981" s="152"/>
    </row>
    <row r="982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  <c r="AG982" s="152"/>
      <c r="AH982" s="152"/>
      <c r="AI982" s="152"/>
      <c r="AJ982" s="152"/>
      <c r="AK982" s="152"/>
      <c r="AL982" s="152"/>
      <c r="AM982" s="152"/>
      <c r="AN982" s="152"/>
      <c r="AO982" s="152"/>
      <c r="AP982" s="152"/>
      <c r="AQ982" s="152"/>
      <c r="AR982" s="152"/>
      <c r="AS982" s="152"/>
      <c r="AT982" s="152"/>
      <c r="AU982" s="152"/>
      <c r="AV982" s="152"/>
      <c r="AW982" s="152"/>
    </row>
    <row r="983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  <c r="AG983" s="152"/>
      <c r="AH983" s="152"/>
      <c r="AI983" s="152"/>
      <c r="AJ983" s="152"/>
      <c r="AK983" s="152"/>
      <c r="AL983" s="152"/>
      <c r="AM983" s="152"/>
      <c r="AN983" s="152"/>
      <c r="AO983" s="152"/>
      <c r="AP983" s="152"/>
      <c r="AQ983" s="152"/>
      <c r="AR983" s="152"/>
      <c r="AS983" s="152"/>
      <c r="AT983" s="152"/>
      <c r="AU983" s="152"/>
      <c r="AV983" s="152"/>
      <c r="AW983" s="152"/>
    </row>
    <row r="984">
      <c r="A984" s="152"/>
      <c r="B984" s="152"/>
      <c r="C984" s="152"/>
      <c r="D984" s="152"/>
      <c r="E984" s="152"/>
      <c r="F984" s="152"/>
      <c r="G984" s="152"/>
      <c r="H984" s="152"/>
      <c r="I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  <c r="AG984" s="152"/>
      <c r="AH984" s="152"/>
      <c r="AI984" s="152"/>
      <c r="AJ984" s="152"/>
      <c r="AK984" s="152"/>
      <c r="AL984" s="152"/>
      <c r="AM984" s="152"/>
      <c r="AN984" s="152"/>
      <c r="AO984" s="152"/>
      <c r="AP984" s="152"/>
      <c r="AQ984" s="152"/>
      <c r="AR984" s="152"/>
      <c r="AS984" s="152"/>
      <c r="AT984" s="152"/>
      <c r="AU984" s="152"/>
      <c r="AV984" s="152"/>
      <c r="AW984" s="152"/>
    </row>
    <row r="985">
      <c r="C985" s="152"/>
      <c r="F985" s="152"/>
      <c r="G985" s="152"/>
      <c r="H985" s="152"/>
      <c r="I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  <c r="AG985" s="152"/>
      <c r="AH985" s="152"/>
      <c r="AI985" s="152"/>
      <c r="AJ985" s="152"/>
      <c r="AK985" s="152"/>
      <c r="AL985" s="152"/>
      <c r="AM985" s="152"/>
      <c r="AN985" s="152"/>
      <c r="AO985" s="152"/>
      <c r="AP985" s="152"/>
      <c r="AQ985" s="152"/>
      <c r="AR985" s="152"/>
      <c r="AS985" s="152"/>
      <c r="AT985" s="152"/>
      <c r="AU985" s="152"/>
      <c r="AV985" s="152"/>
      <c r="AW985" s="152"/>
    </row>
  </sheetData>
  <mergeCells count="8">
    <mergeCell ref="A1:AC1"/>
    <mergeCell ref="A5:B5"/>
    <mergeCell ref="D5:E5"/>
    <mergeCell ref="G5:H5"/>
    <mergeCell ref="K5:L5"/>
    <mergeCell ref="J6:K6"/>
    <mergeCell ref="L6:M6"/>
    <mergeCell ref="A32:B32"/>
  </mergeCells>
  <dataValidations>
    <dataValidation type="list" allowBlank="1" showErrorMessage="1" sqref="E9">
      <formula1>"0%,1%,2%,3%,4%,5%"</formula1>
    </dataValidation>
    <dataValidation type="list" allowBlank="1" showErrorMessage="1" sqref="B7">
      <formula1>"0.5%,1.0%,1.5%,2.0%,2.5%,3.0%,3.5%,4.0%,4.5%,5.0%"</formula1>
    </dataValidation>
    <dataValidation type="list" allowBlank="1" showErrorMessage="1" sqref="E11">
      <formula1>" $ 5.00 , $ 10.00 , $ 15.00 , $ 20.00 , $ 25.00 , $ 30.00 , $ 35.00 , $ 40.00 "</formula1>
    </dataValidation>
  </dataValidations>
  <hyperlinks>
    <hyperlink r:id="rId1" ref="A7"/>
    <hyperlink r:id="rId2" ref="D7"/>
    <hyperlink r:id="rId3" ref="D11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4.13"/>
  </cols>
  <sheetData>
    <row r="1">
      <c r="A1" s="227" t="s">
        <v>205</v>
      </c>
      <c r="B1" s="25"/>
      <c r="C1" s="25"/>
      <c r="D1" s="25"/>
      <c r="E1" s="25"/>
      <c r="F1" s="25"/>
      <c r="G1" s="25"/>
      <c r="H1" s="24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</row>
    <row r="3">
      <c r="A3" s="228" t="s">
        <v>206</v>
      </c>
      <c r="B3" s="47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</row>
    <row r="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5"/>
      <c r="N4" s="155"/>
      <c r="O4" s="155"/>
      <c r="P4" s="155"/>
      <c r="Q4" s="152"/>
      <c r="V4" s="152"/>
      <c r="W4" s="152"/>
      <c r="X4" s="152"/>
      <c r="Y4" s="152"/>
      <c r="Z4" s="152"/>
      <c r="AA4" s="152"/>
      <c r="AB4" s="152"/>
    </row>
    <row r="5">
      <c r="A5" s="154" t="s">
        <v>164</v>
      </c>
      <c r="B5" s="24"/>
      <c r="C5" s="155"/>
      <c r="D5" s="156" t="s">
        <v>165</v>
      </c>
      <c r="E5" s="24"/>
      <c r="F5" s="155"/>
      <c r="G5" s="157" t="s">
        <v>207</v>
      </c>
      <c r="H5" s="24"/>
      <c r="I5" s="155"/>
      <c r="J5" s="152"/>
      <c r="K5" s="158" t="s">
        <v>167</v>
      </c>
      <c r="L5" s="159"/>
      <c r="M5" s="152"/>
      <c r="N5" s="155"/>
      <c r="O5" s="155"/>
      <c r="P5" s="155"/>
      <c r="Q5" s="152"/>
      <c r="V5" s="152"/>
      <c r="W5" s="152"/>
      <c r="X5" s="152"/>
      <c r="Y5" s="152"/>
      <c r="Z5" s="152"/>
      <c r="AA5" s="152"/>
      <c r="AB5" s="152"/>
    </row>
    <row r="6">
      <c r="A6" s="160" t="s">
        <v>168</v>
      </c>
      <c r="B6" s="20">
        <v>25.0</v>
      </c>
      <c r="C6" s="155"/>
      <c r="D6" s="229" t="s">
        <v>208</v>
      </c>
      <c r="E6" s="230">
        <f>'Heating Fuel Data'!I21</f>
        <v>3.803333333</v>
      </c>
      <c r="F6" s="155"/>
      <c r="G6" s="231" t="s">
        <v>209</v>
      </c>
      <c r="H6" s="164">
        <f>'Heating Fuel Data'!B10</f>
        <v>9972</v>
      </c>
      <c r="I6" s="155"/>
      <c r="J6" s="165" t="s">
        <v>171</v>
      </c>
      <c r="K6" s="24"/>
      <c r="L6" s="165" t="s">
        <v>172</v>
      </c>
      <c r="M6" s="24"/>
      <c r="N6" s="155"/>
      <c r="O6" s="155"/>
      <c r="P6" s="155"/>
      <c r="Q6" s="152"/>
      <c r="V6" s="152"/>
      <c r="W6" s="152"/>
      <c r="X6" s="152"/>
      <c r="Y6" s="152"/>
      <c r="Z6" s="152"/>
      <c r="AA6" s="152"/>
      <c r="AB6" s="152"/>
    </row>
    <row r="7">
      <c r="A7" s="166" t="s">
        <v>173</v>
      </c>
      <c r="B7" s="167">
        <v>0.05</v>
      </c>
      <c r="C7" s="155"/>
      <c r="D7" s="232" t="s">
        <v>210</v>
      </c>
      <c r="E7" s="169">
        <v>0.0188</v>
      </c>
      <c r="F7" s="233"/>
      <c r="I7" s="155"/>
      <c r="J7" s="234" t="s">
        <v>211</v>
      </c>
      <c r="K7" s="235">
        <f>B26</f>
        <v>1256784.358</v>
      </c>
      <c r="L7" s="177" t="s">
        <v>212</v>
      </c>
      <c r="M7" s="236">
        <f>B41</f>
        <v>1477255.836</v>
      </c>
      <c r="N7" s="155"/>
      <c r="O7" s="155"/>
      <c r="P7" s="155"/>
      <c r="Q7" s="152"/>
      <c r="V7" s="152"/>
      <c r="W7" s="152"/>
      <c r="X7" s="152"/>
      <c r="Y7" s="152"/>
      <c r="Z7" s="152"/>
      <c r="AA7" s="152"/>
      <c r="AB7" s="152"/>
    </row>
    <row r="8">
      <c r="A8" s="173"/>
      <c r="B8" s="155"/>
      <c r="C8" s="155"/>
      <c r="D8" s="231" t="s">
        <v>213</v>
      </c>
      <c r="E8" s="180">
        <v>0.05</v>
      </c>
      <c r="G8" s="155"/>
      <c r="H8" s="155"/>
      <c r="I8" s="155"/>
      <c r="J8" s="237" t="s">
        <v>214</v>
      </c>
      <c r="K8" s="238">
        <f>B22:AA22</f>
        <v>11791.87038</v>
      </c>
      <c r="L8" s="177" t="s">
        <v>215</v>
      </c>
      <c r="M8" s="239">
        <f>SUM(B35:AA35)</f>
        <v>220471.4786</v>
      </c>
      <c r="N8" s="155"/>
      <c r="O8" s="155"/>
      <c r="P8" s="155"/>
      <c r="Q8" s="152"/>
      <c r="R8" s="155"/>
      <c r="S8" s="155"/>
      <c r="T8" s="155"/>
      <c r="U8" s="155"/>
      <c r="V8" s="152"/>
      <c r="W8" s="152"/>
      <c r="X8" s="152"/>
      <c r="Y8" s="152"/>
      <c r="Z8" s="152"/>
      <c r="AA8" s="152"/>
      <c r="AB8" s="152"/>
    </row>
    <row r="9">
      <c r="A9" s="47"/>
      <c r="B9" s="179"/>
      <c r="C9" s="155"/>
      <c r="D9" s="231" t="s">
        <v>177</v>
      </c>
      <c r="E9" s="174">
        <f>'Heating Fuel Data'!B11</f>
        <v>44118.34</v>
      </c>
      <c r="F9" s="155"/>
      <c r="G9" s="155"/>
      <c r="H9" s="155"/>
      <c r="I9" s="155"/>
      <c r="J9" s="152"/>
      <c r="K9" s="155"/>
      <c r="L9" s="152"/>
      <c r="M9" s="155"/>
      <c r="N9" s="155"/>
      <c r="O9" s="155"/>
      <c r="P9" s="155"/>
      <c r="Q9" s="152"/>
      <c r="R9" s="152"/>
      <c r="S9" s="152"/>
      <c r="V9" s="152"/>
      <c r="W9" s="152"/>
      <c r="X9" s="152"/>
      <c r="Y9" s="152"/>
      <c r="Z9" s="152"/>
      <c r="AA9" s="152"/>
      <c r="AB9" s="152"/>
    </row>
    <row r="10">
      <c r="A10" s="155"/>
      <c r="B10" s="184"/>
      <c r="C10" s="155"/>
      <c r="D10" s="231" t="s">
        <v>216</v>
      </c>
      <c r="E10" s="174">
        <f>B23:G23</f>
        <v>46428.14858</v>
      </c>
      <c r="F10" s="155"/>
      <c r="G10" s="155"/>
      <c r="H10" s="155"/>
      <c r="I10" s="155"/>
      <c r="J10" s="155"/>
      <c r="K10" s="155"/>
      <c r="L10" s="152"/>
      <c r="M10" s="155"/>
      <c r="N10" s="155"/>
      <c r="O10" s="155"/>
      <c r="P10" s="155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</row>
    <row r="11">
      <c r="A11" s="155"/>
      <c r="B11" s="155"/>
      <c r="C11" s="155"/>
      <c r="D11" s="240" t="s">
        <v>217</v>
      </c>
      <c r="E11" s="182">
        <f>B21*'CO2 Emission Data'!J16</f>
        <v>166.33296</v>
      </c>
      <c r="F11" s="155"/>
      <c r="I11" s="155"/>
      <c r="J11" s="155"/>
      <c r="K11" s="155"/>
      <c r="L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</row>
    <row r="12">
      <c r="A12" s="155"/>
      <c r="B12" s="155"/>
      <c r="C12" s="155"/>
      <c r="D12" s="241" t="s">
        <v>182</v>
      </c>
      <c r="E12" s="186">
        <v>40.0</v>
      </c>
      <c r="F12" s="155"/>
      <c r="I12" s="155"/>
      <c r="J12" s="155"/>
      <c r="K12" s="155"/>
      <c r="L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</row>
    <row r="13">
      <c r="A13" s="155"/>
      <c r="B13" s="155"/>
      <c r="C13" s="155"/>
      <c r="D13" s="240" t="s">
        <v>183</v>
      </c>
      <c r="E13" s="187">
        <f>E11*E12</f>
        <v>6653.3184</v>
      </c>
      <c r="F13" s="155"/>
      <c r="I13" s="155"/>
      <c r="J13" s="155"/>
      <c r="K13" s="155"/>
      <c r="L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</row>
    <row r="14">
      <c r="A14" s="152"/>
      <c r="B14" s="152"/>
      <c r="C14" s="152"/>
      <c r="D14" s="152"/>
      <c r="E14" s="152"/>
      <c r="F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</row>
    <row r="15">
      <c r="A15" s="152"/>
      <c r="B15" s="152"/>
      <c r="C15" s="152"/>
      <c r="D15" s="152"/>
      <c r="E15" s="152"/>
      <c r="F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</row>
    <row r="16">
      <c r="A16" s="152"/>
      <c r="B16" s="152"/>
      <c r="C16" s="152"/>
      <c r="D16" s="152"/>
      <c r="E16" s="152"/>
      <c r="F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</row>
    <row r="17">
      <c r="A17" s="242" t="s">
        <v>218</v>
      </c>
      <c r="B17" s="152"/>
      <c r="C17" s="152"/>
      <c r="D17" s="152"/>
      <c r="E17" s="152"/>
      <c r="F17" s="152"/>
      <c r="G17" s="155"/>
      <c r="H17" s="188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</row>
    <row r="18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</row>
    <row r="19">
      <c r="A19" s="192" t="s">
        <v>185</v>
      </c>
      <c r="B19" s="193" t="s">
        <v>186</v>
      </c>
      <c r="C19" s="193">
        <v>2025.0</v>
      </c>
      <c r="D19" s="193">
        <v>2026.0</v>
      </c>
      <c r="E19" s="193">
        <v>2027.0</v>
      </c>
      <c r="F19" s="193">
        <v>2028.0</v>
      </c>
      <c r="G19" s="193">
        <v>2029.0</v>
      </c>
      <c r="H19" s="193">
        <v>2030.0</v>
      </c>
      <c r="I19" s="193">
        <v>2031.0</v>
      </c>
      <c r="J19" s="193">
        <v>2032.0</v>
      </c>
      <c r="K19" s="193">
        <v>2033.0</v>
      </c>
      <c r="L19" s="193">
        <v>2034.0</v>
      </c>
      <c r="M19" s="193">
        <v>2035.0</v>
      </c>
      <c r="N19" s="193">
        <v>2036.0</v>
      </c>
      <c r="O19" s="193">
        <v>2037.0</v>
      </c>
      <c r="P19" s="193">
        <v>2038.0</v>
      </c>
      <c r="Q19" s="193">
        <v>2039.0</v>
      </c>
      <c r="R19" s="193">
        <v>2040.0</v>
      </c>
      <c r="S19" s="193">
        <v>2041.0</v>
      </c>
      <c r="T19" s="193">
        <v>2042.0</v>
      </c>
      <c r="U19" s="193">
        <v>2043.0</v>
      </c>
      <c r="V19" s="193">
        <v>2044.0</v>
      </c>
      <c r="W19" s="193">
        <v>2045.0</v>
      </c>
      <c r="X19" s="193">
        <v>2046.0</v>
      </c>
      <c r="Y19" s="193">
        <v>2047.0</v>
      </c>
      <c r="Z19" s="193">
        <v>2048.0</v>
      </c>
      <c r="AA19" s="193">
        <v>2049.0</v>
      </c>
    </row>
    <row r="20">
      <c r="A20" s="194"/>
      <c r="B20" s="195">
        <v>0.0</v>
      </c>
      <c r="C20" s="195">
        <v>1.0</v>
      </c>
      <c r="D20" s="195">
        <v>2.0</v>
      </c>
      <c r="E20" s="195">
        <v>3.0</v>
      </c>
      <c r="F20" s="195">
        <v>4.0</v>
      </c>
      <c r="G20" s="195">
        <v>5.0</v>
      </c>
      <c r="H20" s="193">
        <v>6.0</v>
      </c>
      <c r="I20" s="193">
        <v>7.0</v>
      </c>
      <c r="J20" s="193">
        <v>8.0</v>
      </c>
      <c r="K20" s="193">
        <v>9.0</v>
      </c>
      <c r="L20" s="193">
        <v>10.0</v>
      </c>
      <c r="M20" s="193">
        <v>11.0</v>
      </c>
      <c r="N20" s="193">
        <v>12.0</v>
      </c>
      <c r="O20" s="193">
        <v>13.0</v>
      </c>
      <c r="P20" s="193">
        <v>14.0</v>
      </c>
      <c r="Q20" s="193">
        <v>15.0</v>
      </c>
      <c r="R20" s="193">
        <v>16.0</v>
      </c>
      <c r="S20" s="193">
        <v>17.0</v>
      </c>
      <c r="T20" s="193">
        <v>18.0</v>
      </c>
      <c r="U20" s="193">
        <v>19.0</v>
      </c>
      <c r="V20" s="193">
        <v>20.0</v>
      </c>
      <c r="W20" s="193">
        <v>21.0</v>
      </c>
      <c r="X20" s="193">
        <v>22.0</v>
      </c>
      <c r="Y20" s="193">
        <v>23.0</v>
      </c>
      <c r="Z20" s="193">
        <v>24.0</v>
      </c>
      <c r="AA20" s="193">
        <v>25.0</v>
      </c>
    </row>
    <row r="21">
      <c r="A21" s="196" t="s">
        <v>219</v>
      </c>
      <c r="B21" s="197">
        <f>H6</f>
        <v>9972</v>
      </c>
      <c r="C21" s="197">
        <f t="shared" ref="C21:AA21" si="1">B21*(1+$E$7)*(1+$E$8)</f>
        <v>10667.44728</v>
      </c>
      <c r="D21" s="197">
        <f t="shared" si="1"/>
        <v>11411.39505</v>
      </c>
      <c r="E21" s="197">
        <f t="shared" si="1"/>
        <v>12207.22574</v>
      </c>
      <c r="F21" s="197">
        <f t="shared" si="1"/>
        <v>13058.55767</v>
      </c>
      <c r="G21" s="197">
        <f t="shared" si="1"/>
        <v>13969.26148</v>
      </c>
      <c r="H21" s="197">
        <f t="shared" si="1"/>
        <v>14943.47778</v>
      </c>
      <c r="I21" s="197">
        <f t="shared" si="1"/>
        <v>15985.63592</v>
      </c>
      <c r="J21" s="197">
        <f t="shared" si="1"/>
        <v>17100.47416</v>
      </c>
      <c r="K21" s="197">
        <f t="shared" si="1"/>
        <v>18293.06123</v>
      </c>
      <c r="L21" s="197">
        <f t="shared" si="1"/>
        <v>19568.81932</v>
      </c>
      <c r="M21" s="197">
        <f t="shared" si="1"/>
        <v>20933.54878</v>
      </c>
      <c r="N21" s="197">
        <f t="shared" si="1"/>
        <v>22393.45447</v>
      </c>
      <c r="O21" s="197">
        <f t="shared" si="1"/>
        <v>23955.17399</v>
      </c>
      <c r="P21" s="197">
        <f t="shared" si="1"/>
        <v>25625.80782</v>
      </c>
      <c r="Q21" s="197">
        <f t="shared" si="1"/>
        <v>27412.95166</v>
      </c>
      <c r="R21" s="197">
        <f t="shared" si="1"/>
        <v>29324.73091</v>
      </c>
      <c r="S21" s="197">
        <f t="shared" si="1"/>
        <v>31369.83764</v>
      </c>
      <c r="T21" s="197">
        <f t="shared" si="1"/>
        <v>33557.57012</v>
      </c>
      <c r="U21" s="197">
        <f t="shared" si="1"/>
        <v>35897.87506</v>
      </c>
      <c r="V21" s="197">
        <f t="shared" si="1"/>
        <v>38401.39287</v>
      </c>
      <c r="W21" s="197">
        <f t="shared" si="1"/>
        <v>41079.50601</v>
      </c>
      <c r="X21" s="197">
        <f t="shared" si="1"/>
        <v>43944.39075</v>
      </c>
      <c r="Y21" s="197">
        <f t="shared" si="1"/>
        <v>47009.07257</v>
      </c>
      <c r="Z21" s="197">
        <f t="shared" si="1"/>
        <v>50287.48529</v>
      </c>
      <c r="AA21" s="197">
        <f t="shared" si="1"/>
        <v>53794.53451</v>
      </c>
    </row>
    <row r="22">
      <c r="A22" s="198" t="s">
        <v>220</v>
      </c>
      <c r="B22" s="199">
        <f t="shared" ref="B22:AA22" si="2">B21/(1+$B$7)^B20</f>
        <v>9972</v>
      </c>
      <c r="C22" s="199">
        <f t="shared" si="2"/>
        <v>10159.4736</v>
      </c>
      <c r="D22" s="199">
        <f t="shared" si="2"/>
        <v>10350.4717</v>
      </c>
      <c r="E22" s="199">
        <f t="shared" si="2"/>
        <v>10545.06057</v>
      </c>
      <c r="F22" s="199">
        <f t="shared" si="2"/>
        <v>10743.30771</v>
      </c>
      <c r="G22" s="199">
        <f t="shared" si="2"/>
        <v>10945.2819</v>
      </c>
      <c r="H22" s="199">
        <f t="shared" si="2"/>
        <v>11151.0532</v>
      </c>
      <c r="I22" s="199">
        <f t="shared" si="2"/>
        <v>11360.693</v>
      </c>
      <c r="J22" s="199">
        <f t="shared" si="2"/>
        <v>11574.27402</v>
      </c>
      <c r="K22" s="199">
        <f t="shared" si="2"/>
        <v>11791.87038</v>
      </c>
      <c r="L22" s="199">
        <f t="shared" si="2"/>
        <v>12013.55754</v>
      </c>
      <c r="M22" s="199">
        <f t="shared" si="2"/>
        <v>12239.41242</v>
      </c>
      <c r="N22" s="199">
        <f t="shared" si="2"/>
        <v>12469.51337</v>
      </c>
      <c r="O22" s="199">
        <f t="shared" si="2"/>
        <v>12703.94022</v>
      </c>
      <c r="P22" s="199">
        <f t="shared" si="2"/>
        <v>12942.7743</v>
      </c>
      <c r="Q22" s="199">
        <f t="shared" si="2"/>
        <v>13186.09846</v>
      </c>
      <c r="R22" s="199">
        <f t="shared" si="2"/>
        <v>13433.99711</v>
      </c>
      <c r="S22" s="199">
        <f t="shared" si="2"/>
        <v>13686.55625</v>
      </c>
      <c r="T22" s="199">
        <f t="shared" si="2"/>
        <v>13943.86351</v>
      </c>
      <c r="U22" s="199">
        <f t="shared" si="2"/>
        <v>14206.00815</v>
      </c>
      <c r="V22" s="199">
        <f t="shared" si="2"/>
        <v>14473.0811</v>
      </c>
      <c r="W22" s="199">
        <f t="shared" si="2"/>
        <v>14745.17502</v>
      </c>
      <c r="X22" s="199">
        <f t="shared" si="2"/>
        <v>15022.38431</v>
      </c>
      <c r="Y22" s="199">
        <f t="shared" si="2"/>
        <v>15304.80514</v>
      </c>
      <c r="Z22" s="199">
        <f t="shared" si="2"/>
        <v>15592.53548</v>
      </c>
      <c r="AA22" s="199">
        <f t="shared" si="2"/>
        <v>15885.67514</v>
      </c>
    </row>
    <row r="23">
      <c r="A23" s="200" t="s">
        <v>221</v>
      </c>
      <c r="B23" s="201">
        <f t="shared" ref="B23:AA23" si="3">B21*$E$6</f>
        <v>37926.84</v>
      </c>
      <c r="C23" s="201">
        <f t="shared" si="3"/>
        <v>40571.85782</v>
      </c>
      <c r="D23" s="201">
        <f t="shared" si="3"/>
        <v>43401.33919</v>
      </c>
      <c r="E23" s="201">
        <f t="shared" si="3"/>
        <v>46428.14858</v>
      </c>
      <c r="F23" s="201">
        <f t="shared" si="3"/>
        <v>49666.04766</v>
      </c>
      <c r="G23" s="201">
        <f t="shared" si="3"/>
        <v>53129.75783</v>
      </c>
      <c r="H23" s="201">
        <f t="shared" si="3"/>
        <v>56835.02714</v>
      </c>
      <c r="I23" s="201">
        <f t="shared" si="3"/>
        <v>60798.70193</v>
      </c>
      <c r="J23" s="201">
        <f t="shared" si="3"/>
        <v>65038.8034</v>
      </c>
      <c r="K23" s="201">
        <f t="shared" si="3"/>
        <v>69574.60955</v>
      </c>
      <c r="L23" s="201">
        <f t="shared" si="3"/>
        <v>74426.74282</v>
      </c>
      <c r="M23" s="201">
        <f t="shared" si="3"/>
        <v>79617.26387</v>
      </c>
      <c r="N23" s="201">
        <f t="shared" si="3"/>
        <v>85169.77185</v>
      </c>
      <c r="O23" s="201">
        <f t="shared" si="3"/>
        <v>91109.51174</v>
      </c>
      <c r="P23" s="201">
        <f t="shared" si="3"/>
        <v>97463.48909</v>
      </c>
      <c r="Q23" s="201">
        <f t="shared" si="3"/>
        <v>104260.5928</v>
      </c>
      <c r="R23" s="201">
        <f t="shared" si="3"/>
        <v>111531.7266</v>
      </c>
      <c r="S23" s="201">
        <f t="shared" si="3"/>
        <v>119309.9492</v>
      </c>
      <c r="T23" s="201">
        <f t="shared" si="3"/>
        <v>127630.625</v>
      </c>
      <c r="U23" s="201">
        <f t="shared" si="3"/>
        <v>136531.5848</v>
      </c>
      <c r="V23" s="201">
        <f t="shared" si="3"/>
        <v>146053.2975</v>
      </c>
      <c r="W23" s="201">
        <f t="shared" si="3"/>
        <v>156239.0545</v>
      </c>
      <c r="X23" s="201">
        <f t="shared" si="3"/>
        <v>167135.1662</v>
      </c>
      <c r="Y23" s="201">
        <f t="shared" si="3"/>
        <v>178791.1727</v>
      </c>
      <c r="Z23" s="201">
        <f t="shared" si="3"/>
        <v>191260.069</v>
      </c>
      <c r="AA23" s="201">
        <f t="shared" si="3"/>
        <v>204598.5463</v>
      </c>
    </row>
    <row r="24">
      <c r="A24" s="202" t="s">
        <v>222</v>
      </c>
      <c r="B24" s="203">
        <f t="shared" ref="B24:AA24" si="4">B23/(1+$B$7)^B20</f>
        <v>37926.84</v>
      </c>
      <c r="C24" s="203">
        <f t="shared" si="4"/>
        <v>38639.86459</v>
      </c>
      <c r="D24" s="203">
        <f t="shared" si="4"/>
        <v>39366.29405</v>
      </c>
      <c r="E24" s="203">
        <f t="shared" si="4"/>
        <v>40106.38037</v>
      </c>
      <c r="F24" s="203">
        <f t="shared" si="4"/>
        <v>40860.38033</v>
      </c>
      <c r="G24" s="203">
        <f t="shared" si="4"/>
        <v>41628.55548</v>
      </c>
      <c r="H24" s="203">
        <f t="shared" si="4"/>
        <v>42411.17232</v>
      </c>
      <c r="I24" s="203">
        <f t="shared" si="4"/>
        <v>43208.50236</v>
      </c>
      <c r="J24" s="203">
        <f t="shared" si="4"/>
        <v>44020.8222</v>
      </c>
      <c r="K24" s="203">
        <f t="shared" si="4"/>
        <v>44848.41366</v>
      </c>
      <c r="L24" s="203">
        <f t="shared" si="4"/>
        <v>45691.56384</v>
      </c>
      <c r="M24" s="203">
        <f t="shared" si="4"/>
        <v>46550.56524</v>
      </c>
      <c r="N24" s="203">
        <f t="shared" si="4"/>
        <v>47425.71586</v>
      </c>
      <c r="O24" s="203">
        <f t="shared" si="4"/>
        <v>48317.31932</v>
      </c>
      <c r="P24" s="203">
        <f t="shared" si="4"/>
        <v>49225.68492</v>
      </c>
      <c r="Q24" s="203">
        <f t="shared" si="4"/>
        <v>50151.1278</v>
      </c>
      <c r="R24" s="203">
        <f t="shared" si="4"/>
        <v>51093.969</v>
      </c>
      <c r="S24" s="203">
        <f t="shared" si="4"/>
        <v>52054.53562</v>
      </c>
      <c r="T24" s="203">
        <f t="shared" si="4"/>
        <v>53033.16089</v>
      </c>
      <c r="U24" s="203">
        <f t="shared" si="4"/>
        <v>54030.18432</v>
      </c>
      <c r="V24" s="203">
        <f t="shared" si="4"/>
        <v>55045.95178</v>
      </c>
      <c r="W24" s="203">
        <f t="shared" si="4"/>
        <v>56080.81567</v>
      </c>
      <c r="X24" s="203">
        <f t="shared" si="4"/>
        <v>57135.13501</v>
      </c>
      <c r="Y24" s="203">
        <f t="shared" si="4"/>
        <v>58209.27555</v>
      </c>
      <c r="Z24" s="203">
        <f t="shared" si="4"/>
        <v>59303.60993</v>
      </c>
      <c r="AA24" s="203">
        <f t="shared" si="4"/>
        <v>60418.51779</v>
      </c>
    </row>
    <row r="25">
      <c r="A25" s="204" t="s">
        <v>223</v>
      </c>
      <c r="B25" s="205">
        <f>B24</f>
        <v>37926.84</v>
      </c>
      <c r="C25" s="205">
        <f t="shared" ref="C25:AA25" si="5">B25+C24</f>
        <v>76566.70459</v>
      </c>
      <c r="D25" s="205">
        <f t="shared" si="5"/>
        <v>115932.9986</v>
      </c>
      <c r="E25" s="205">
        <f t="shared" si="5"/>
        <v>156039.379</v>
      </c>
      <c r="F25" s="205">
        <f t="shared" si="5"/>
        <v>196899.7593</v>
      </c>
      <c r="G25" s="205">
        <f t="shared" si="5"/>
        <v>238528.3148</v>
      </c>
      <c r="H25" s="205">
        <f t="shared" si="5"/>
        <v>280939.4871</v>
      </c>
      <c r="I25" s="205">
        <f t="shared" si="5"/>
        <v>324147.9895</v>
      </c>
      <c r="J25" s="205">
        <f t="shared" si="5"/>
        <v>368168.8117</v>
      </c>
      <c r="K25" s="205">
        <f t="shared" si="5"/>
        <v>413017.2254</v>
      </c>
      <c r="L25" s="205">
        <f t="shared" si="5"/>
        <v>458708.7892</v>
      </c>
      <c r="M25" s="205">
        <f t="shared" si="5"/>
        <v>505259.3544</v>
      </c>
      <c r="N25" s="205">
        <f t="shared" si="5"/>
        <v>552685.0703</v>
      </c>
      <c r="O25" s="205">
        <f t="shared" si="5"/>
        <v>601002.3896</v>
      </c>
      <c r="P25" s="205">
        <f t="shared" si="5"/>
        <v>650228.0745</v>
      </c>
      <c r="Q25" s="205">
        <f t="shared" si="5"/>
        <v>700379.2023</v>
      </c>
      <c r="R25" s="205">
        <f t="shared" si="5"/>
        <v>751473.1713</v>
      </c>
      <c r="S25" s="205">
        <f t="shared" si="5"/>
        <v>803527.707</v>
      </c>
      <c r="T25" s="205">
        <f t="shared" si="5"/>
        <v>856560.8679</v>
      </c>
      <c r="U25" s="205">
        <f t="shared" si="5"/>
        <v>910591.0522</v>
      </c>
      <c r="V25" s="205">
        <f t="shared" si="5"/>
        <v>965637.0039</v>
      </c>
      <c r="W25" s="205">
        <f t="shared" si="5"/>
        <v>1021717.82</v>
      </c>
      <c r="X25" s="205">
        <f t="shared" si="5"/>
        <v>1078852.955</v>
      </c>
      <c r="Y25" s="205">
        <f t="shared" si="5"/>
        <v>1137062.23</v>
      </c>
      <c r="Z25" s="205">
        <f t="shared" si="5"/>
        <v>1196365.84</v>
      </c>
      <c r="AA25" s="205">
        <f t="shared" si="5"/>
        <v>1256784.358</v>
      </c>
    </row>
    <row r="26">
      <c r="A26" s="206" t="s">
        <v>224</v>
      </c>
      <c r="B26" s="207">
        <f>SUM(B24:AA24)</f>
        <v>1256784.358</v>
      </c>
      <c r="C26" s="208"/>
      <c r="D26" s="152"/>
      <c r="E26" s="152"/>
      <c r="F26" s="152"/>
      <c r="G26" s="152"/>
    </row>
    <row r="27">
      <c r="C27" s="208"/>
      <c r="D27" s="152"/>
      <c r="E27" s="152"/>
      <c r="F27" s="152"/>
      <c r="G27" s="152"/>
    </row>
    <row r="28">
      <c r="A28" s="152"/>
      <c r="B28" s="152"/>
      <c r="C28" s="208"/>
      <c r="D28" s="152"/>
      <c r="E28" s="152"/>
      <c r="F28" s="152"/>
      <c r="G28" s="152"/>
    </row>
    <row r="29">
      <c r="A29" s="210" t="s">
        <v>193</v>
      </c>
      <c r="B29" s="211"/>
      <c r="C29" s="152"/>
      <c r="D29" s="152"/>
      <c r="E29" s="152"/>
      <c r="F29" s="152"/>
      <c r="G29" s="152"/>
    </row>
    <row r="30">
      <c r="A30" s="152"/>
      <c r="B30" s="152"/>
      <c r="C30" s="152"/>
      <c r="D30" s="152"/>
      <c r="E30" s="152"/>
      <c r="F30" s="152"/>
      <c r="G30" s="152"/>
    </row>
    <row r="31">
      <c r="A31" s="192" t="s">
        <v>185</v>
      </c>
      <c r="B31" s="193" t="s">
        <v>186</v>
      </c>
      <c r="C31" s="193">
        <v>2025.0</v>
      </c>
      <c r="D31" s="193">
        <v>2026.0</v>
      </c>
      <c r="E31" s="193">
        <v>2027.0</v>
      </c>
      <c r="F31" s="193">
        <v>2028.0</v>
      </c>
      <c r="G31" s="193">
        <v>2029.0</v>
      </c>
      <c r="H31" s="193">
        <v>2030.0</v>
      </c>
      <c r="I31" s="193">
        <v>2031.0</v>
      </c>
      <c r="J31" s="193">
        <v>2032.0</v>
      </c>
      <c r="K31" s="193">
        <v>2033.0</v>
      </c>
      <c r="L31" s="193">
        <v>2034.0</v>
      </c>
      <c r="M31" s="193">
        <v>2035.0</v>
      </c>
      <c r="N31" s="193">
        <v>2036.0</v>
      </c>
      <c r="O31" s="193">
        <v>2037.0</v>
      </c>
      <c r="P31" s="193">
        <v>2038.0</v>
      </c>
      <c r="Q31" s="193">
        <v>2039.0</v>
      </c>
      <c r="R31" s="193">
        <v>2040.0</v>
      </c>
      <c r="S31" s="193">
        <v>2041.0</v>
      </c>
      <c r="T31" s="193">
        <v>2042.0</v>
      </c>
      <c r="U31" s="193">
        <v>2043.0</v>
      </c>
      <c r="V31" s="193">
        <v>2044.0</v>
      </c>
      <c r="W31" s="193">
        <v>2045.0</v>
      </c>
      <c r="X31" s="193">
        <v>2046.0</v>
      </c>
      <c r="Y31" s="193">
        <v>2047.0</v>
      </c>
      <c r="Z31" s="193">
        <v>2048.0</v>
      </c>
      <c r="AA31" s="193">
        <v>2049.0</v>
      </c>
    </row>
    <row r="32">
      <c r="A32" s="212"/>
      <c r="B32" s="213">
        <v>0.0</v>
      </c>
      <c r="C32" s="213">
        <v>1.0</v>
      </c>
      <c r="D32" s="213">
        <v>2.0</v>
      </c>
      <c r="E32" s="213">
        <v>3.0</v>
      </c>
      <c r="F32" s="213">
        <v>4.0</v>
      </c>
      <c r="G32" s="213">
        <v>5.0</v>
      </c>
      <c r="H32" s="193">
        <v>6.0</v>
      </c>
      <c r="I32" s="193">
        <v>7.0</v>
      </c>
      <c r="J32" s="193">
        <v>8.0</v>
      </c>
      <c r="K32" s="193">
        <v>9.0</v>
      </c>
      <c r="L32" s="193">
        <v>10.0</v>
      </c>
      <c r="M32" s="193">
        <v>11.0</v>
      </c>
      <c r="N32" s="193">
        <v>12.0</v>
      </c>
      <c r="O32" s="193">
        <v>13.0</v>
      </c>
      <c r="P32" s="193">
        <v>14.0</v>
      </c>
      <c r="Q32" s="193">
        <v>15.0</v>
      </c>
      <c r="R32" s="193">
        <v>16.0</v>
      </c>
      <c r="S32" s="193">
        <v>17.0</v>
      </c>
      <c r="T32" s="193">
        <v>18.0</v>
      </c>
      <c r="U32" s="193">
        <v>19.0</v>
      </c>
      <c r="V32" s="193">
        <v>20.0</v>
      </c>
      <c r="W32" s="193">
        <v>21.0</v>
      </c>
      <c r="X32" s="193">
        <v>22.0</v>
      </c>
      <c r="Y32" s="193">
        <v>23.0</v>
      </c>
      <c r="Z32" s="193">
        <v>24.0</v>
      </c>
      <c r="AA32" s="193">
        <v>25.0</v>
      </c>
    </row>
    <row r="33">
      <c r="A33" s="215" t="s">
        <v>225</v>
      </c>
      <c r="B33" s="216">
        <f>B21*'CO2 Emission Data'!$J$16</f>
        <v>166.33296</v>
      </c>
      <c r="C33" s="216">
        <f>C21*'CO2 Emission Data'!$J$16</f>
        <v>177.9330206</v>
      </c>
      <c r="D33" s="216">
        <f>D21*'CO2 Emission Data'!$J$16</f>
        <v>190.3420695</v>
      </c>
      <c r="E33" s="216">
        <f>E21*'CO2 Emission Data'!$J$16</f>
        <v>203.6165254</v>
      </c>
      <c r="F33" s="216">
        <f>F21*'CO2 Emission Data'!$J$16</f>
        <v>217.8167419</v>
      </c>
      <c r="G33" s="216">
        <f>G21*'CO2 Emission Data'!$J$16</f>
        <v>233.0072815</v>
      </c>
      <c r="H33" s="216">
        <f>H21*'CO2 Emission Data'!$J$16</f>
        <v>249.2572093</v>
      </c>
      <c r="I33" s="216">
        <f>I21*'CO2 Emission Data'!$J$16</f>
        <v>266.6404071</v>
      </c>
      <c r="J33" s="216">
        <f>J21*'CO2 Emission Data'!$J$16</f>
        <v>285.2359091</v>
      </c>
      <c r="K33" s="216">
        <f>K21*'CO2 Emission Data'!$J$16</f>
        <v>305.1282613</v>
      </c>
      <c r="L33" s="216">
        <f>L21*'CO2 Emission Data'!$J$16</f>
        <v>326.4079063</v>
      </c>
      <c r="M33" s="216">
        <f>M21*'CO2 Emission Data'!$J$16</f>
        <v>349.1715937</v>
      </c>
      <c r="N33" s="216">
        <f>N21*'CO2 Emission Data'!$J$16</f>
        <v>373.5228206</v>
      </c>
      <c r="O33" s="216">
        <f>O21*'CO2 Emission Data'!$J$16</f>
        <v>399.5723021</v>
      </c>
      <c r="P33" s="216">
        <f>P21*'CO2 Emission Data'!$J$16</f>
        <v>427.4384745</v>
      </c>
      <c r="Q33" s="216">
        <f>Q21*'CO2 Emission Data'!$J$16</f>
        <v>457.2480337</v>
      </c>
      <c r="R33" s="216">
        <f>R21*'CO2 Emission Data'!$J$16</f>
        <v>489.1365116</v>
      </c>
      <c r="S33" s="216">
        <f>S21*'CO2 Emission Data'!$J$16</f>
        <v>523.2488919</v>
      </c>
      <c r="T33" s="216">
        <f>T21*'CO2 Emission Data'!$J$16</f>
        <v>559.7402696</v>
      </c>
      <c r="U33" s="216">
        <f>U21*'CO2 Emission Data'!$J$16</f>
        <v>598.776556</v>
      </c>
      <c r="V33" s="216">
        <f>V21*'CO2 Emission Data'!$J$16</f>
        <v>640.535233</v>
      </c>
      <c r="W33" s="216">
        <f>W21*'CO2 Emission Data'!$J$16</f>
        <v>685.2061602</v>
      </c>
      <c r="X33" s="216">
        <f>X21*'CO2 Emission Data'!$J$16</f>
        <v>732.9924378</v>
      </c>
      <c r="Y33" s="216">
        <f>Y21*'CO2 Emission Data'!$J$16</f>
        <v>784.1113304</v>
      </c>
      <c r="Z33" s="216">
        <f>Z21*'CO2 Emission Data'!$J$16</f>
        <v>838.7952546</v>
      </c>
      <c r="AA33" s="216">
        <f>AA21*'CO2 Emission Data'!$J$16</f>
        <v>897.2928356</v>
      </c>
    </row>
    <row r="34">
      <c r="A34" s="217" t="s">
        <v>195</v>
      </c>
      <c r="B34" s="243">
        <f t="shared" ref="B34:AA34" si="6">B33*$E$12</f>
        <v>6653.3184</v>
      </c>
      <c r="C34" s="243">
        <f t="shared" si="6"/>
        <v>7117.320825</v>
      </c>
      <c r="D34" s="243">
        <f t="shared" si="6"/>
        <v>7613.68278</v>
      </c>
      <c r="E34" s="243">
        <f t="shared" si="6"/>
        <v>8144.661017</v>
      </c>
      <c r="F34" s="243">
        <f t="shared" si="6"/>
        <v>8712.669676</v>
      </c>
      <c r="G34" s="243">
        <f t="shared" si="6"/>
        <v>9320.291259</v>
      </c>
      <c r="H34" s="243">
        <f t="shared" si="6"/>
        <v>9970.288372</v>
      </c>
      <c r="I34" s="243">
        <f t="shared" si="6"/>
        <v>10665.61628</v>
      </c>
      <c r="J34" s="243">
        <f t="shared" si="6"/>
        <v>11409.43636</v>
      </c>
      <c r="K34" s="243">
        <f t="shared" si="6"/>
        <v>12205.13045</v>
      </c>
      <c r="L34" s="243">
        <f t="shared" si="6"/>
        <v>13056.31625</v>
      </c>
      <c r="M34" s="243">
        <f t="shared" si="6"/>
        <v>13966.86375</v>
      </c>
      <c r="N34" s="243">
        <f t="shared" si="6"/>
        <v>14940.91282</v>
      </c>
      <c r="O34" s="243">
        <f t="shared" si="6"/>
        <v>15982.89209</v>
      </c>
      <c r="P34" s="243">
        <f t="shared" si="6"/>
        <v>17097.53898</v>
      </c>
      <c r="Q34" s="243">
        <f t="shared" si="6"/>
        <v>18289.92135</v>
      </c>
      <c r="R34" s="243">
        <f t="shared" si="6"/>
        <v>19565.46046</v>
      </c>
      <c r="S34" s="243">
        <f t="shared" si="6"/>
        <v>20929.95568</v>
      </c>
      <c r="T34" s="243">
        <f t="shared" si="6"/>
        <v>22389.61078</v>
      </c>
      <c r="U34" s="243">
        <f t="shared" si="6"/>
        <v>23951.06224</v>
      </c>
      <c r="V34" s="243">
        <f t="shared" si="6"/>
        <v>25621.40932</v>
      </c>
      <c r="W34" s="243">
        <f t="shared" si="6"/>
        <v>27408.24641</v>
      </c>
      <c r="X34" s="243">
        <f t="shared" si="6"/>
        <v>29319.69751</v>
      </c>
      <c r="Y34" s="243">
        <f t="shared" si="6"/>
        <v>31364.45322</v>
      </c>
      <c r="Z34" s="243">
        <f t="shared" si="6"/>
        <v>33551.81018</v>
      </c>
      <c r="AA34" s="243">
        <f t="shared" si="6"/>
        <v>35891.71343</v>
      </c>
    </row>
    <row r="35">
      <c r="A35" s="215" t="s">
        <v>226</v>
      </c>
      <c r="B35" s="243">
        <f t="shared" ref="B35:AA35" si="7">B34/(1+$B$7)^B32</f>
        <v>6653.3184</v>
      </c>
      <c r="C35" s="243">
        <f t="shared" si="7"/>
        <v>6778.400786</v>
      </c>
      <c r="D35" s="243">
        <f t="shared" si="7"/>
        <v>6905.834721</v>
      </c>
      <c r="E35" s="243">
        <f t="shared" si="7"/>
        <v>7035.664413</v>
      </c>
      <c r="F35" s="243">
        <f t="shared" si="7"/>
        <v>7167.934904</v>
      </c>
      <c r="G35" s="243">
        <f t="shared" si="7"/>
        <v>7302.692081</v>
      </c>
      <c r="H35" s="243">
        <f t="shared" si="7"/>
        <v>7439.982692</v>
      </c>
      <c r="I35" s="243">
        <f t="shared" si="7"/>
        <v>7579.854366</v>
      </c>
      <c r="J35" s="243">
        <f t="shared" si="7"/>
        <v>7722.355628</v>
      </c>
      <c r="K35" s="243">
        <f t="shared" si="7"/>
        <v>7867.535914</v>
      </c>
      <c r="L35" s="243">
        <f t="shared" si="7"/>
        <v>8015.445589</v>
      </c>
      <c r="M35" s="243">
        <f t="shared" si="7"/>
        <v>8166.135967</v>
      </c>
      <c r="N35" s="243">
        <f t="shared" si="7"/>
        <v>8319.659323</v>
      </c>
      <c r="O35" s="243">
        <f t="shared" si="7"/>
        <v>8476.068918</v>
      </c>
      <c r="P35" s="243">
        <f t="shared" si="7"/>
        <v>8635.419014</v>
      </c>
      <c r="Q35" s="243">
        <f t="shared" si="7"/>
        <v>8797.764891</v>
      </c>
      <c r="R35" s="243">
        <f t="shared" si="7"/>
        <v>8963.162871</v>
      </c>
      <c r="S35" s="243">
        <f t="shared" si="7"/>
        <v>9131.670333</v>
      </c>
      <c r="T35" s="243">
        <f t="shared" si="7"/>
        <v>9303.345735</v>
      </c>
      <c r="U35" s="243">
        <f t="shared" si="7"/>
        <v>9478.248635</v>
      </c>
      <c r="V35" s="243">
        <f t="shared" si="7"/>
        <v>9656.439709</v>
      </c>
      <c r="W35" s="243">
        <f t="shared" si="7"/>
        <v>9837.980776</v>
      </c>
      <c r="X35" s="243">
        <f t="shared" si="7"/>
        <v>10022.93481</v>
      </c>
      <c r="Y35" s="243">
        <f t="shared" si="7"/>
        <v>10211.36599</v>
      </c>
      <c r="Z35" s="243">
        <f t="shared" si="7"/>
        <v>10403.33967</v>
      </c>
      <c r="AA35" s="243">
        <f t="shared" si="7"/>
        <v>10598.92246</v>
      </c>
    </row>
    <row r="36">
      <c r="A36" s="215" t="s">
        <v>197</v>
      </c>
      <c r="B36" s="243">
        <f t="shared" ref="B36:AA36" si="8">B35</f>
        <v>6653.3184</v>
      </c>
      <c r="C36" s="243">
        <f t="shared" si="8"/>
        <v>6778.400786</v>
      </c>
      <c r="D36" s="243">
        <f t="shared" si="8"/>
        <v>6905.834721</v>
      </c>
      <c r="E36" s="243">
        <f t="shared" si="8"/>
        <v>7035.664413</v>
      </c>
      <c r="F36" s="243">
        <f t="shared" si="8"/>
        <v>7167.934904</v>
      </c>
      <c r="G36" s="243">
        <f t="shared" si="8"/>
        <v>7302.692081</v>
      </c>
      <c r="H36" s="243">
        <f t="shared" si="8"/>
        <v>7439.982692</v>
      </c>
      <c r="I36" s="243">
        <f t="shared" si="8"/>
        <v>7579.854366</v>
      </c>
      <c r="J36" s="243">
        <f t="shared" si="8"/>
        <v>7722.355628</v>
      </c>
      <c r="K36" s="243">
        <f t="shared" si="8"/>
        <v>7867.535914</v>
      </c>
      <c r="L36" s="243">
        <f t="shared" si="8"/>
        <v>8015.445589</v>
      </c>
      <c r="M36" s="243">
        <f t="shared" si="8"/>
        <v>8166.135967</v>
      </c>
      <c r="N36" s="243">
        <f t="shared" si="8"/>
        <v>8319.659323</v>
      </c>
      <c r="O36" s="243">
        <f t="shared" si="8"/>
        <v>8476.068918</v>
      </c>
      <c r="P36" s="243">
        <f t="shared" si="8"/>
        <v>8635.419014</v>
      </c>
      <c r="Q36" s="243">
        <f t="shared" si="8"/>
        <v>8797.764891</v>
      </c>
      <c r="R36" s="243">
        <f t="shared" si="8"/>
        <v>8963.162871</v>
      </c>
      <c r="S36" s="243">
        <f t="shared" si="8"/>
        <v>9131.670333</v>
      </c>
      <c r="T36" s="243">
        <f t="shared" si="8"/>
        <v>9303.345735</v>
      </c>
      <c r="U36" s="243">
        <f t="shared" si="8"/>
        <v>9478.248635</v>
      </c>
      <c r="V36" s="243">
        <f t="shared" si="8"/>
        <v>9656.439709</v>
      </c>
      <c r="W36" s="243">
        <f t="shared" si="8"/>
        <v>9837.980776</v>
      </c>
      <c r="X36" s="243">
        <f t="shared" si="8"/>
        <v>10022.93481</v>
      </c>
      <c r="Y36" s="243">
        <f t="shared" si="8"/>
        <v>10211.36599</v>
      </c>
      <c r="Z36" s="243">
        <f t="shared" si="8"/>
        <v>10403.33967</v>
      </c>
      <c r="AA36" s="243">
        <f t="shared" si="8"/>
        <v>10598.92246</v>
      </c>
    </row>
    <row r="37">
      <c r="A37" s="218" t="s">
        <v>227</v>
      </c>
      <c r="B37" s="219">
        <f t="shared" ref="B37:AA37" si="9">B23+B34</f>
        <v>44580.1584</v>
      </c>
      <c r="C37" s="219">
        <f t="shared" si="9"/>
        <v>47689.17865</v>
      </c>
      <c r="D37" s="219">
        <f t="shared" si="9"/>
        <v>51015.02197</v>
      </c>
      <c r="E37" s="219">
        <f t="shared" si="9"/>
        <v>54572.8096</v>
      </c>
      <c r="F37" s="219">
        <f t="shared" si="9"/>
        <v>58378.71734</v>
      </c>
      <c r="G37" s="219">
        <f t="shared" si="9"/>
        <v>62450.04909</v>
      </c>
      <c r="H37" s="219">
        <f t="shared" si="9"/>
        <v>66805.31551</v>
      </c>
      <c r="I37" s="219">
        <f t="shared" si="9"/>
        <v>71464.31821</v>
      </c>
      <c r="J37" s="219">
        <f t="shared" si="9"/>
        <v>76448.23977</v>
      </c>
      <c r="K37" s="219">
        <f t="shared" si="9"/>
        <v>81779.74001</v>
      </c>
      <c r="L37" s="219">
        <f t="shared" si="9"/>
        <v>87483.05907</v>
      </c>
      <c r="M37" s="219">
        <f t="shared" si="9"/>
        <v>93584.12761</v>
      </c>
      <c r="N37" s="219">
        <f t="shared" si="9"/>
        <v>100110.6847</v>
      </c>
      <c r="O37" s="219">
        <f t="shared" si="9"/>
        <v>107092.4038</v>
      </c>
      <c r="P37" s="219">
        <f t="shared" si="9"/>
        <v>114561.0281</v>
      </c>
      <c r="Q37" s="219">
        <f t="shared" si="9"/>
        <v>122550.5142</v>
      </c>
      <c r="R37" s="219">
        <f t="shared" si="9"/>
        <v>131097.187</v>
      </c>
      <c r="S37" s="219">
        <f t="shared" si="9"/>
        <v>140239.9048</v>
      </c>
      <c r="T37" s="219">
        <f t="shared" si="9"/>
        <v>150020.2358</v>
      </c>
      <c r="U37" s="219">
        <f t="shared" si="9"/>
        <v>160482.6471</v>
      </c>
      <c r="V37" s="219">
        <f t="shared" si="9"/>
        <v>171674.7069</v>
      </c>
      <c r="W37" s="219">
        <f t="shared" si="9"/>
        <v>183647.3009</v>
      </c>
      <c r="X37" s="219">
        <f t="shared" si="9"/>
        <v>196454.8637</v>
      </c>
      <c r="Y37" s="219">
        <f t="shared" si="9"/>
        <v>210155.6259</v>
      </c>
      <c r="Z37" s="219">
        <f t="shared" si="9"/>
        <v>224811.8792</v>
      </c>
      <c r="AA37" s="219">
        <f t="shared" si="9"/>
        <v>240490.2597</v>
      </c>
    </row>
    <row r="38">
      <c r="A38" s="218" t="s">
        <v>228</v>
      </c>
      <c r="B38" s="220">
        <f t="shared" ref="B38:AA38" si="10">B37/(1+$B$7)^B32</f>
        <v>44580.1584</v>
      </c>
      <c r="C38" s="220">
        <f t="shared" si="10"/>
        <v>45418.26538</v>
      </c>
      <c r="D38" s="220">
        <f t="shared" si="10"/>
        <v>46272.12877</v>
      </c>
      <c r="E38" s="220">
        <f t="shared" si="10"/>
        <v>47142.04479</v>
      </c>
      <c r="F38" s="220">
        <f t="shared" si="10"/>
        <v>48028.31523</v>
      </c>
      <c r="G38" s="220">
        <f t="shared" si="10"/>
        <v>48931.24756</v>
      </c>
      <c r="H38" s="220">
        <f t="shared" si="10"/>
        <v>49851.15501</v>
      </c>
      <c r="I38" s="220">
        <f t="shared" si="10"/>
        <v>50788.35672</v>
      </c>
      <c r="J38" s="220">
        <f t="shared" si="10"/>
        <v>51743.17783</v>
      </c>
      <c r="K38" s="220">
        <f t="shared" si="10"/>
        <v>52715.94957</v>
      </c>
      <c r="L38" s="220">
        <f t="shared" si="10"/>
        <v>53707.00943</v>
      </c>
      <c r="M38" s="220">
        <f t="shared" si="10"/>
        <v>54716.7012</v>
      </c>
      <c r="N38" s="220">
        <f t="shared" si="10"/>
        <v>55745.37519</v>
      </c>
      <c r="O38" s="220">
        <f t="shared" si="10"/>
        <v>56793.38824</v>
      </c>
      <c r="P38" s="220">
        <f t="shared" si="10"/>
        <v>57861.10394</v>
      </c>
      <c r="Q38" s="220">
        <f t="shared" si="10"/>
        <v>58948.89269</v>
      </c>
      <c r="R38" s="220">
        <f t="shared" si="10"/>
        <v>60057.13187</v>
      </c>
      <c r="S38" s="220">
        <f t="shared" si="10"/>
        <v>61186.20595</v>
      </c>
      <c r="T38" s="220">
        <f t="shared" si="10"/>
        <v>62336.50663</v>
      </c>
      <c r="U38" s="220">
        <f t="shared" si="10"/>
        <v>63508.43295</v>
      </c>
      <c r="V38" s="220">
        <f t="shared" si="10"/>
        <v>64702.39149</v>
      </c>
      <c r="W38" s="220">
        <f t="shared" si="10"/>
        <v>65918.79645</v>
      </c>
      <c r="X38" s="220">
        <f t="shared" si="10"/>
        <v>67158.06982</v>
      </c>
      <c r="Y38" s="220">
        <f t="shared" si="10"/>
        <v>68420.64154</v>
      </c>
      <c r="Z38" s="220">
        <f t="shared" si="10"/>
        <v>69706.9496</v>
      </c>
      <c r="AA38" s="220">
        <f t="shared" si="10"/>
        <v>71017.44025</v>
      </c>
    </row>
    <row r="39">
      <c r="A39" s="204" t="s">
        <v>229</v>
      </c>
      <c r="B39" s="221">
        <f>B38</f>
        <v>44580.1584</v>
      </c>
      <c r="C39" s="221">
        <f t="shared" ref="C39:AA39" si="11">B39+C38</f>
        <v>89998.42378</v>
      </c>
      <c r="D39" s="221">
        <f t="shared" si="11"/>
        <v>136270.5525</v>
      </c>
      <c r="E39" s="221">
        <f t="shared" si="11"/>
        <v>183412.5973</v>
      </c>
      <c r="F39" s="221">
        <f t="shared" si="11"/>
        <v>231440.9126</v>
      </c>
      <c r="G39" s="221">
        <f t="shared" si="11"/>
        <v>280372.1601</v>
      </c>
      <c r="H39" s="221">
        <f t="shared" si="11"/>
        <v>330223.3151</v>
      </c>
      <c r="I39" s="221">
        <f t="shared" si="11"/>
        <v>381011.6719</v>
      </c>
      <c r="J39" s="221">
        <f t="shared" si="11"/>
        <v>432754.8497</v>
      </c>
      <c r="K39" s="221">
        <f t="shared" si="11"/>
        <v>485470.7993</v>
      </c>
      <c r="L39" s="221">
        <f t="shared" si="11"/>
        <v>539177.8087</v>
      </c>
      <c r="M39" s="221">
        <f t="shared" si="11"/>
        <v>593894.5099</v>
      </c>
      <c r="N39" s="221">
        <f t="shared" si="11"/>
        <v>649639.8851</v>
      </c>
      <c r="O39" s="221">
        <f t="shared" si="11"/>
        <v>706433.2733</v>
      </c>
      <c r="P39" s="221">
        <f t="shared" si="11"/>
        <v>764294.3773</v>
      </c>
      <c r="Q39" s="221">
        <f t="shared" si="11"/>
        <v>823243.2699</v>
      </c>
      <c r="R39" s="221">
        <f t="shared" si="11"/>
        <v>883300.4018</v>
      </c>
      <c r="S39" s="221">
        <f t="shared" si="11"/>
        <v>944486.6078</v>
      </c>
      <c r="T39" s="221">
        <f t="shared" si="11"/>
        <v>1006823.114</v>
      </c>
      <c r="U39" s="221">
        <f t="shared" si="11"/>
        <v>1070331.547</v>
      </c>
      <c r="V39" s="221">
        <f t="shared" si="11"/>
        <v>1135033.939</v>
      </c>
      <c r="W39" s="221">
        <f t="shared" si="11"/>
        <v>1200952.735</v>
      </c>
      <c r="X39" s="221">
        <f t="shared" si="11"/>
        <v>1268110.805</v>
      </c>
      <c r="Y39" s="221">
        <f t="shared" si="11"/>
        <v>1336531.447</v>
      </c>
      <c r="Z39" s="221">
        <f t="shared" si="11"/>
        <v>1406238.396</v>
      </c>
      <c r="AA39" s="221">
        <f t="shared" si="11"/>
        <v>1477255.836</v>
      </c>
    </row>
    <row r="40">
      <c r="A40" s="244" t="s">
        <v>230</v>
      </c>
      <c r="B40" s="223">
        <f>SUM(B35:AA35)</f>
        <v>220471.4786</v>
      </c>
    </row>
    <row r="41">
      <c r="A41" s="206" t="s">
        <v>231</v>
      </c>
      <c r="B41" s="224">
        <f>B26+B40</f>
        <v>1477255.836</v>
      </c>
    </row>
    <row r="42"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</row>
    <row r="43">
      <c r="A43" s="152"/>
      <c r="B43" s="152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</row>
    <row r="44">
      <c r="A44" s="152"/>
      <c r="B44" s="152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</row>
    <row r="45">
      <c r="A45" s="152"/>
      <c r="B45" s="152"/>
      <c r="C45" s="245" t="s">
        <v>232</v>
      </c>
      <c r="D45" s="245" t="s">
        <v>233</v>
      </c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</row>
    <row r="46">
      <c r="A46" s="152"/>
      <c r="B46" s="179">
        <v>0.0</v>
      </c>
      <c r="C46" s="209">
        <v>37926.840000000004</v>
      </c>
      <c r="D46" s="246">
        <v>44580.1584</v>
      </c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</row>
    <row r="47">
      <c r="A47" s="152"/>
      <c r="B47" s="179">
        <v>25.0</v>
      </c>
      <c r="C47" s="246">
        <v>731012.0</v>
      </c>
      <c r="D47" s="246">
        <v>843220.0</v>
      </c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</row>
    <row r="48">
      <c r="A48" s="152"/>
      <c r="B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>
      <c r="A49" s="152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>
      <c r="A50" s="15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>
      <c r="A51" s="152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>
      <c r="A53" s="152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>
      <c r="A55" s="152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>
      <c r="A57" s="152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</row>
    <row r="60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</row>
    <row r="6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</row>
    <row r="62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</row>
    <row r="63">
      <c r="A63" s="152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</row>
    <row r="64">
      <c r="A64" s="152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</row>
    <row r="65">
      <c r="A65" s="152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</row>
    <row r="66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</row>
    <row r="67">
      <c r="A67" s="152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</row>
    <row r="68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</row>
    <row r="69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</row>
    <row r="70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</row>
    <row r="7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</row>
    <row r="72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</row>
    <row r="73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</row>
    <row r="74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</row>
    <row r="75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</row>
    <row r="76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</row>
    <row r="7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</row>
    <row r="982"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</row>
    <row r="983"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</row>
    <row r="984"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</row>
    <row r="985"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</row>
  </sheetData>
  <mergeCells count="8">
    <mergeCell ref="A1:H1"/>
    <mergeCell ref="A5:B5"/>
    <mergeCell ref="D5:E5"/>
    <mergeCell ref="G5:H5"/>
    <mergeCell ref="K5:L5"/>
    <mergeCell ref="J6:K6"/>
    <mergeCell ref="L6:M6"/>
    <mergeCell ref="A29:B29"/>
  </mergeCells>
  <dataValidations>
    <dataValidation type="list" allowBlank="1" showErrorMessage="1" sqref="E8">
      <formula1>"0%,1%,2%,3%,4%,5%"</formula1>
    </dataValidation>
    <dataValidation type="list" allowBlank="1" showErrorMessage="1" sqref="B7">
      <formula1>"0.5%,1.0%,1.5%,2.0%,2.5%,3.0%,3.5%,4.0%,4.5%,5.0%"</formula1>
    </dataValidation>
    <dataValidation type="list" allowBlank="1" showErrorMessage="1" sqref="E12">
      <formula1>" $ 5.00 , $ 10.00 , $ 15.00 , $ 20.00 , $ 25.00 , $ 30.00 , $ 35.00 , $ 40.00 "</formula1>
    </dataValidation>
  </dataValidations>
  <hyperlinks>
    <hyperlink r:id="rId2" ref="A7"/>
    <hyperlink r:id="rId3" ref="D7"/>
    <hyperlink r:id="rId4" ref="D12"/>
  </hyperlinks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3.63"/>
  </cols>
  <sheetData>
    <row r="1">
      <c r="A1" s="227" t="s">
        <v>205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</row>
    <row r="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</row>
    <row r="3">
      <c r="A3" s="247" t="s">
        <v>234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</row>
    <row r="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</row>
    <row r="5">
      <c r="A5" s="154" t="s">
        <v>164</v>
      </c>
      <c r="B5" s="24"/>
      <c r="C5" s="155"/>
      <c r="D5" s="248" t="s">
        <v>235</v>
      </c>
      <c r="E5" s="24"/>
      <c r="F5" s="155"/>
      <c r="G5" s="249" t="s">
        <v>236</v>
      </c>
      <c r="H5" s="24"/>
      <c r="I5" s="152"/>
      <c r="J5" s="154" t="s">
        <v>237</v>
      </c>
      <c r="K5" s="24"/>
      <c r="L5" s="152"/>
      <c r="M5" s="152"/>
      <c r="N5" s="158" t="s">
        <v>167</v>
      </c>
      <c r="O5" s="159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</row>
    <row r="6">
      <c r="A6" s="250" t="s">
        <v>238</v>
      </c>
      <c r="B6" s="251">
        <v>25.0</v>
      </c>
      <c r="C6" s="155"/>
      <c r="D6" s="252" t="s">
        <v>169</v>
      </c>
      <c r="E6" s="253">
        <f>'Electricity Data'!F9</f>
        <v>0.1998668419</v>
      </c>
      <c r="F6" s="155"/>
      <c r="G6" s="254" t="s">
        <v>239</v>
      </c>
      <c r="H6" s="25"/>
      <c r="I6" s="152"/>
      <c r="J6" s="252" t="s">
        <v>240</v>
      </c>
      <c r="K6" s="255">
        <f>H9</f>
        <v>0.03879257991</v>
      </c>
      <c r="L6" s="152"/>
      <c r="M6" s="165" t="s">
        <v>171</v>
      </c>
      <c r="N6" s="24"/>
      <c r="O6" s="165" t="s">
        <v>172</v>
      </c>
      <c r="P6" s="24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</row>
    <row r="7">
      <c r="A7" s="166" t="s">
        <v>173</v>
      </c>
      <c r="B7" s="167">
        <v>0.05</v>
      </c>
      <c r="C7" s="155"/>
      <c r="D7" s="168" t="s">
        <v>174</v>
      </c>
      <c r="E7" s="169">
        <v>0.027</v>
      </c>
      <c r="F7" s="155"/>
      <c r="G7" s="252" t="s">
        <v>241</v>
      </c>
      <c r="H7" s="256">
        <v>2.7</v>
      </c>
      <c r="J7" s="257" t="s">
        <v>242</v>
      </c>
      <c r="K7" s="258">
        <v>0.225</v>
      </c>
      <c r="M7" s="234" t="s">
        <v>243</v>
      </c>
      <c r="N7" s="235">
        <f>B32:AA32</f>
        <v>38271.38399</v>
      </c>
      <c r="O7" s="177" t="s">
        <v>244</v>
      </c>
      <c r="P7" s="236">
        <f>SUM(B50:AA50)</f>
        <v>871830.322</v>
      </c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</row>
    <row r="8">
      <c r="A8" s="173"/>
      <c r="B8" s="155"/>
      <c r="C8" s="155"/>
      <c r="D8" s="259" t="s">
        <v>245</v>
      </c>
      <c r="E8" s="260">
        <v>0.05</v>
      </c>
      <c r="F8" s="155"/>
      <c r="G8" s="261" t="s">
        <v>246</v>
      </c>
      <c r="H8" s="262">
        <v>0.7</v>
      </c>
      <c r="J8" s="257" t="s">
        <v>247</v>
      </c>
      <c r="K8" s="263">
        <f>'Solar Data'!C6</f>
        <v>339.823</v>
      </c>
      <c r="M8" s="237" t="s">
        <v>248</v>
      </c>
      <c r="N8" s="238">
        <f>B22:AA22</f>
        <v>179.075045</v>
      </c>
      <c r="O8" s="177"/>
      <c r="P8" s="239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</row>
    <row r="9">
      <c r="A9" s="155"/>
      <c r="B9" s="184"/>
      <c r="C9" s="155"/>
      <c r="D9" s="257" t="s">
        <v>249</v>
      </c>
      <c r="E9" s="264">
        <f>E6*1000*$K$8</f>
        <v>67919.34983</v>
      </c>
      <c r="F9" s="155"/>
      <c r="G9" s="257" t="s">
        <v>240</v>
      </c>
      <c r="H9" s="265">
        <f>'Solar Data'!D6</f>
        <v>0.03879257991</v>
      </c>
      <c r="J9" s="266" t="s">
        <v>250</v>
      </c>
      <c r="K9" s="267">
        <v>0.005</v>
      </c>
      <c r="N9" s="155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</row>
    <row r="10">
      <c r="A10" s="155"/>
      <c r="B10" s="184"/>
      <c r="C10" s="155"/>
      <c r="D10" s="268" t="s">
        <v>251</v>
      </c>
      <c r="E10" s="269">
        <f>SUM(B23:G23)</f>
        <v>362560.3774</v>
      </c>
      <c r="F10" s="155"/>
      <c r="G10" s="257" t="s">
        <v>252</v>
      </c>
      <c r="H10" s="264">
        <f>$H$7*$H$9*1000000</f>
        <v>104739.9658</v>
      </c>
      <c r="N10" s="155"/>
      <c r="O10" s="155"/>
      <c r="P10" s="155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</row>
    <row r="11">
      <c r="A11" s="155"/>
      <c r="B11" s="155"/>
      <c r="C11" s="155"/>
      <c r="D11" s="270" t="s">
        <v>253</v>
      </c>
      <c r="E11" s="271">
        <f>K8*1000*'CO2 Emission Data'!D6</f>
        <v>82.81694672</v>
      </c>
      <c r="F11" s="155"/>
      <c r="G11" s="272" t="s">
        <v>254</v>
      </c>
      <c r="H11" s="273">
        <f>H10</f>
        <v>104739.9658</v>
      </c>
      <c r="N11" s="155"/>
      <c r="O11" s="155"/>
      <c r="P11" s="155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</row>
    <row r="12">
      <c r="A12" s="155"/>
      <c r="B12" s="155"/>
      <c r="C12" s="155"/>
      <c r="D12" s="274" t="s">
        <v>255</v>
      </c>
      <c r="E12" s="186">
        <v>40.0</v>
      </c>
      <c r="F12" s="155"/>
      <c r="G12" s="275" t="s">
        <v>256</v>
      </c>
      <c r="H12" s="25"/>
      <c r="N12" s="276"/>
      <c r="O12" s="155"/>
      <c r="P12" s="155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</row>
    <row r="13">
      <c r="A13" s="155"/>
      <c r="B13" s="155"/>
      <c r="C13" s="155"/>
      <c r="D13" s="277" t="s">
        <v>257</v>
      </c>
      <c r="E13" s="278">
        <f>E11*E12</f>
        <v>3312.677869</v>
      </c>
      <c r="F13" s="155"/>
      <c r="G13" s="261" t="s">
        <v>258</v>
      </c>
      <c r="H13" s="279">
        <v>15.0</v>
      </c>
      <c r="N13" s="155"/>
      <c r="O13" s="155"/>
      <c r="P13" s="155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</row>
    <row r="14">
      <c r="A14" s="152"/>
      <c r="B14" s="152"/>
      <c r="C14" s="152"/>
      <c r="D14" s="152"/>
      <c r="E14" s="152"/>
      <c r="F14" s="152"/>
      <c r="G14" s="280" t="s">
        <v>259</v>
      </c>
      <c r="H14" s="281">
        <v>0.0</v>
      </c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</row>
    <row r="15">
      <c r="A15" s="152"/>
      <c r="B15" s="152"/>
      <c r="C15" s="152"/>
      <c r="D15" s="152"/>
      <c r="E15" s="152"/>
      <c r="F15" s="152"/>
      <c r="G15" s="280" t="s">
        <v>260</v>
      </c>
      <c r="H15" s="281">
        <v>0.0</v>
      </c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</row>
    <row r="16">
      <c r="A16" s="152"/>
      <c r="B16" s="152"/>
      <c r="C16" s="152"/>
      <c r="D16" s="152"/>
      <c r="E16" s="152"/>
      <c r="F16" s="152"/>
      <c r="G16" s="257" t="s">
        <v>261</v>
      </c>
      <c r="H16" s="282">
        <v>0.0</v>
      </c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</row>
    <row r="17">
      <c r="A17" s="283" t="s">
        <v>218</v>
      </c>
      <c r="B17" s="152"/>
      <c r="C17" s="152"/>
      <c r="D17" s="152"/>
      <c r="E17" s="152"/>
      <c r="F17" s="152"/>
      <c r="G17" s="284" t="s">
        <v>262</v>
      </c>
      <c r="H17" s="285">
        <v>0.0</v>
      </c>
      <c r="N17" s="152"/>
      <c r="O17" s="286"/>
      <c r="P17" s="286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</row>
    <row r="18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</row>
    <row r="19">
      <c r="A19" s="287"/>
      <c r="B19" s="193">
        <v>2025.0</v>
      </c>
      <c r="C19" s="193">
        <v>2026.0</v>
      </c>
      <c r="D19" s="193">
        <v>2027.0</v>
      </c>
      <c r="E19" s="193">
        <v>2028.0</v>
      </c>
      <c r="F19" s="193">
        <v>2029.0</v>
      </c>
      <c r="G19" s="193">
        <v>2030.0</v>
      </c>
      <c r="H19" s="193">
        <v>2031.0</v>
      </c>
      <c r="I19" s="193">
        <v>2032.0</v>
      </c>
      <c r="J19" s="193">
        <v>2033.0</v>
      </c>
      <c r="K19" s="193">
        <v>2034.0</v>
      </c>
      <c r="L19" s="193">
        <v>2035.0</v>
      </c>
      <c r="M19" s="193">
        <v>2036.0</v>
      </c>
      <c r="N19" s="193">
        <v>2037.0</v>
      </c>
      <c r="O19" s="193">
        <v>2038.0</v>
      </c>
      <c r="P19" s="193">
        <v>2039.0</v>
      </c>
      <c r="Q19" s="193">
        <v>2040.0</v>
      </c>
      <c r="R19" s="193">
        <v>2041.0</v>
      </c>
      <c r="S19" s="193">
        <v>2042.0</v>
      </c>
      <c r="T19" s="193">
        <v>2043.0</v>
      </c>
      <c r="U19" s="193">
        <v>2044.0</v>
      </c>
      <c r="V19" s="193">
        <v>2045.0</v>
      </c>
      <c r="W19" s="193">
        <v>2046.0</v>
      </c>
      <c r="X19" s="193">
        <v>2047.0</v>
      </c>
      <c r="Y19" s="193">
        <v>2048.0</v>
      </c>
      <c r="Z19" s="193">
        <v>2049.0</v>
      </c>
      <c r="AA19" s="193">
        <v>2049.0</v>
      </c>
    </row>
    <row r="20">
      <c r="A20" s="192" t="s">
        <v>185</v>
      </c>
      <c r="B20" s="288">
        <v>0.0</v>
      </c>
      <c r="C20" s="288">
        <v>1.0</v>
      </c>
      <c r="D20" s="288">
        <v>2.0</v>
      </c>
      <c r="E20" s="288">
        <v>3.0</v>
      </c>
      <c r="F20" s="288">
        <v>4.0</v>
      </c>
      <c r="G20" s="288">
        <v>5.0</v>
      </c>
      <c r="H20" s="193">
        <v>6.0</v>
      </c>
      <c r="I20" s="193">
        <v>7.0</v>
      </c>
      <c r="J20" s="193">
        <v>8.0</v>
      </c>
      <c r="K20" s="193">
        <v>9.0</v>
      </c>
      <c r="L20" s="193">
        <v>10.0</v>
      </c>
      <c r="M20" s="193">
        <v>11.0</v>
      </c>
      <c r="N20" s="193">
        <v>12.0</v>
      </c>
      <c r="O20" s="193">
        <v>13.0</v>
      </c>
      <c r="P20" s="193">
        <v>14.0</v>
      </c>
      <c r="Q20" s="193">
        <v>15.0</v>
      </c>
      <c r="R20" s="193">
        <v>16.0</v>
      </c>
      <c r="S20" s="193">
        <v>17.0</v>
      </c>
      <c r="T20" s="193">
        <v>18.0</v>
      </c>
      <c r="U20" s="193">
        <v>19.0</v>
      </c>
      <c r="V20" s="193">
        <v>20.0</v>
      </c>
      <c r="W20" s="193">
        <v>21.0</v>
      </c>
      <c r="X20" s="193">
        <v>22.0</v>
      </c>
      <c r="Y20" s="193">
        <v>23.0</v>
      </c>
      <c r="Z20" s="193">
        <v>24.0</v>
      </c>
      <c r="AA20" s="193">
        <v>25.0</v>
      </c>
    </row>
    <row r="21">
      <c r="A21" s="289" t="s">
        <v>263</v>
      </c>
      <c r="B21" s="290">
        <v>0.0</v>
      </c>
      <c r="C21" s="197">
        <f>K8</f>
        <v>339.823</v>
      </c>
      <c r="D21" s="197">
        <f t="shared" ref="D21:AA21" si="1">C21*(1-$K$9)</f>
        <v>338.123885</v>
      </c>
      <c r="E21" s="197">
        <f t="shared" si="1"/>
        <v>336.4332656</v>
      </c>
      <c r="F21" s="197">
        <f t="shared" si="1"/>
        <v>334.7510992</v>
      </c>
      <c r="G21" s="197">
        <f t="shared" si="1"/>
        <v>333.0773438</v>
      </c>
      <c r="H21" s="197">
        <f t="shared" si="1"/>
        <v>331.411957</v>
      </c>
      <c r="I21" s="197">
        <f t="shared" si="1"/>
        <v>329.7548972</v>
      </c>
      <c r="J21" s="197">
        <f t="shared" si="1"/>
        <v>328.1061228</v>
      </c>
      <c r="K21" s="197">
        <f t="shared" si="1"/>
        <v>326.4655921</v>
      </c>
      <c r="L21" s="197">
        <f t="shared" si="1"/>
        <v>324.8332642</v>
      </c>
      <c r="M21" s="197">
        <f t="shared" si="1"/>
        <v>323.2090979</v>
      </c>
      <c r="N21" s="197">
        <f t="shared" si="1"/>
        <v>321.5930524</v>
      </c>
      <c r="O21" s="197">
        <f t="shared" si="1"/>
        <v>319.9850871</v>
      </c>
      <c r="P21" s="197">
        <f t="shared" si="1"/>
        <v>318.3851617</v>
      </c>
      <c r="Q21" s="197">
        <f t="shared" si="1"/>
        <v>316.7932359</v>
      </c>
      <c r="R21" s="197">
        <f t="shared" si="1"/>
        <v>315.2092697</v>
      </c>
      <c r="S21" s="197">
        <f t="shared" si="1"/>
        <v>313.6332233</v>
      </c>
      <c r="T21" s="197">
        <f t="shared" si="1"/>
        <v>312.0650572</v>
      </c>
      <c r="U21" s="197">
        <f t="shared" si="1"/>
        <v>310.5047319</v>
      </c>
      <c r="V21" s="197">
        <f t="shared" si="1"/>
        <v>308.9522083</v>
      </c>
      <c r="W21" s="197">
        <f t="shared" si="1"/>
        <v>307.4074472</v>
      </c>
      <c r="X21" s="197">
        <f t="shared" si="1"/>
        <v>305.87041</v>
      </c>
      <c r="Y21" s="197">
        <f t="shared" si="1"/>
        <v>304.341058</v>
      </c>
      <c r="Z21" s="197">
        <f t="shared" si="1"/>
        <v>302.8193527</v>
      </c>
      <c r="AA21" s="197">
        <f t="shared" si="1"/>
        <v>301.3052559</v>
      </c>
      <c r="AB21" s="152"/>
    </row>
    <row r="22">
      <c r="A22" s="291" t="s">
        <v>264</v>
      </c>
      <c r="B22" s="292">
        <f t="shared" ref="B22:AA22" si="2">B21/(1+$B$7)^B20</f>
        <v>0</v>
      </c>
      <c r="C22" s="292">
        <f t="shared" si="2"/>
        <v>323.6409524</v>
      </c>
      <c r="D22" s="292">
        <f t="shared" si="2"/>
        <v>306.6883311</v>
      </c>
      <c r="E22" s="292">
        <f t="shared" si="2"/>
        <v>290.6237042</v>
      </c>
      <c r="F22" s="292">
        <f t="shared" si="2"/>
        <v>275.4005578</v>
      </c>
      <c r="G22" s="292">
        <f t="shared" si="2"/>
        <v>260.9748143</v>
      </c>
      <c r="H22" s="292">
        <f t="shared" si="2"/>
        <v>247.304705</v>
      </c>
      <c r="I22" s="292">
        <f t="shared" si="2"/>
        <v>234.350649</v>
      </c>
      <c r="J22" s="292">
        <f t="shared" si="2"/>
        <v>222.0751388</v>
      </c>
      <c r="K22" s="292">
        <f t="shared" si="2"/>
        <v>210.4426315</v>
      </c>
      <c r="L22" s="292">
        <f t="shared" si="2"/>
        <v>199.4194461</v>
      </c>
      <c r="M22" s="292">
        <f t="shared" si="2"/>
        <v>188.9736656</v>
      </c>
      <c r="N22" s="292">
        <f t="shared" si="2"/>
        <v>179.075045</v>
      </c>
      <c r="O22" s="292">
        <f t="shared" si="2"/>
        <v>169.6949236</v>
      </c>
      <c r="P22" s="292">
        <f t="shared" si="2"/>
        <v>160.8061419</v>
      </c>
      <c r="Q22" s="292">
        <f t="shared" si="2"/>
        <v>152.382963</v>
      </c>
      <c r="R22" s="292">
        <f t="shared" si="2"/>
        <v>144.4009983</v>
      </c>
      <c r="S22" s="292">
        <f t="shared" si="2"/>
        <v>136.8371365</v>
      </c>
      <c r="T22" s="292">
        <f t="shared" si="2"/>
        <v>129.6694769</v>
      </c>
      <c r="U22" s="292">
        <f t="shared" si="2"/>
        <v>122.8772662</v>
      </c>
      <c r="V22" s="292">
        <f t="shared" si="2"/>
        <v>116.440838</v>
      </c>
      <c r="W22" s="292">
        <f t="shared" si="2"/>
        <v>110.341556</v>
      </c>
      <c r="X22" s="292">
        <f t="shared" si="2"/>
        <v>104.5617602</v>
      </c>
      <c r="Y22" s="292">
        <f t="shared" si="2"/>
        <v>99.08471565</v>
      </c>
      <c r="Z22" s="292">
        <f t="shared" si="2"/>
        <v>93.89456387</v>
      </c>
      <c r="AA22" s="292">
        <f t="shared" si="2"/>
        <v>88.97627719</v>
      </c>
      <c r="AB22" s="293"/>
    </row>
    <row r="23">
      <c r="A23" s="294" t="s">
        <v>265</v>
      </c>
      <c r="B23" s="201">
        <f>B21*$E$6*1000</f>
        <v>0</v>
      </c>
      <c r="C23" s="201">
        <f t="shared" ref="C23:AA23" si="3">C21*$E$6*1000*(1+$E$7)*(1+$E$8)</f>
        <v>73240.83088</v>
      </c>
      <c r="D23" s="201">
        <f t="shared" si="3"/>
        <v>72874.62673</v>
      </c>
      <c r="E23" s="201">
        <f t="shared" si="3"/>
        <v>72510.2536</v>
      </c>
      <c r="F23" s="201">
        <f t="shared" si="3"/>
        <v>72147.70233</v>
      </c>
      <c r="G23" s="201">
        <f t="shared" si="3"/>
        <v>71786.96382</v>
      </c>
      <c r="H23" s="201">
        <f t="shared" si="3"/>
        <v>71428.029</v>
      </c>
      <c r="I23" s="201">
        <f t="shared" si="3"/>
        <v>71070.88885</v>
      </c>
      <c r="J23" s="201">
        <f t="shared" si="3"/>
        <v>70715.53441</v>
      </c>
      <c r="K23" s="201">
        <f t="shared" si="3"/>
        <v>70361.95674</v>
      </c>
      <c r="L23" s="201">
        <f t="shared" si="3"/>
        <v>70010.14695</v>
      </c>
      <c r="M23" s="201">
        <f t="shared" si="3"/>
        <v>69660.09622</v>
      </c>
      <c r="N23" s="201">
        <f t="shared" si="3"/>
        <v>69311.79574</v>
      </c>
      <c r="O23" s="201">
        <f t="shared" si="3"/>
        <v>68965.23676</v>
      </c>
      <c r="P23" s="201">
        <f t="shared" si="3"/>
        <v>68620.41057</v>
      </c>
      <c r="Q23" s="201">
        <f t="shared" si="3"/>
        <v>68277.30852</v>
      </c>
      <c r="R23" s="201">
        <f t="shared" si="3"/>
        <v>67935.92198</v>
      </c>
      <c r="S23" s="201">
        <f t="shared" si="3"/>
        <v>67596.24237</v>
      </c>
      <c r="T23" s="201">
        <f t="shared" si="3"/>
        <v>67258.26116</v>
      </c>
      <c r="U23" s="201">
        <f t="shared" si="3"/>
        <v>66921.96985</v>
      </c>
      <c r="V23" s="201">
        <f t="shared" si="3"/>
        <v>66587.36</v>
      </c>
      <c r="W23" s="201">
        <f t="shared" si="3"/>
        <v>66254.4232</v>
      </c>
      <c r="X23" s="201">
        <f t="shared" si="3"/>
        <v>65923.15109</v>
      </c>
      <c r="Y23" s="201">
        <f t="shared" si="3"/>
        <v>65593.53533</v>
      </c>
      <c r="Z23" s="201">
        <f t="shared" si="3"/>
        <v>65265.56765</v>
      </c>
      <c r="AA23" s="201">
        <f t="shared" si="3"/>
        <v>64939.23982</v>
      </c>
      <c r="AB23" s="152"/>
    </row>
    <row r="24">
      <c r="A24" s="295" t="s">
        <v>266</v>
      </c>
      <c r="B24" s="203">
        <f t="shared" ref="B24:AA24" si="4">B23/(1+$B$7)^B20</f>
        <v>0</v>
      </c>
      <c r="C24" s="203">
        <f t="shared" si="4"/>
        <v>69753.17227</v>
      </c>
      <c r="D24" s="203">
        <f t="shared" si="4"/>
        <v>66099.43468</v>
      </c>
      <c r="E24" s="203">
        <f t="shared" si="4"/>
        <v>62637.08334</v>
      </c>
      <c r="F24" s="203">
        <f t="shared" si="4"/>
        <v>59356.09326</v>
      </c>
      <c r="G24" s="203">
        <f t="shared" si="4"/>
        <v>56246.96456</v>
      </c>
      <c r="H24" s="203">
        <f t="shared" si="4"/>
        <v>53300.69499</v>
      </c>
      <c r="I24" s="203">
        <f t="shared" si="4"/>
        <v>50508.75382</v>
      </c>
      <c r="J24" s="203">
        <f t="shared" si="4"/>
        <v>47863.05719</v>
      </c>
      <c r="K24" s="203">
        <f t="shared" si="4"/>
        <v>45355.94468</v>
      </c>
      <c r="L24" s="203">
        <f t="shared" si="4"/>
        <v>42980.1571</v>
      </c>
      <c r="M24" s="203">
        <f t="shared" si="4"/>
        <v>40728.81553</v>
      </c>
      <c r="N24" s="203">
        <f t="shared" si="4"/>
        <v>38595.40139</v>
      </c>
      <c r="O24" s="203">
        <f t="shared" si="4"/>
        <v>36573.73751</v>
      </c>
      <c r="P24" s="203">
        <f t="shared" si="4"/>
        <v>34657.9703</v>
      </c>
      <c r="Q24" s="203">
        <f t="shared" si="4"/>
        <v>32842.55281</v>
      </c>
      <c r="R24" s="203">
        <f t="shared" si="4"/>
        <v>31122.22862</v>
      </c>
      <c r="S24" s="203">
        <f t="shared" si="4"/>
        <v>29492.01664</v>
      </c>
      <c r="T24" s="203">
        <f t="shared" si="4"/>
        <v>27947.19672</v>
      </c>
      <c r="U24" s="203">
        <f t="shared" si="4"/>
        <v>26483.29594</v>
      </c>
      <c r="V24" s="203">
        <f t="shared" si="4"/>
        <v>25096.07568</v>
      </c>
      <c r="W24" s="203">
        <f t="shared" si="4"/>
        <v>23781.51933</v>
      </c>
      <c r="X24" s="203">
        <f t="shared" si="4"/>
        <v>22535.8207</v>
      </c>
      <c r="Y24" s="203">
        <f t="shared" si="4"/>
        <v>21355.37295</v>
      </c>
      <c r="Z24" s="203">
        <f t="shared" si="4"/>
        <v>20236.75818</v>
      </c>
      <c r="AA24" s="203">
        <f t="shared" si="4"/>
        <v>19176.73751</v>
      </c>
      <c r="AB24" s="296"/>
    </row>
    <row r="25">
      <c r="A25" s="297" t="s">
        <v>267</v>
      </c>
      <c r="B25" s="298">
        <f>H11</f>
        <v>104739.9658</v>
      </c>
      <c r="C25" s="299" t="s">
        <v>268</v>
      </c>
      <c r="D25" s="299" t="s">
        <v>268</v>
      </c>
      <c r="E25" s="299" t="s">
        <v>268</v>
      </c>
      <c r="F25" s="299" t="s">
        <v>268</v>
      </c>
      <c r="G25" s="299" t="s">
        <v>268</v>
      </c>
      <c r="H25" s="299" t="s">
        <v>268</v>
      </c>
      <c r="I25" s="299" t="s">
        <v>268</v>
      </c>
      <c r="J25" s="299" t="s">
        <v>268</v>
      </c>
      <c r="K25" s="299" t="s">
        <v>268</v>
      </c>
      <c r="L25" s="299" t="s">
        <v>268</v>
      </c>
      <c r="M25" s="299" t="s">
        <v>268</v>
      </c>
      <c r="N25" s="299" t="s">
        <v>268</v>
      </c>
      <c r="O25" s="299" t="s">
        <v>268</v>
      </c>
      <c r="P25" s="299" t="s">
        <v>268</v>
      </c>
      <c r="Q25" s="299" t="s">
        <v>268</v>
      </c>
      <c r="R25" s="299" t="s">
        <v>268</v>
      </c>
      <c r="S25" s="299" t="s">
        <v>268</v>
      </c>
      <c r="T25" s="299" t="s">
        <v>268</v>
      </c>
      <c r="U25" s="299" t="s">
        <v>268</v>
      </c>
      <c r="V25" s="299" t="s">
        <v>268</v>
      </c>
      <c r="W25" s="299" t="s">
        <v>268</v>
      </c>
      <c r="X25" s="299" t="s">
        <v>268</v>
      </c>
      <c r="Y25" s="299" t="s">
        <v>268</v>
      </c>
      <c r="Z25" s="299" t="s">
        <v>268</v>
      </c>
      <c r="AA25" s="299" t="s">
        <v>268</v>
      </c>
      <c r="AB25" s="152"/>
    </row>
    <row r="26">
      <c r="A26" s="300" t="s">
        <v>269</v>
      </c>
      <c r="B26" s="301"/>
      <c r="C26" s="302">
        <f t="shared" ref="C26:AA26" si="5">$H$13*$H$9*1000</f>
        <v>581.8886986</v>
      </c>
      <c r="D26" s="302">
        <f t="shared" si="5"/>
        <v>581.8886986</v>
      </c>
      <c r="E26" s="302">
        <f t="shared" si="5"/>
        <v>581.8886986</v>
      </c>
      <c r="F26" s="302">
        <f t="shared" si="5"/>
        <v>581.8886986</v>
      </c>
      <c r="G26" s="302">
        <f t="shared" si="5"/>
        <v>581.8886986</v>
      </c>
      <c r="H26" s="302">
        <f t="shared" si="5"/>
        <v>581.8886986</v>
      </c>
      <c r="I26" s="302">
        <f t="shared" si="5"/>
        <v>581.8886986</v>
      </c>
      <c r="J26" s="302">
        <f t="shared" si="5"/>
        <v>581.8886986</v>
      </c>
      <c r="K26" s="302">
        <f t="shared" si="5"/>
        <v>581.8886986</v>
      </c>
      <c r="L26" s="302">
        <f t="shared" si="5"/>
        <v>581.8886986</v>
      </c>
      <c r="M26" s="302">
        <f t="shared" si="5"/>
        <v>581.8886986</v>
      </c>
      <c r="N26" s="302">
        <f t="shared" si="5"/>
        <v>581.8886986</v>
      </c>
      <c r="O26" s="302">
        <f t="shared" si="5"/>
        <v>581.8886986</v>
      </c>
      <c r="P26" s="302">
        <f t="shared" si="5"/>
        <v>581.8886986</v>
      </c>
      <c r="Q26" s="302">
        <f t="shared" si="5"/>
        <v>581.8886986</v>
      </c>
      <c r="R26" s="302">
        <f t="shared" si="5"/>
        <v>581.8886986</v>
      </c>
      <c r="S26" s="302">
        <f t="shared" si="5"/>
        <v>581.8886986</v>
      </c>
      <c r="T26" s="302">
        <f t="shared" si="5"/>
        <v>581.8886986</v>
      </c>
      <c r="U26" s="302">
        <f t="shared" si="5"/>
        <v>581.8886986</v>
      </c>
      <c r="V26" s="302">
        <f t="shared" si="5"/>
        <v>581.8886986</v>
      </c>
      <c r="W26" s="302">
        <f t="shared" si="5"/>
        <v>581.8886986</v>
      </c>
      <c r="X26" s="302">
        <f t="shared" si="5"/>
        <v>581.8886986</v>
      </c>
      <c r="Y26" s="302">
        <f t="shared" si="5"/>
        <v>581.8886986</v>
      </c>
      <c r="Z26" s="302">
        <f t="shared" si="5"/>
        <v>581.8886986</v>
      </c>
      <c r="AA26" s="302">
        <f t="shared" si="5"/>
        <v>581.8886986</v>
      </c>
      <c r="AB26" s="152"/>
    </row>
    <row r="27">
      <c r="A27" s="300" t="s">
        <v>270</v>
      </c>
      <c r="B27" s="299"/>
      <c r="C27" s="302">
        <f t="shared" ref="C27:AA27" si="6">$H$14*C21*1000</f>
        <v>0</v>
      </c>
      <c r="D27" s="302">
        <f t="shared" si="6"/>
        <v>0</v>
      </c>
      <c r="E27" s="302">
        <f t="shared" si="6"/>
        <v>0</v>
      </c>
      <c r="F27" s="302">
        <f t="shared" si="6"/>
        <v>0</v>
      </c>
      <c r="G27" s="302">
        <f t="shared" si="6"/>
        <v>0</v>
      </c>
      <c r="H27" s="302">
        <f t="shared" si="6"/>
        <v>0</v>
      </c>
      <c r="I27" s="302">
        <f t="shared" si="6"/>
        <v>0</v>
      </c>
      <c r="J27" s="302">
        <f t="shared" si="6"/>
        <v>0</v>
      </c>
      <c r="K27" s="302">
        <f t="shared" si="6"/>
        <v>0</v>
      </c>
      <c r="L27" s="302">
        <f t="shared" si="6"/>
        <v>0</v>
      </c>
      <c r="M27" s="302">
        <f t="shared" si="6"/>
        <v>0</v>
      </c>
      <c r="N27" s="302">
        <f t="shared" si="6"/>
        <v>0</v>
      </c>
      <c r="O27" s="302">
        <f t="shared" si="6"/>
        <v>0</v>
      </c>
      <c r="P27" s="302">
        <f t="shared" si="6"/>
        <v>0</v>
      </c>
      <c r="Q27" s="302">
        <f t="shared" si="6"/>
        <v>0</v>
      </c>
      <c r="R27" s="302">
        <f t="shared" si="6"/>
        <v>0</v>
      </c>
      <c r="S27" s="302">
        <f t="shared" si="6"/>
        <v>0</v>
      </c>
      <c r="T27" s="302">
        <f t="shared" si="6"/>
        <v>0</v>
      </c>
      <c r="U27" s="302">
        <f t="shared" si="6"/>
        <v>0</v>
      </c>
      <c r="V27" s="302">
        <f t="shared" si="6"/>
        <v>0</v>
      </c>
      <c r="W27" s="302">
        <f t="shared" si="6"/>
        <v>0</v>
      </c>
      <c r="X27" s="302">
        <f t="shared" si="6"/>
        <v>0</v>
      </c>
      <c r="Y27" s="302">
        <f t="shared" si="6"/>
        <v>0</v>
      </c>
      <c r="Z27" s="302">
        <f t="shared" si="6"/>
        <v>0</v>
      </c>
      <c r="AA27" s="302">
        <f t="shared" si="6"/>
        <v>0</v>
      </c>
      <c r="AB27" s="152"/>
    </row>
    <row r="28">
      <c r="A28" s="300" t="s">
        <v>271</v>
      </c>
      <c r="B28" s="303"/>
      <c r="C28" s="302">
        <f t="shared" ref="C28:AA28" si="7">$H$17*C21*1000</f>
        <v>0</v>
      </c>
      <c r="D28" s="302">
        <f t="shared" si="7"/>
        <v>0</v>
      </c>
      <c r="E28" s="302">
        <f t="shared" si="7"/>
        <v>0</v>
      </c>
      <c r="F28" s="302">
        <f t="shared" si="7"/>
        <v>0</v>
      </c>
      <c r="G28" s="302">
        <f t="shared" si="7"/>
        <v>0</v>
      </c>
      <c r="H28" s="302">
        <f t="shared" si="7"/>
        <v>0</v>
      </c>
      <c r="I28" s="302">
        <f t="shared" si="7"/>
        <v>0</v>
      </c>
      <c r="J28" s="302">
        <f t="shared" si="7"/>
        <v>0</v>
      </c>
      <c r="K28" s="302">
        <f t="shared" si="7"/>
        <v>0</v>
      </c>
      <c r="L28" s="302">
        <f t="shared" si="7"/>
        <v>0</v>
      </c>
      <c r="M28" s="302">
        <f t="shared" si="7"/>
        <v>0</v>
      </c>
      <c r="N28" s="302">
        <f t="shared" si="7"/>
        <v>0</v>
      </c>
      <c r="O28" s="302">
        <f t="shared" si="7"/>
        <v>0</v>
      </c>
      <c r="P28" s="302">
        <f t="shared" si="7"/>
        <v>0</v>
      </c>
      <c r="Q28" s="302">
        <f t="shared" si="7"/>
        <v>0</v>
      </c>
      <c r="R28" s="302">
        <f t="shared" si="7"/>
        <v>0</v>
      </c>
      <c r="S28" s="302">
        <f t="shared" si="7"/>
        <v>0</v>
      </c>
      <c r="T28" s="302">
        <f t="shared" si="7"/>
        <v>0</v>
      </c>
      <c r="U28" s="302">
        <f t="shared" si="7"/>
        <v>0</v>
      </c>
      <c r="V28" s="302">
        <f t="shared" si="7"/>
        <v>0</v>
      </c>
      <c r="W28" s="302">
        <f t="shared" si="7"/>
        <v>0</v>
      </c>
      <c r="X28" s="302">
        <f t="shared" si="7"/>
        <v>0</v>
      </c>
      <c r="Y28" s="302">
        <f t="shared" si="7"/>
        <v>0</v>
      </c>
      <c r="Z28" s="302">
        <f t="shared" si="7"/>
        <v>0</v>
      </c>
      <c r="AA28" s="302">
        <f t="shared" si="7"/>
        <v>0</v>
      </c>
      <c r="AB28" s="152"/>
    </row>
    <row r="29">
      <c r="A29" s="304" t="s">
        <v>272</v>
      </c>
      <c r="B29" s="305">
        <f t="shared" ref="B29:AA29" si="8">SUM(B25:B28)</f>
        <v>104739.9658</v>
      </c>
      <c r="C29" s="305">
        <f t="shared" si="8"/>
        <v>581.8886986</v>
      </c>
      <c r="D29" s="305">
        <f t="shared" si="8"/>
        <v>581.8886986</v>
      </c>
      <c r="E29" s="305">
        <f t="shared" si="8"/>
        <v>581.8886986</v>
      </c>
      <c r="F29" s="305">
        <f t="shared" si="8"/>
        <v>581.8886986</v>
      </c>
      <c r="G29" s="305">
        <f t="shared" si="8"/>
        <v>581.8886986</v>
      </c>
      <c r="H29" s="305">
        <f t="shared" si="8"/>
        <v>581.8886986</v>
      </c>
      <c r="I29" s="305">
        <f t="shared" si="8"/>
        <v>581.8886986</v>
      </c>
      <c r="J29" s="305">
        <f t="shared" si="8"/>
        <v>581.8886986</v>
      </c>
      <c r="K29" s="305">
        <f t="shared" si="8"/>
        <v>581.8886986</v>
      </c>
      <c r="L29" s="305">
        <f t="shared" si="8"/>
        <v>581.8886986</v>
      </c>
      <c r="M29" s="305">
        <f t="shared" si="8"/>
        <v>581.8886986</v>
      </c>
      <c r="N29" s="305">
        <f t="shared" si="8"/>
        <v>581.8886986</v>
      </c>
      <c r="O29" s="305">
        <f t="shared" si="8"/>
        <v>581.8886986</v>
      </c>
      <c r="P29" s="305">
        <f t="shared" si="8"/>
        <v>581.8886986</v>
      </c>
      <c r="Q29" s="305">
        <f t="shared" si="8"/>
        <v>581.8886986</v>
      </c>
      <c r="R29" s="305">
        <f t="shared" si="8"/>
        <v>581.8886986</v>
      </c>
      <c r="S29" s="305">
        <f t="shared" si="8"/>
        <v>581.8886986</v>
      </c>
      <c r="T29" s="305">
        <f t="shared" si="8"/>
        <v>581.8886986</v>
      </c>
      <c r="U29" s="305">
        <f t="shared" si="8"/>
        <v>581.8886986</v>
      </c>
      <c r="V29" s="305">
        <f t="shared" si="8"/>
        <v>581.8886986</v>
      </c>
      <c r="W29" s="305">
        <f t="shared" si="8"/>
        <v>581.8886986</v>
      </c>
      <c r="X29" s="305">
        <f t="shared" si="8"/>
        <v>581.8886986</v>
      </c>
      <c r="Y29" s="305">
        <f t="shared" si="8"/>
        <v>581.8886986</v>
      </c>
      <c r="Z29" s="305">
        <f t="shared" si="8"/>
        <v>581.8886986</v>
      </c>
      <c r="AA29" s="305">
        <f t="shared" si="8"/>
        <v>581.8886986</v>
      </c>
      <c r="AB29" s="152"/>
    </row>
    <row r="30">
      <c r="A30" s="304" t="s">
        <v>273</v>
      </c>
      <c r="B30" s="305">
        <f t="shared" ref="B30:AA30" si="9">B29/(1+$B$7)^B20</f>
        <v>104739.9658</v>
      </c>
      <c r="C30" s="305">
        <f t="shared" si="9"/>
        <v>554.179713</v>
      </c>
      <c r="D30" s="305">
        <f t="shared" si="9"/>
        <v>527.7902028</v>
      </c>
      <c r="E30" s="305">
        <f t="shared" si="9"/>
        <v>502.657336</v>
      </c>
      <c r="F30" s="305">
        <f t="shared" si="9"/>
        <v>478.7212724</v>
      </c>
      <c r="G30" s="305">
        <f t="shared" si="9"/>
        <v>455.9250213</v>
      </c>
      <c r="H30" s="305">
        <f t="shared" si="9"/>
        <v>434.214306</v>
      </c>
      <c r="I30" s="305">
        <f t="shared" si="9"/>
        <v>413.5374343</v>
      </c>
      <c r="J30" s="305">
        <f t="shared" si="9"/>
        <v>393.8451756</v>
      </c>
      <c r="K30" s="305">
        <f t="shared" si="9"/>
        <v>375.0906434</v>
      </c>
      <c r="L30" s="305">
        <f t="shared" si="9"/>
        <v>357.2291842</v>
      </c>
      <c r="M30" s="305">
        <f t="shared" si="9"/>
        <v>340.2182706</v>
      </c>
      <c r="N30" s="305">
        <f t="shared" si="9"/>
        <v>324.0174006</v>
      </c>
      <c r="O30" s="305">
        <f t="shared" si="9"/>
        <v>308.5880006</v>
      </c>
      <c r="P30" s="305">
        <f t="shared" si="9"/>
        <v>293.8933339</v>
      </c>
      <c r="Q30" s="305">
        <f t="shared" si="9"/>
        <v>279.8984132</v>
      </c>
      <c r="R30" s="305">
        <f t="shared" si="9"/>
        <v>266.5699174</v>
      </c>
      <c r="S30" s="305">
        <f t="shared" si="9"/>
        <v>253.8761118</v>
      </c>
      <c r="T30" s="305">
        <f t="shared" si="9"/>
        <v>241.7867731</v>
      </c>
      <c r="U30" s="305">
        <f t="shared" si="9"/>
        <v>230.2731173</v>
      </c>
      <c r="V30" s="305">
        <f t="shared" si="9"/>
        <v>219.3077307</v>
      </c>
      <c r="W30" s="305">
        <f t="shared" si="9"/>
        <v>208.8645054</v>
      </c>
      <c r="X30" s="305">
        <f t="shared" si="9"/>
        <v>198.9185766</v>
      </c>
      <c r="Y30" s="305">
        <f t="shared" si="9"/>
        <v>189.4462634</v>
      </c>
      <c r="Z30" s="305">
        <f t="shared" si="9"/>
        <v>180.4250128</v>
      </c>
      <c r="AA30" s="305">
        <f t="shared" si="9"/>
        <v>171.8333455</v>
      </c>
      <c r="AB30" s="296"/>
    </row>
    <row r="31">
      <c r="A31" s="306" t="s">
        <v>274</v>
      </c>
      <c r="B31" s="307">
        <f t="shared" ref="B31:AA31" si="10">B23-B29</f>
        <v>-104739.9658</v>
      </c>
      <c r="C31" s="307">
        <f t="shared" si="10"/>
        <v>72658.94219</v>
      </c>
      <c r="D31" s="307">
        <f t="shared" si="10"/>
        <v>72292.73803</v>
      </c>
      <c r="E31" s="307">
        <f t="shared" si="10"/>
        <v>71928.3649</v>
      </c>
      <c r="F31" s="307">
        <f t="shared" si="10"/>
        <v>71565.81363</v>
      </c>
      <c r="G31" s="307">
        <f t="shared" si="10"/>
        <v>71205.07512</v>
      </c>
      <c r="H31" s="307">
        <f t="shared" si="10"/>
        <v>70846.1403</v>
      </c>
      <c r="I31" s="307">
        <f t="shared" si="10"/>
        <v>70489.00015</v>
      </c>
      <c r="J31" s="307">
        <f t="shared" si="10"/>
        <v>70133.64571</v>
      </c>
      <c r="K31" s="307">
        <f t="shared" si="10"/>
        <v>69780.06804</v>
      </c>
      <c r="L31" s="307">
        <f t="shared" si="10"/>
        <v>69428.25825</v>
      </c>
      <c r="M31" s="307">
        <f t="shared" si="10"/>
        <v>69078.20752</v>
      </c>
      <c r="N31" s="307">
        <f t="shared" si="10"/>
        <v>68729.90704</v>
      </c>
      <c r="O31" s="307">
        <f t="shared" si="10"/>
        <v>68383.34806</v>
      </c>
      <c r="P31" s="307">
        <f t="shared" si="10"/>
        <v>68038.52188</v>
      </c>
      <c r="Q31" s="307">
        <f t="shared" si="10"/>
        <v>67695.41982</v>
      </c>
      <c r="R31" s="307">
        <f t="shared" si="10"/>
        <v>67354.03328</v>
      </c>
      <c r="S31" s="307">
        <f t="shared" si="10"/>
        <v>67014.35367</v>
      </c>
      <c r="T31" s="307">
        <f t="shared" si="10"/>
        <v>66676.37246</v>
      </c>
      <c r="U31" s="307">
        <f t="shared" si="10"/>
        <v>66340.08115</v>
      </c>
      <c r="V31" s="307">
        <f t="shared" si="10"/>
        <v>66005.4713</v>
      </c>
      <c r="W31" s="307">
        <f t="shared" si="10"/>
        <v>65672.5345</v>
      </c>
      <c r="X31" s="307">
        <f t="shared" si="10"/>
        <v>65341.26239</v>
      </c>
      <c r="Y31" s="307">
        <f t="shared" si="10"/>
        <v>65011.64663</v>
      </c>
      <c r="Z31" s="307">
        <f t="shared" si="10"/>
        <v>64683.67896</v>
      </c>
      <c r="AA31" s="307">
        <f t="shared" si="10"/>
        <v>64357.35112</v>
      </c>
      <c r="AB31" s="152"/>
    </row>
    <row r="32">
      <c r="A32" s="306" t="s">
        <v>275</v>
      </c>
      <c r="B32" s="307">
        <f t="shared" ref="B32:AA32" si="11">B31/(1+$B$7)^B20</f>
        <v>-104739.9658</v>
      </c>
      <c r="C32" s="307">
        <f t="shared" si="11"/>
        <v>69198.99256</v>
      </c>
      <c r="D32" s="307">
        <f t="shared" si="11"/>
        <v>65571.64447</v>
      </c>
      <c r="E32" s="307">
        <f t="shared" si="11"/>
        <v>62134.426</v>
      </c>
      <c r="F32" s="307">
        <f t="shared" si="11"/>
        <v>58877.37198</v>
      </c>
      <c r="G32" s="307">
        <f t="shared" si="11"/>
        <v>55791.03954</v>
      </c>
      <c r="H32" s="307">
        <f t="shared" si="11"/>
        <v>52866.48068</v>
      </c>
      <c r="I32" s="307">
        <f t="shared" si="11"/>
        <v>50095.21639</v>
      </c>
      <c r="J32" s="307">
        <f t="shared" si="11"/>
        <v>47469.21202</v>
      </c>
      <c r="K32" s="307">
        <f t="shared" si="11"/>
        <v>44980.85403</v>
      </c>
      <c r="L32" s="307">
        <f t="shared" si="11"/>
        <v>42622.92791</v>
      </c>
      <c r="M32" s="307">
        <f t="shared" si="11"/>
        <v>40388.59726</v>
      </c>
      <c r="N32" s="307">
        <f t="shared" si="11"/>
        <v>38271.38399</v>
      </c>
      <c r="O32" s="307">
        <f t="shared" si="11"/>
        <v>36265.1495</v>
      </c>
      <c r="P32" s="307">
        <f t="shared" si="11"/>
        <v>34364.07697</v>
      </c>
      <c r="Q32" s="307">
        <f t="shared" si="11"/>
        <v>32562.6544</v>
      </c>
      <c r="R32" s="307">
        <f t="shared" si="11"/>
        <v>30855.6587</v>
      </c>
      <c r="S32" s="307">
        <f t="shared" si="11"/>
        <v>29238.14053</v>
      </c>
      <c r="T32" s="307">
        <f t="shared" si="11"/>
        <v>27705.40995</v>
      </c>
      <c r="U32" s="307">
        <f t="shared" si="11"/>
        <v>26253.02282</v>
      </c>
      <c r="V32" s="307">
        <f t="shared" si="11"/>
        <v>24876.76795</v>
      </c>
      <c r="W32" s="307">
        <f t="shared" si="11"/>
        <v>23572.65483</v>
      </c>
      <c r="X32" s="307">
        <f t="shared" si="11"/>
        <v>22336.90212</v>
      </c>
      <c r="Y32" s="307">
        <f t="shared" si="11"/>
        <v>21165.92669</v>
      </c>
      <c r="Z32" s="307">
        <f t="shared" si="11"/>
        <v>20056.33316</v>
      </c>
      <c r="AA32" s="307">
        <f t="shared" si="11"/>
        <v>19004.90416</v>
      </c>
      <c r="AB32" s="296"/>
    </row>
    <row r="33">
      <c r="A33" s="308" t="s">
        <v>243</v>
      </c>
      <c r="B33" s="205">
        <f>B32</f>
        <v>-104739.9658</v>
      </c>
      <c r="C33" s="205">
        <f t="shared" ref="C33:AA33" si="12">B33+C32</f>
        <v>-35540.9732</v>
      </c>
      <c r="D33" s="205">
        <f t="shared" si="12"/>
        <v>30030.67128</v>
      </c>
      <c r="E33" s="205">
        <f t="shared" si="12"/>
        <v>92165.09728</v>
      </c>
      <c r="F33" s="205">
        <f t="shared" si="12"/>
        <v>151042.4693</v>
      </c>
      <c r="G33" s="205">
        <f t="shared" si="12"/>
        <v>206833.5088</v>
      </c>
      <c r="H33" s="205">
        <f t="shared" si="12"/>
        <v>259699.9895</v>
      </c>
      <c r="I33" s="205">
        <f t="shared" si="12"/>
        <v>309795.2059</v>
      </c>
      <c r="J33" s="205">
        <f t="shared" si="12"/>
        <v>357264.4179</v>
      </c>
      <c r="K33" s="205">
        <f t="shared" si="12"/>
        <v>402245.2719</v>
      </c>
      <c r="L33" s="205">
        <f t="shared" si="12"/>
        <v>444868.1998</v>
      </c>
      <c r="M33" s="205">
        <f t="shared" si="12"/>
        <v>485256.7971</v>
      </c>
      <c r="N33" s="205">
        <f t="shared" si="12"/>
        <v>523528.1811</v>
      </c>
      <c r="O33" s="205">
        <f t="shared" si="12"/>
        <v>559793.3306</v>
      </c>
      <c r="P33" s="205">
        <f t="shared" si="12"/>
        <v>594157.4076</v>
      </c>
      <c r="Q33" s="205">
        <f t="shared" si="12"/>
        <v>626720.062</v>
      </c>
      <c r="R33" s="205">
        <f t="shared" si="12"/>
        <v>657575.7207</v>
      </c>
      <c r="S33" s="205">
        <f t="shared" si="12"/>
        <v>686813.8612</v>
      </c>
      <c r="T33" s="205">
        <f t="shared" si="12"/>
        <v>714519.2711</v>
      </c>
      <c r="U33" s="205">
        <f t="shared" si="12"/>
        <v>740772.294</v>
      </c>
      <c r="V33" s="205">
        <f t="shared" si="12"/>
        <v>765649.0619</v>
      </c>
      <c r="W33" s="205">
        <f t="shared" si="12"/>
        <v>789221.7167</v>
      </c>
      <c r="X33" s="205">
        <f t="shared" si="12"/>
        <v>811558.6189</v>
      </c>
      <c r="Y33" s="205">
        <f t="shared" si="12"/>
        <v>832724.5455</v>
      </c>
      <c r="Z33" s="205">
        <f t="shared" si="12"/>
        <v>852780.8787</v>
      </c>
      <c r="AA33" s="205">
        <f t="shared" si="12"/>
        <v>871785.7829</v>
      </c>
      <c r="AB33" s="152"/>
    </row>
    <row r="34">
      <c r="A34" s="309" t="s">
        <v>276</v>
      </c>
      <c r="B34" s="310">
        <f t="shared" ref="B34:AA34" si="13">IF(B33&lt;0,1,0)</f>
        <v>1</v>
      </c>
      <c r="C34" s="310">
        <f t="shared" si="13"/>
        <v>1</v>
      </c>
      <c r="D34" s="310">
        <f t="shared" si="13"/>
        <v>0</v>
      </c>
      <c r="E34" s="310">
        <f t="shared" si="13"/>
        <v>0</v>
      </c>
      <c r="F34" s="310">
        <f t="shared" si="13"/>
        <v>0</v>
      </c>
      <c r="G34" s="310">
        <f t="shared" si="13"/>
        <v>0</v>
      </c>
      <c r="H34" s="310">
        <f t="shared" si="13"/>
        <v>0</v>
      </c>
      <c r="I34" s="310">
        <f t="shared" si="13"/>
        <v>0</v>
      </c>
      <c r="J34" s="310">
        <f t="shared" si="13"/>
        <v>0</v>
      </c>
      <c r="K34" s="310">
        <f t="shared" si="13"/>
        <v>0</v>
      </c>
      <c r="L34" s="310">
        <f t="shared" si="13"/>
        <v>0</v>
      </c>
      <c r="M34" s="310">
        <f t="shared" si="13"/>
        <v>0</v>
      </c>
      <c r="N34" s="310">
        <f t="shared" si="13"/>
        <v>0</v>
      </c>
      <c r="O34" s="310">
        <f t="shared" si="13"/>
        <v>0</v>
      </c>
      <c r="P34" s="310">
        <f t="shared" si="13"/>
        <v>0</v>
      </c>
      <c r="Q34" s="310">
        <f t="shared" si="13"/>
        <v>0</v>
      </c>
      <c r="R34" s="310">
        <f t="shared" si="13"/>
        <v>0</v>
      </c>
      <c r="S34" s="310">
        <f t="shared" si="13"/>
        <v>0</v>
      </c>
      <c r="T34" s="310">
        <f t="shared" si="13"/>
        <v>0</v>
      </c>
      <c r="U34" s="310">
        <f t="shared" si="13"/>
        <v>0</v>
      </c>
      <c r="V34" s="310">
        <f t="shared" si="13"/>
        <v>0</v>
      </c>
      <c r="W34" s="310">
        <f t="shared" si="13"/>
        <v>0</v>
      </c>
      <c r="X34" s="310">
        <f t="shared" si="13"/>
        <v>0</v>
      </c>
      <c r="Y34" s="310">
        <f t="shared" si="13"/>
        <v>0</v>
      </c>
      <c r="Z34" s="310">
        <f t="shared" si="13"/>
        <v>0</v>
      </c>
      <c r="AA34" s="310">
        <f t="shared" si="13"/>
        <v>0</v>
      </c>
      <c r="AB34" s="152"/>
    </row>
    <row r="35">
      <c r="A35" s="309" t="s">
        <v>277</v>
      </c>
      <c r="B35" s="311">
        <f>SUM(B34:AA34)</f>
        <v>2</v>
      </c>
      <c r="C35" s="208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D35" s="152"/>
      <c r="AE35" s="152"/>
      <c r="AF35" s="152"/>
      <c r="AG35" s="152"/>
    </row>
    <row r="36">
      <c r="A36" s="309" t="s">
        <v>278</v>
      </c>
      <c r="B36" s="311">
        <f>H11/E9</f>
        <v>1.542122621</v>
      </c>
      <c r="C36" s="208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</row>
    <row r="37">
      <c r="A37" s="312" t="s">
        <v>279</v>
      </c>
      <c r="B37" s="207">
        <f>SUM(B32:AA32)</f>
        <v>871785.7829</v>
      </c>
      <c r="C37" s="208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</row>
    <row r="38">
      <c r="A38" s="312" t="s">
        <v>280</v>
      </c>
      <c r="B38" s="313">
        <f>IRR(B31:AA31)</f>
        <v>0.688666317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</row>
    <row r="39">
      <c r="A39" s="312" t="s">
        <v>281</v>
      </c>
      <c r="B39" s="314">
        <f>(SUM(B24:AA24))/(SUM(B30:AA30))</f>
        <v>8.718943703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</row>
    <row r="40">
      <c r="A40" s="152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</row>
    <row r="41">
      <c r="A41" s="210" t="s">
        <v>193</v>
      </c>
      <c r="B41" s="211"/>
      <c r="C41" s="152"/>
      <c r="D41" s="152"/>
      <c r="E41" s="152"/>
      <c r="F41" s="152"/>
      <c r="G41" s="155"/>
      <c r="H41" s="188"/>
      <c r="I41" s="188"/>
      <c r="J41" s="188"/>
      <c r="K41" s="188"/>
      <c r="L41" s="188"/>
      <c r="M41" s="188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</row>
    <row r="42">
      <c r="A42" s="152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</row>
    <row r="43">
      <c r="A43" s="287"/>
      <c r="B43" s="193">
        <v>2025.0</v>
      </c>
      <c r="C43" s="193">
        <v>2026.0</v>
      </c>
      <c r="D43" s="193">
        <v>2027.0</v>
      </c>
      <c r="E43" s="193">
        <v>2028.0</v>
      </c>
      <c r="F43" s="193">
        <v>2029.0</v>
      </c>
      <c r="G43" s="193">
        <v>2030.0</v>
      </c>
      <c r="H43" s="193">
        <v>2031.0</v>
      </c>
      <c r="I43" s="193">
        <v>2032.0</v>
      </c>
      <c r="J43" s="193">
        <v>2033.0</v>
      </c>
      <c r="K43" s="193">
        <v>2034.0</v>
      </c>
      <c r="L43" s="193">
        <v>2035.0</v>
      </c>
      <c r="M43" s="193">
        <v>2036.0</v>
      </c>
      <c r="N43" s="193">
        <v>2037.0</v>
      </c>
      <c r="O43" s="193">
        <v>2038.0</v>
      </c>
      <c r="P43" s="193">
        <v>2039.0</v>
      </c>
      <c r="Q43" s="193">
        <v>2040.0</v>
      </c>
      <c r="R43" s="193">
        <v>2041.0</v>
      </c>
      <c r="S43" s="193">
        <v>2042.0</v>
      </c>
      <c r="T43" s="193">
        <v>2043.0</v>
      </c>
      <c r="U43" s="193">
        <v>2044.0</v>
      </c>
      <c r="V43" s="193">
        <v>2045.0</v>
      </c>
      <c r="W43" s="193">
        <v>2046.0</v>
      </c>
      <c r="X43" s="193">
        <v>2047.0</v>
      </c>
      <c r="Y43" s="193">
        <v>2048.0</v>
      </c>
      <c r="Z43" s="193">
        <v>2049.0</v>
      </c>
      <c r="AA43" s="193">
        <v>2049.0</v>
      </c>
    </row>
    <row r="44">
      <c r="A44" s="192" t="s">
        <v>185</v>
      </c>
      <c r="B44" s="288">
        <v>0.0</v>
      </c>
      <c r="C44" s="288">
        <v>1.0</v>
      </c>
      <c r="D44" s="288">
        <v>2.0</v>
      </c>
      <c r="E44" s="288">
        <v>3.0</v>
      </c>
      <c r="F44" s="288">
        <v>4.0</v>
      </c>
      <c r="G44" s="288">
        <v>5.0</v>
      </c>
      <c r="H44" s="193">
        <v>6.0</v>
      </c>
      <c r="I44" s="193">
        <v>7.0</v>
      </c>
      <c r="J44" s="193">
        <v>8.0</v>
      </c>
      <c r="K44" s="193">
        <v>9.0</v>
      </c>
      <c r="L44" s="193">
        <v>10.0</v>
      </c>
      <c r="M44" s="193">
        <v>11.0</v>
      </c>
      <c r="N44" s="193">
        <v>12.0</v>
      </c>
      <c r="O44" s="193">
        <v>13.0</v>
      </c>
      <c r="P44" s="193">
        <v>14.0</v>
      </c>
      <c r="Q44" s="193">
        <v>15.0</v>
      </c>
      <c r="R44" s="193">
        <v>16.0</v>
      </c>
      <c r="S44" s="193">
        <v>17.0</v>
      </c>
      <c r="T44" s="193">
        <v>18.0</v>
      </c>
      <c r="U44" s="193">
        <v>19.0</v>
      </c>
      <c r="V44" s="193">
        <v>20.0</v>
      </c>
      <c r="W44" s="193">
        <v>21.0</v>
      </c>
      <c r="X44" s="193">
        <v>22.0</v>
      </c>
      <c r="Y44" s="193">
        <v>23.0</v>
      </c>
      <c r="Z44" s="193">
        <v>24.0</v>
      </c>
      <c r="AA44" s="193">
        <v>25.0</v>
      </c>
    </row>
    <row r="45">
      <c r="A45" s="315" t="s">
        <v>282</v>
      </c>
      <c r="B45" s="316">
        <f>B21*'CO2 Emission Data'!$D$6</f>
        <v>0</v>
      </c>
      <c r="C45" s="316">
        <f>C21*'CO2 Emission Data'!$D$6</f>
        <v>0.08281694672</v>
      </c>
      <c r="D45" s="316">
        <f>D21*'CO2 Emission Data'!$D$6</f>
        <v>0.08240286199</v>
      </c>
      <c r="E45" s="316">
        <f>E21*'CO2 Emission Data'!$D$6</f>
        <v>0.08199084768</v>
      </c>
      <c r="F45" s="316">
        <f>F21*'CO2 Emission Data'!$D$6</f>
        <v>0.08158089344</v>
      </c>
      <c r="G45" s="316">
        <f>G21*'CO2 Emission Data'!$D$6</f>
        <v>0.08117298897</v>
      </c>
      <c r="H45" s="316">
        <f>H21*'CO2 Emission Data'!$D$6</f>
        <v>0.08076712403</v>
      </c>
      <c r="I45" s="316">
        <f>I21*'CO2 Emission Data'!$D$6</f>
        <v>0.08036328841</v>
      </c>
      <c r="J45" s="316">
        <f>J21*'CO2 Emission Data'!$D$6</f>
        <v>0.07996147196</v>
      </c>
      <c r="K45" s="316">
        <f>K21*'CO2 Emission Data'!$D$6</f>
        <v>0.0795616646</v>
      </c>
      <c r="L45" s="316">
        <f>L21*'CO2 Emission Data'!$D$6</f>
        <v>0.07916385628</v>
      </c>
      <c r="M45" s="316">
        <f>M21*'CO2 Emission Data'!$D$6</f>
        <v>0.078768037</v>
      </c>
      <c r="N45" s="316">
        <f>N21*'CO2 Emission Data'!$D$6</f>
        <v>0.07837419681</v>
      </c>
      <c r="O45" s="316">
        <f>O21*'CO2 Emission Data'!$D$6</f>
        <v>0.07798232583</v>
      </c>
      <c r="P45" s="316">
        <f>P21*'CO2 Emission Data'!$D$6</f>
        <v>0.0775924142</v>
      </c>
      <c r="Q45" s="316">
        <f>Q21*'CO2 Emission Data'!$D$6</f>
        <v>0.07720445213</v>
      </c>
      <c r="R45" s="316">
        <f>R21*'CO2 Emission Data'!$D$6</f>
        <v>0.07681842987</v>
      </c>
      <c r="S45" s="316">
        <f>S21*'CO2 Emission Data'!$D$6</f>
        <v>0.07643433772</v>
      </c>
      <c r="T45" s="316">
        <f>T21*'CO2 Emission Data'!$D$6</f>
        <v>0.07605216603</v>
      </c>
      <c r="U45" s="316">
        <f>U21*'CO2 Emission Data'!$D$6</f>
        <v>0.0756719052</v>
      </c>
      <c r="V45" s="316">
        <f>V21*'CO2 Emission Data'!$D$6</f>
        <v>0.07529354568</v>
      </c>
      <c r="W45" s="316">
        <f>W21*'CO2 Emission Data'!$D$6</f>
        <v>0.07491707795</v>
      </c>
      <c r="X45" s="316">
        <f>X21*'CO2 Emission Data'!$D$6</f>
        <v>0.07454249256</v>
      </c>
      <c r="Y45" s="316">
        <f>Y21*'CO2 Emission Data'!$D$6</f>
        <v>0.07416978009</v>
      </c>
      <c r="Z45" s="316">
        <f>Z21*'CO2 Emission Data'!$D$6</f>
        <v>0.07379893119</v>
      </c>
      <c r="AA45" s="316">
        <f>AA21*'CO2 Emission Data'!$D$6</f>
        <v>0.07342993654</v>
      </c>
    </row>
    <row r="46">
      <c r="A46" s="315" t="s">
        <v>283</v>
      </c>
      <c r="B46" s="317">
        <f t="shared" ref="B46:AA46" si="14">B45*$E$12</f>
        <v>0</v>
      </c>
      <c r="C46" s="317">
        <f t="shared" si="14"/>
        <v>3.312677869</v>
      </c>
      <c r="D46" s="317">
        <f t="shared" si="14"/>
        <v>3.296114479</v>
      </c>
      <c r="E46" s="317">
        <f t="shared" si="14"/>
        <v>3.279633907</v>
      </c>
      <c r="F46" s="317">
        <f t="shared" si="14"/>
        <v>3.263235738</v>
      </c>
      <c r="G46" s="317">
        <f t="shared" si="14"/>
        <v>3.246919559</v>
      </c>
      <c r="H46" s="317">
        <f t="shared" si="14"/>
        <v>3.230684961</v>
      </c>
      <c r="I46" s="317">
        <f t="shared" si="14"/>
        <v>3.214531536</v>
      </c>
      <c r="J46" s="317">
        <f t="shared" si="14"/>
        <v>3.198458879</v>
      </c>
      <c r="K46" s="317">
        <f t="shared" si="14"/>
        <v>3.182466584</v>
      </c>
      <c r="L46" s="317">
        <f t="shared" si="14"/>
        <v>3.166554251</v>
      </c>
      <c r="M46" s="317">
        <f t="shared" si="14"/>
        <v>3.15072148</v>
      </c>
      <c r="N46" s="317">
        <f t="shared" si="14"/>
        <v>3.134967873</v>
      </c>
      <c r="O46" s="317">
        <f t="shared" si="14"/>
        <v>3.119293033</v>
      </c>
      <c r="P46" s="317">
        <f t="shared" si="14"/>
        <v>3.103696568</v>
      </c>
      <c r="Q46" s="317">
        <f t="shared" si="14"/>
        <v>3.088178085</v>
      </c>
      <c r="R46" s="317">
        <f t="shared" si="14"/>
        <v>3.072737195</v>
      </c>
      <c r="S46" s="317">
        <f t="shared" si="14"/>
        <v>3.057373509</v>
      </c>
      <c r="T46" s="317">
        <f t="shared" si="14"/>
        <v>3.042086641</v>
      </c>
      <c r="U46" s="317">
        <f t="shared" si="14"/>
        <v>3.026876208</v>
      </c>
      <c r="V46" s="317">
        <f t="shared" si="14"/>
        <v>3.011741827</v>
      </c>
      <c r="W46" s="317">
        <f t="shared" si="14"/>
        <v>2.996683118</v>
      </c>
      <c r="X46" s="317">
        <f t="shared" si="14"/>
        <v>2.981699702</v>
      </c>
      <c r="Y46" s="317">
        <f t="shared" si="14"/>
        <v>2.966791204</v>
      </c>
      <c r="Z46" s="317">
        <f t="shared" si="14"/>
        <v>2.951957248</v>
      </c>
      <c r="AA46" s="317">
        <f t="shared" si="14"/>
        <v>2.937197462</v>
      </c>
    </row>
    <row r="47">
      <c r="A47" s="315" t="s">
        <v>284</v>
      </c>
      <c r="B47" s="317">
        <f t="shared" ref="B47:AA47" si="15">B46/(1+$B$7)^B44</f>
        <v>0</v>
      </c>
      <c r="C47" s="317">
        <f t="shared" si="15"/>
        <v>3.154931304</v>
      </c>
      <c r="D47" s="317">
        <f t="shared" si="15"/>
        <v>2.989672997</v>
      </c>
      <c r="E47" s="317">
        <f t="shared" si="15"/>
        <v>2.833071078</v>
      </c>
      <c r="F47" s="317">
        <f t="shared" si="15"/>
        <v>2.684672117</v>
      </c>
      <c r="G47" s="317">
        <f t="shared" si="15"/>
        <v>2.544046435</v>
      </c>
      <c r="H47" s="317">
        <f t="shared" si="15"/>
        <v>2.41078686</v>
      </c>
      <c r="I47" s="317">
        <f t="shared" si="15"/>
        <v>2.284507548</v>
      </c>
      <c r="J47" s="317">
        <f t="shared" si="15"/>
        <v>2.164842867</v>
      </c>
      <c r="K47" s="317">
        <f t="shared" si="15"/>
        <v>2.051446336</v>
      </c>
      <c r="L47" s="317">
        <f t="shared" si="15"/>
        <v>1.943989623</v>
      </c>
      <c r="M47" s="317">
        <f t="shared" si="15"/>
        <v>1.842161595</v>
      </c>
      <c r="N47" s="317">
        <f t="shared" si="15"/>
        <v>1.745667416</v>
      </c>
      <c r="O47" s="317">
        <f t="shared" si="15"/>
        <v>1.654227694</v>
      </c>
      <c r="P47" s="317">
        <f t="shared" si="15"/>
        <v>1.567577672</v>
      </c>
      <c r="Q47" s="317">
        <f t="shared" si="15"/>
        <v>1.485466461</v>
      </c>
      <c r="R47" s="317">
        <f t="shared" si="15"/>
        <v>1.407656313</v>
      </c>
      <c r="S47" s="317">
        <f t="shared" si="15"/>
        <v>1.333921935</v>
      </c>
      <c r="T47" s="317">
        <f t="shared" si="15"/>
        <v>1.264049833</v>
      </c>
      <c r="U47" s="317">
        <f t="shared" si="15"/>
        <v>1.197837699</v>
      </c>
      <c r="V47" s="317">
        <f t="shared" si="15"/>
        <v>1.13509382</v>
      </c>
      <c r="W47" s="317">
        <f t="shared" si="15"/>
        <v>1.075636524</v>
      </c>
      <c r="X47" s="317">
        <f t="shared" si="15"/>
        <v>1.019293659</v>
      </c>
      <c r="Y47" s="317">
        <f t="shared" si="15"/>
        <v>0.9659020862</v>
      </c>
      <c r="Z47" s="317">
        <f t="shared" si="15"/>
        <v>0.9153072151</v>
      </c>
      <c r="AA47" s="317">
        <f t="shared" si="15"/>
        <v>0.8673625514</v>
      </c>
    </row>
    <row r="48">
      <c r="A48" s="315" t="s">
        <v>285</v>
      </c>
      <c r="B48" s="317">
        <f>B47</f>
        <v>0</v>
      </c>
      <c r="C48" s="317">
        <f t="shared" ref="C48:AA48" si="16">B48+C47</f>
        <v>3.154931304</v>
      </c>
      <c r="D48" s="317">
        <f t="shared" si="16"/>
        <v>6.144604301</v>
      </c>
      <c r="E48" s="317">
        <f t="shared" si="16"/>
        <v>8.977675379</v>
      </c>
      <c r="F48" s="317">
        <f t="shared" si="16"/>
        <v>11.6623475</v>
      </c>
      <c r="G48" s="317">
        <f t="shared" si="16"/>
        <v>14.20639393</v>
      </c>
      <c r="H48" s="317">
        <f t="shared" si="16"/>
        <v>16.61718079</v>
      </c>
      <c r="I48" s="317">
        <f t="shared" si="16"/>
        <v>18.90168834</v>
      </c>
      <c r="J48" s="317">
        <f t="shared" si="16"/>
        <v>21.06653121</v>
      </c>
      <c r="K48" s="317">
        <f t="shared" si="16"/>
        <v>23.11797754</v>
      </c>
      <c r="L48" s="317">
        <f t="shared" si="16"/>
        <v>25.06196716</v>
      </c>
      <c r="M48" s="317">
        <f t="shared" si="16"/>
        <v>26.90412876</v>
      </c>
      <c r="N48" s="317">
        <f t="shared" si="16"/>
        <v>28.64979618</v>
      </c>
      <c r="O48" s="317">
        <f t="shared" si="16"/>
        <v>30.30402387</v>
      </c>
      <c r="P48" s="317">
        <f t="shared" si="16"/>
        <v>31.87160154</v>
      </c>
      <c r="Q48" s="317">
        <f t="shared" si="16"/>
        <v>33.357068</v>
      </c>
      <c r="R48" s="317">
        <f t="shared" si="16"/>
        <v>34.76472432</v>
      </c>
      <c r="S48" s="317">
        <f t="shared" si="16"/>
        <v>36.09864625</v>
      </c>
      <c r="T48" s="317">
        <f t="shared" si="16"/>
        <v>37.36269608</v>
      </c>
      <c r="U48" s="317">
        <f t="shared" si="16"/>
        <v>38.56053378</v>
      </c>
      <c r="V48" s="317">
        <f t="shared" si="16"/>
        <v>39.6956276</v>
      </c>
      <c r="W48" s="317">
        <f t="shared" si="16"/>
        <v>40.77126413</v>
      </c>
      <c r="X48" s="317">
        <f t="shared" si="16"/>
        <v>41.79055779</v>
      </c>
      <c r="Y48" s="317">
        <f t="shared" si="16"/>
        <v>42.75645987</v>
      </c>
      <c r="Z48" s="317">
        <f t="shared" si="16"/>
        <v>43.67176709</v>
      </c>
      <c r="AA48" s="317">
        <f t="shared" si="16"/>
        <v>44.53912964</v>
      </c>
    </row>
    <row r="49">
      <c r="A49" s="218" t="s">
        <v>286</v>
      </c>
      <c r="B49" s="219">
        <f t="shared" ref="B49:AA49" si="17">B31+B46</f>
        <v>-104739.9658</v>
      </c>
      <c r="C49" s="219">
        <f t="shared" si="17"/>
        <v>72662.25486</v>
      </c>
      <c r="D49" s="219">
        <f t="shared" si="17"/>
        <v>72296.03415</v>
      </c>
      <c r="E49" s="219">
        <f t="shared" si="17"/>
        <v>71931.64453</v>
      </c>
      <c r="F49" s="219">
        <f t="shared" si="17"/>
        <v>71569.07687</v>
      </c>
      <c r="G49" s="219">
        <f t="shared" si="17"/>
        <v>71208.32204</v>
      </c>
      <c r="H49" s="219">
        <f t="shared" si="17"/>
        <v>70849.37098</v>
      </c>
      <c r="I49" s="219">
        <f t="shared" si="17"/>
        <v>70492.21469</v>
      </c>
      <c r="J49" s="219">
        <f t="shared" si="17"/>
        <v>70136.84417</v>
      </c>
      <c r="K49" s="219">
        <f t="shared" si="17"/>
        <v>69783.2505</v>
      </c>
      <c r="L49" s="219">
        <f t="shared" si="17"/>
        <v>69431.42481</v>
      </c>
      <c r="M49" s="219">
        <f t="shared" si="17"/>
        <v>69081.35824</v>
      </c>
      <c r="N49" s="219">
        <f t="shared" si="17"/>
        <v>68733.04201</v>
      </c>
      <c r="O49" s="219">
        <f t="shared" si="17"/>
        <v>68386.46735</v>
      </c>
      <c r="P49" s="219">
        <f t="shared" si="17"/>
        <v>68041.62557</v>
      </c>
      <c r="Q49" s="219">
        <f t="shared" si="17"/>
        <v>67698.508</v>
      </c>
      <c r="R49" s="219">
        <f t="shared" si="17"/>
        <v>67357.10602</v>
      </c>
      <c r="S49" s="219">
        <f t="shared" si="17"/>
        <v>67017.41104</v>
      </c>
      <c r="T49" s="219">
        <f t="shared" si="17"/>
        <v>66679.41455</v>
      </c>
      <c r="U49" s="219">
        <f t="shared" si="17"/>
        <v>66343.10803</v>
      </c>
      <c r="V49" s="219">
        <f t="shared" si="17"/>
        <v>66008.48305</v>
      </c>
      <c r="W49" s="219">
        <f t="shared" si="17"/>
        <v>65675.53119</v>
      </c>
      <c r="X49" s="219">
        <f t="shared" si="17"/>
        <v>65344.24409</v>
      </c>
      <c r="Y49" s="219">
        <f t="shared" si="17"/>
        <v>65014.61342</v>
      </c>
      <c r="Z49" s="219">
        <f t="shared" si="17"/>
        <v>64686.63091</v>
      </c>
      <c r="AA49" s="219">
        <f t="shared" si="17"/>
        <v>64360.28831</v>
      </c>
    </row>
    <row r="50">
      <c r="A50" s="218" t="s">
        <v>287</v>
      </c>
      <c r="B50" s="220">
        <f t="shared" ref="B50:AA50" si="18">B49/(1+$B$7)^B44</f>
        <v>-104739.9658</v>
      </c>
      <c r="C50" s="220">
        <f t="shared" si="18"/>
        <v>69202.14749</v>
      </c>
      <c r="D50" s="220">
        <f t="shared" si="18"/>
        <v>65574.63415</v>
      </c>
      <c r="E50" s="220">
        <f t="shared" si="18"/>
        <v>62137.25907</v>
      </c>
      <c r="F50" s="220">
        <f t="shared" si="18"/>
        <v>58880.05666</v>
      </c>
      <c r="G50" s="220">
        <f t="shared" si="18"/>
        <v>55793.58359</v>
      </c>
      <c r="H50" s="220">
        <f t="shared" si="18"/>
        <v>52868.89147</v>
      </c>
      <c r="I50" s="220">
        <f t="shared" si="18"/>
        <v>50097.5009</v>
      </c>
      <c r="J50" s="220">
        <f t="shared" si="18"/>
        <v>47471.37686</v>
      </c>
      <c r="K50" s="220">
        <f t="shared" si="18"/>
        <v>44982.90548</v>
      </c>
      <c r="L50" s="220">
        <f t="shared" si="18"/>
        <v>42624.8719</v>
      </c>
      <c r="M50" s="220">
        <f t="shared" si="18"/>
        <v>40390.43943</v>
      </c>
      <c r="N50" s="220">
        <f t="shared" si="18"/>
        <v>38273.12965</v>
      </c>
      <c r="O50" s="220">
        <f t="shared" si="18"/>
        <v>36266.80373</v>
      </c>
      <c r="P50" s="220">
        <f t="shared" si="18"/>
        <v>34365.64455</v>
      </c>
      <c r="Q50" s="220">
        <f t="shared" si="18"/>
        <v>32564.13986</v>
      </c>
      <c r="R50" s="220">
        <f t="shared" si="18"/>
        <v>30857.06635</v>
      </c>
      <c r="S50" s="220">
        <f t="shared" si="18"/>
        <v>29239.47445</v>
      </c>
      <c r="T50" s="220">
        <f t="shared" si="18"/>
        <v>27706.674</v>
      </c>
      <c r="U50" s="220">
        <f t="shared" si="18"/>
        <v>26254.22066</v>
      </c>
      <c r="V50" s="220">
        <f t="shared" si="18"/>
        <v>24877.90304</v>
      </c>
      <c r="W50" s="220">
        <f t="shared" si="18"/>
        <v>23573.73046</v>
      </c>
      <c r="X50" s="220">
        <f t="shared" si="18"/>
        <v>22337.92142</v>
      </c>
      <c r="Y50" s="220">
        <f t="shared" si="18"/>
        <v>21166.89259</v>
      </c>
      <c r="Z50" s="220">
        <f t="shared" si="18"/>
        <v>20057.24847</v>
      </c>
      <c r="AA50" s="220">
        <f t="shared" si="18"/>
        <v>19005.77153</v>
      </c>
    </row>
    <row r="51">
      <c r="A51" s="204" t="s">
        <v>288</v>
      </c>
      <c r="B51" s="221">
        <f>B50</f>
        <v>-104739.9658</v>
      </c>
      <c r="C51" s="221">
        <f t="shared" ref="C51:AA51" si="19">B51+C50</f>
        <v>-35537.81826</v>
      </c>
      <c r="D51" s="221">
        <f t="shared" si="19"/>
        <v>30036.81588</v>
      </c>
      <c r="E51" s="221">
        <f t="shared" si="19"/>
        <v>92174.07495</v>
      </c>
      <c r="F51" s="221">
        <f t="shared" si="19"/>
        <v>151054.1316</v>
      </c>
      <c r="G51" s="221">
        <f t="shared" si="19"/>
        <v>206847.7152</v>
      </c>
      <c r="H51" s="221">
        <f t="shared" si="19"/>
        <v>259716.6067</v>
      </c>
      <c r="I51" s="221">
        <f t="shared" si="19"/>
        <v>309814.1076</v>
      </c>
      <c r="J51" s="221">
        <f t="shared" si="19"/>
        <v>357285.4844</v>
      </c>
      <c r="K51" s="221">
        <f t="shared" si="19"/>
        <v>402268.3899</v>
      </c>
      <c r="L51" s="221">
        <f t="shared" si="19"/>
        <v>444893.2618</v>
      </c>
      <c r="M51" s="221">
        <f t="shared" si="19"/>
        <v>485283.7012</v>
      </c>
      <c r="N51" s="221">
        <f t="shared" si="19"/>
        <v>523556.8309</v>
      </c>
      <c r="O51" s="221">
        <f t="shared" si="19"/>
        <v>559823.6346</v>
      </c>
      <c r="P51" s="221">
        <f t="shared" si="19"/>
        <v>594189.2792</v>
      </c>
      <c r="Q51" s="221">
        <f t="shared" si="19"/>
        <v>626753.419</v>
      </c>
      <c r="R51" s="221">
        <f t="shared" si="19"/>
        <v>657610.4854</v>
      </c>
      <c r="S51" s="221">
        <f t="shared" si="19"/>
        <v>686849.9598</v>
      </c>
      <c r="T51" s="221">
        <f t="shared" si="19"/>
        <v>714556.6338</v>
      </c>
      <c r="U51" s="221">
        <f t="shared" si="19"/>
        <v>740810.8545</v>
      </c>
      <c r="V51" s="221">
        <f t="shared" si="19"/>
        <v>765688.7575</v>
      </c>
      <c r="W51" s="221">
        <f t="shared" si="19"/>
        <v>789262.488</v>
      </c>
      <c r="X51" s="221">
        <f t="shared" si="19"/>
        <v>811600.4094</v>
      </c>
      <c r="Y51" s="221">
        <f t="shared" si="19"/>
        <v>832767.302</v>
      </c>
      <c r="Z51" s="221">
        <f t="shared" si="19"/>
        <v>852824.5505</v>
      </c>
      <c r="AA51" s="221">
        <f t="shared" si="19"/>
        <v>871830.322</v>
      </c>
    </row>
    <row r="52">
      <c r="A52" s="309" t="s">
        <v>276</v>
      </c>
      <c r="B52" s="318">
        <f t="shared" ref="B52:AA52" si="20">IF(B51&lt;0,1,0)</f>
        <v>1</v>
      </c>
      <c r="C52" s="318">
        <f t="shared" si="20"/>
        <v>1</v>
      </c>
      <c r="D52" s="318">
        <f t="shared" si="20"/>
        <v>0</v>
      </c>
      <c r="E52" s="318">
        <f t="shared" si="20"/>
        <v>0</v>
      </c>
      <c r="F52" s="318">
        <f t="shared" si="20"/>
        <v>0</v>
      </c>
      <c r="G52" s="318">
        <f t="shared" si="20"/>
        <v>0</v>
      </c>
      <c r="H52" s="318">
        <f t="shared" si="20"/>
        <v>0</v>
      </c>
      <c r="I52" s="318">
        <f t="shared" si="20"/>
        <v>0</v>
      </c>
      <c r="J52" s="318">
        <f t="shared" si="20"/>
        <v>0</v>
      </c>
      <c r="K52" s="318">
        <f t="shared" si="20"/>
        <v>0</v>
      </c>
      <c r="L52" s="318">
        <f t="shared" si="20"/>
        <v>0</v>
      </c>
      <c r="M52" s="318">
        <f t="shared" si="20"/>
        <v>0</v>
      </c>
      <c r="N52" s="318">
        <f t="shared" si="20"/>
        <v>0</v>
      </c>
      <c r="O52" s="318">
        <f t="shared" si="20"/>
        <v>0</v>
      </c>
      <c r="P52" s="318">
        <f t="shared" si="20"/>
        <v>0</v>
      </c>
      <c r="Q52" s="318">
        <f t="shared" si="20"/>
        <v>0</v>
      </c>
      <c r="R52" s="318">
        <f t="shared" si="20"/>
        <v>0</v>
      </c>
      <c r="S52" s="318">
        <f t="shared" si="20"/>
        <v>0</v>
      </c>
      <c r="T52" s="318">
        <f t="shared" si="20"/>
        <v>0</v>
      </c>
      <c r="U52" s="318">
        <f t="shared" si="20"/>
        <v>0</v>
      </c>
      <c r="V52" s="318">
        <f t="shared" si="20"/>
        <v>0</v>
      </c>
      <c r="W52" s="318">
        <f t="shared" si="20"/>
        <v>0</v>
      </c>
      <c r="X52" s="318">
        <f t="shared" si="20"/>
        <v>0</v>
      </c>
      <c r="Y52" s="318">
        <f t="shared" si="20"/>
        <v>0</v>
      </c>
      <c r="Z52" s="318">
        <f t="shared" si="20"/>
        <v>0</v>
      </c>
      <c r="AA52" s="318">
        <f t="shared" si="20"/>
        <v>0</v>
      </c>
    </row>
    <row r="53">
      <c r="A53" s="309" t="s">
        <v>277</v>
      </c>
      <c r="B53" s="319">
        <f>SUM(B52:AA52)</f>
        <v>2</v>
      </c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320"/>
      <c r="AE53" s="320"/>
      <c r="AF53" s="320"/>
      <c r="AG53" s="155"/>
    </row>
    <row r="54">
      <c r="A54" s="309" t="s">
        <v>278</v>
      </c>
      <c r="B54" s="319">
        <f>H11/(E9+E13)</f>
        <v>1.470405506</v>
      </c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320"/>
      <c r="AE54" s="320"/>
      <c r="AF54" s="320"/>
      <c r="AG54" s="155"/>
    </row>
    <row r="55">
      <c r="A55" s="244" t="s">
        <v>289</v>
      </c>
      <c r="B55" s="223">
        <f>SUM(B47:AA47)</f>
        <v>44.53912964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</row>
    <row r="56">
      <c r="A56" s="312" t="s">
        <v>290</v>
      </c>
      <c r="B56" s="224">
        <f>B37+B55</f>
        <v>871830.322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</row>
    <row r="57">
      <c r="A57" s="312" t="s">
        <v>291</v>
      </c>
      <c r="B57" s="321">
        <f>IRR(B49:AA49)</f>
        <v>0.688697947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</row>
    <row r="58">
      <c r="A58" s="312" t="s">
        <v>292</v>
      </c>
      <c r="B58" s="322">
        <f>(SUM(B24:AA24)+SUM(B47:AA47))/(SUM(B30:AA30))</f>
        <v>8.719338061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</row>
    <row r="59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</row>
    <row r="60">
      <c r="A60" s="152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</row>
    <row r="61">
      <c r="A61" s="283" t="s">
        <v>293</v>
      </c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</row>
    <row r="62">
      <c r="A62" s="152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</row>
    <row r="63">
      <c r="A63" s="323" t="s">
        <v>294</v>
      </c>
      <c r="B63" s="324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</row>
    <row r="64">
      <c r="A64" s="325" t="s">
        <v>295</v>
      </c>
      <c r="B64" s="326">
        <f>($B$29*$B$7)/(1-(1+$B$7)^-$B$6)</f>
        <v>7431.557948</v>
      </c>
      <c r="C64" s="327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</row>
    <row r="65">
      <c r="A65" s="328" t="s">
        <v>296</v>
      </c>
      <c r="B65" s="329">
        <f>(($B$29+M47)*$B$7)/(1-(1+$B$7)^-$B$6)</f>
        <v>7431.688654</v>
      </c>
      <c r="C65" s="327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</row>
    <row r="66">
      <c r="A66" s="330" t="s">
        <v>297</v>
      </c>
      <c r="B66" s="326">
        <f>H13*H9*1000</f>
        <v>581.8886986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</row>
    <row r="67">
      <c r="A67" s="330" t="s">
        <v>298</v>
      </c>
      <c r="B67" s="326">
        <f>H14*K8*1000</f>
        <v>0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</row>
    <row r="68">
      <c r="A68" s="330" t="s">
        <v>299</v>
      </c>
      <c r="B68" s="326">
        <f>$H$15*C21*1000*$H$16</f>
        <v>0</v>
      </c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</row>
    <row r="69">
      <c r="A69" s="331" t="s">
        <v>300</v>
      </c>
      <c r="B69" s="332">
        <f>K8</f>
        <v>339.823</v>
      </c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</row>
    <row r="70">
      <c r="A70" s="333" t="s">
        <v>301</v>
      </c>
      <c r="B70" s="334">
        <f>(SUM(B66:B68)+B64)/(B69*1000)</f>
        <v>0.02358123684</v>
      </c>
      <c r="C70" s="327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</row>
    <row r="71">
      <c r="A71" s="335" t="s">
        <v>302</v>
      </c>
      <c r="B71" s="336">
        <f>(SUM(B65:B68)/(B69*1000))</f>
        <v>0.02358162147</v>
      </c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</row>
    <row r="72">
      <c r="A72" s="337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52"/>
      <c r="AG72" s="152"/>
    </row>
    <row r="73">
      <c r="A73" s="337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52"/>
      <c r="AG73" s="152"/>
    </row>
    <row r="74">
      <c r="A74" s="337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</row>
    <row r="75">
      <c r="A75" s="152"/>
      <c r="B75" s="152"/>
      <c r="C75" s="179" t="s">
        <v>203</v>
      </c>
      <c r="D75" s="179" t="s">
        <v>204</v>
      </c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2"/>
      <c r="AD75" s="152"/>
      <c r="AE75" s="152"/>
      <c r="AF75" s="152"/>
      <c r="AG75" s="152"/>
    </row>
    <row r="76">
      <c r="A76" s="152"/>
      <c r="B76" s="179">
        <v>1.0</v>
      </c>
      <c r="C76" s="246">
        <v>69198.99255828108</v>
      </c>
      <c r="D76" s="246">
        <v>69202.14748958469</v>
      </c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</row>
    <row r="77">
      <c r="A77" s="152"/>
      <c r="B77" s="179">
        <v>25.0</v>
      </c>
      <c r="C77" s="246">
        <v>872186.0</v>
      </c>
      <c r="D77" s="246">
        <v>843220.0</v>
      </c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/>
      <c r="AC79" s="152"/>
      <c r="AD79" s="152"/>
      <c r="AE79" s="152"/>
      <c r="AF79" s="152"/>
      <c r="AG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/>
      <c r="AC81" s="152"/>
      <c r="AD81" s="152"/>
      <c r="AE81" s="152"/>
      <c r="AF81" s="152"/>
      <c r="AG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/>
      <c r="AC84" s="152"/>
      <c r="AD84" s="152"/>
      <c r="AE84" s="152"/>
      <c r="AF84" s="152"/>
      <c r="AG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/>
      <c r="AC85" s="152"/>
      <c r="AD85" s="152"/>
      <c r="AE85" s="152"/>
      <c r="AF85" s="152"/>
      <c r="AG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/>
      <c r="AC93" s="152"/>
      <c r="AD93" s="152"/>
      <c r="AE93" s="152"/>
      <c r="AF93" s="152"/>
      <c r="AG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2"/>
      <c r="AD96" s="152"/>
      <c r="AE96" s="152"/>
      <c r="AF96" s="152"/>
      <c r="AG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/>
      <c r="AC97" s="152"/>
      <c r="AD97" s="152"/>
      <c r="AE97" s="152"/>
      <c r="AF97" s="152"/>
      <c r="AG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152"/>
      <c r="AC99" s="152"/>
      <c r="AD99" s="152"/>
      <c r="AE99" s="152"/>
      <c r="AF99" s="152"/>
      <c r="AG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152"/>
      <c r="AC100" s="152"/>
      <c r="AD100" s="152"/>
      <c r="AE100" s="152"/>
      <c r="AF100" s="152"/>
      <c r="AG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2"/>
      <c r="AD108" s="152"/>
      <c r="AE108" s="152"/>
      <c r="AF108" s="152"/>
      <c r="AG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  <c r="AA109" s="152"/>
      <c r="AB109" s="152"/>
      <c r="AC109" s="152"/>
      <c r="AD109" s="152"/>
      <c r="AE109" s="152"/>
      <c r="AF109" s="152"/>
      <c r="AG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B110" s="152"/>
      <c r="AC110" s="152"/>
      <c r="AD110" s="152"/>
      <c r="AE110" s="152"/>
      <c r="AF110" s="152"/>
      <c r="AG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B111" s="152"/>
      <c r="AC111" s="152"/>
      <c r="AD111" s="152"/>
      <c r="AE111" s="152"/>
      <c r="AF111" s="152"/>
      <c r="AG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B112" s="152"/>
      <c r="AC112" s="152"/>
      <c r="AD112" s="152"/>
      <c r="AE112" s="152"/>
      <c r="AF112" s="152"/>
      <c r="AG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  <c r="AG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B115" s="152"/>
      <c r="AC115" s="152"/>
      <c r="AD115" s="152"/>
      <c r="AE115" s="152"/>
      <c r="AF115" s="152"/>
      <c r="AG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B117" s="152"/>
      <c r="AC117" s="152"/>
      <c r="AD117" s="152"/>
      <c r="AE117" s="152"/>
      <c r="AF117" s="152"/>
      <c r="AG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B118" s="152"/>
      <c r="AC118" s="152"/>
      <c r="AD118" s="152"/>
      <c r="AE118" s="152"/>
      <c r="AF118" s="152"/>
      <c r="AG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B119" s="152"/>
      <c r="AC119" s="152"/>
      <c r="AD119" s="152"/>
      <c r="AE119" s="152"/>
      <c r="AF119" s="152"/>
      <c r="AG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B121" s="152"/>
      <c r="AC121" s="152"/>
      <c r="AD121" s="152"/>
      <c r="AE121" s="152"/>
      <c r="AF121" s="152"/>
      <c r="AG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2"/>
      <c r="AD122" s="152"/>
      <c r="AE122" s="152"/>
      <c r="AF122" s="152"/>
      <c r="AG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B123" s="152"/>
      <c r="AC123" s="152"/>
      <c r="AD123" s="152"/>
      <c r="AE123" s="152"/>
      <c r="AF123" s="152"/>
      <c r="AG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B124" s="152"/>
      <c r="AC124" s="152"/>
      <c r="AD124" s="152"/>
      <c r="AE124" s="152"/>
      <c r="AF124" s="152"/>
      <c r="AG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B126" s="152"/>
      <c r="AC126" s="152"/>
      <c r="AD126" s="152"/>
      <c r="AE126" s="152"/>
      <c r="AF126" s="152"/>
      <c r="AG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B127" s="152"/>
      <c r="AC127" s="152"/>
      <c r="AD127" s="152"/>
      <c r="AE127" s="152"/>
      <c r="AF127" s="152"/>
      <c r="AG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B129" s="152"/>
      <c r="AC129" s="152"/>
      <c r="AD129" s="152"/>
      <c r="AE129" s="152"/>
      <c r="AF129" s="152"/>
      <c r="AG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B130" s="152"/>
      <c r="AC130" s="152"/>
      <c r="AD130" s="152"/>
      <c r="AE130" s="152"/>
      <c r="AF130" s="152"/>
      <c r="AG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B131" s="152"/>
      <c r="AC131" s="152"/>
      <c r="AD131" s="152"/>
      <c r="AE131" s="152"/>
      <c r="AF131" s="152"/>
      <c r="AG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B132" s="152"/>
      <c r="AC132" s="152"/>
      <c r="AD132" s="152"/>
      <c r="AE132" s="152"/>
      <c r="AF132" s="152"/>
      <c r="AG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B133" s="152"/>
      <c r="AC133" s="152"/>
      <c r="AD133" s="152"/>
      <c r="AE133" s="152"/>
      <c r="AF133" s="152"/>
      <c r="AG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B134" s="152"/>
      <c r="AC134" s="152"/>
      <c r="AD134" s="152"/>
      <c r="AE134" s="152"/>
      <c r="AF134" s="152"/>
      <c r="AG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B135" s="152"/>
      <c r="AC135" s="152"/>
      <c r="AD135" s="152"/>
      <c r="AE135" s="152"/>
      <c r="AF135" s="152"/>
      <c r="AG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2"/>
      <c r="AD136" s="152"/>
      <c r="AE136" s="152"/>
      <c r="AF136" s="152"/>
      <c r="AG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B137" s="152"/>
      <c r="AC137" s="152"/>
      <c r="AD137" s="152"/>
      <c r="AE137" s="152"/>
      <c r="AF137" s="152"/>
      <c r="AG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B146" s="152"/>
      <c r="AC146" s="152"/>
      <c r="AD146" s="152"/>
      <c r="AE146" s="152"/>
      <c r="AF146" s="152"/>
      <c r="AG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152"/>
      <c r="AC148" s="152"/>
      <c r="AD148" s="152"/>
      <c r="AE148" s="152"/>
      <c r="AF148" s="152"/>
      <c r="AG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  <c r="AA149" s="152"/>
      <c r="AB149" s="152"/>
      <c r="AC149" s="152"/>
      <c r="AD149" s="152"/>
      <c r="AE149" s="152"/>
      <c r="AF149" s="152"/>
      <c r="AG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  <c r="AA150" s="152"/>
      <c r="AB150" s="152"/>
      <c r="AC150" s="152"/>
      <c r="AD150" s="152"/>
      <c r="AE150" s="152"/>
      <c r="AF150" s="152"/>
      <c r="AG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  <c r="AA152" s="152"/>
      <c r="AB152" s="152"/>
      <c r="AC152" s="152"/>
      <c r="AD152" s="152"/>
      <c r="AE152" s="152"/>
      <c r="AF152" s="152"/>
      <c r="AG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  <c r="AA153" s="152"/>
      <c r="AB153" s="152"/>
      <c r="AC153" s="152"/>
      <c r="AD153" s="152"/>
      <c r="AE153" s="152"/>
      <c r="AF153" s="152"/>
      <c r="AG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  <c r="AA154" s="152"/>
      <c r="AB154" s="152"/>
      <c r="AC154" s="152"/>
      <c r="AD154" s="152"/>
      <c r="AE154" s="152"/>
      <c r="AF154" s="152"/>
      <c r="AG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  <c r="AA155" s="152"/>
      <c r="AB155" s="152"/>
      <c r="AC155" s="152"/>
      <c r="AD155" s="152"/>
      <c r="AE155" s="152"/>
      <c r="AF155" s="152"/>
      <c r="AG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  <c r="AA156" s="152"/>
      <c r="AB156" s="152"/>
      <c r="AC156" s="152"/>
      <c r="AD156" s="152"/>
      <c r="AE156" s="152"/>
      <c r="AF156" s="152"/>
      <c r="AG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  <c r="AA157" s="152"/>
      <c r="AB157" s="152"/>
      <c r="AC157" s="152"/>
      <c r="AD157" s="152"/>
      <c r="AE157" s="152"/>
      <c r="AF157" s="152"/>
      <c r="AG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2"/>
      <c r="AD158" s="152"/>
      <c r="AE158" s="152"/>
      <c r="AF158" s="152"/>
      <c r="AG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  <c r="AA159" s="152"/>
      <c r="AB159" s="152"/>
      <c r="AC159" s="152"/>
      <c r="AD159" s="152"/>
      <c r="AE159" s="152"/>
      <c r="AF159" s="152"/>
      <c r="AG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  <c r="AA160" s="152"/>
      <c r="AB160" s="152"/>
      <c r="AC160" s="152"/>
      <c r="AD160" s="152"/>
      <c r="AE160" s="152"/>
      <c r="AF160" s="152"/>
      <c r="AG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  <c r="AA163" s="152"/>
      <c r="AB163" s="152"/>
      <c r="AC163" s="152"/>
      <c r="AD163" s="152"/>
      <c r="AE163" s="152"/>
      <c r="AF163" s="152"/>
      <c r="AG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  <c r="AA164" s="152"/>
      <c r="AB164" s="152"/>
      <c r="AC164" s="152"/>
      <c r="AD164" s="152"/>
      <c r="AE164" s="152"/>
      <c r="AF164" s="152"/>
      <c r="AG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  <c r="AA167" s="152"/>
      <c r="AB167" s="152"/>
      <c r="AC167" s="152"/>
      <c r="AD167" s="152"/>
      <c r="AE167" s="152"/>
      <c r="AF167" s="152"/>
      <c r="AG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  <c r="AA168" s="152"/>
      <c r="AB168" s="152"/>
      <c r="AC168" s="152"/>
      <c r="AD168" s="152"/>
      <c r="AE168" s="152"/>
      <c r="AF168" s="152"/>
      <c r="AG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  <c r="AA169" s="152"/>
      <c r="AB169" s="152"/>
      <c r="AC169" s="152"/>
      <c r="AD169" s="152"/>
      <c r="AE169" s="152"/>
      <c r="AF169" s="152"/>
      <c r="AG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  <c r="AA170" s="152"/>
      <c r="AB170" s="152"/>
      <c r="AC170" s="152"/>
      <c r="AD170" s="152"/>
      <c r="AE170" s="152"/>
      <c r="AF170" s="152"/>
      <c r="AG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  <c r="AA171" s="152"/>
      <c r="AB171" s="152"/>
      <c r="AC171" s="152"/>
      <c r="AD171" s="152"/>
      <c r="AE171" s="152"/>
      <c r="AF171" s="152"/>
      <c r="AG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  <c r="AA172" s="152"/>
      <c r="AB172" s="152"/>
      <c r="AC172" s="152"/>
      <c r="AD172" s="152"/>
      <c r="AE172" s="152"/>
      <c r="AF172" s="152"/>
      <c r="AG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2"/>
      <c r="AD173" s="152"/>
      <c r="AE173" s="152"/>
      <c r="AF173" s="152"/>
      <c r="AG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  <c r="AA180" s="152"/>
      <c r="AB180" s="152"/>
      <c r="AC180" s="152"/>
      <c r="AD180" s="152"/>
      <c r="AE180" s="152"/>
      <c r="AF180" s="152"/>
      <c r="AG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  <c r="AA181" s="152"/>
      <c r="AB181" s="152"/>
      <c r="AC181" s="152"/>
      <c r="AD181" s="152"/>
      <c r="AE181" s="152"/>
      <c r="AF181" s="152"/>
      <c r="AG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  <c r="AA182" s="152"/>
      <c r="AB182" s="152"/>
      <c r="AC182" s="152"/>
      <c r="AD182" s="152"/>
      <c r="AE182" s="152"/>
      <c r="AF182" s="152"/>
      <c r="AG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  <c r="AA183" s="152"/>
      <c r="AB183" s="152"/>
      <c r="AC183" s="152"/>
      <c r="AD183" s="152"/>
      <c r="AE183" s="152"/>
      <c r="AF183" s="152"/>
      <c r="AG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  <c r="AA184" s="152"/>
      <c r="AB184" s="152"/>
      <c r="AC184" s="152"/>
      <c r="AD184" s="152"/>
      <c r="AE184" s="152"/>
      <c r="AF184" s="152"/>
      <c r="AG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  <c r="AA186" s="152"/>
      <c r="AB186" s="152"/>
      <c r="AC186" s="152"/>
      <c r="AD186" s="152"/>
      <c r="AE186" s="152"/>
      <c r="AF186" s="152"/>
      <c r="AG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2"/>
      <c r="AD187" s="152"/>
      <c r="AE187" s="152"/>
      <c r="AF187" s="152"/>
      <c r="AG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  <c r="AA188" s="152"/>
      <c r="AB188" s="152"/>
      <c r="AC188" s="152"/>
      <c r="AD188" s="152"/>
      <c r="AE188" s="152"/>
      <c r="AF188" s="152"/>
      <c r="AG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  <c r="AA189" s="152"/>
      <c r="AB189" s="152"/>
      <c r="AC189" s="152"/>
      <c r="AD189" s="152"/>
      <c r="AE189" s="152"/>
      <c r="AF189" s="152"/>
      <c r="AG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  <c r="AA190" s="152"/>
      <c r="AB190" s="152"/>
      <c r="AC190" s="152"/>
      <c r="AD190" s="152"/>
      <c r="AE190" s="152"/>
      <c r="AF190" s="152"/>
      <c r="AG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  <c r="AA193" s="152"/>
      <c r="AB193" s="152"/>
      <c r="AC193" s="152"/>
      <c r="AD193" s="152"/>
      <c r="AE193" s="152"/>
      <c r="AF193" s="152"/>
      <c r="AG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  <c r="AA194" s="152"/>
      <c r="AB194" s="152"/>
      <c r="AC194" s="152"/>
      <c r="AD194" s="152"/>
      <c r="AE194" s="152"/>
      <c r="AF194" s="152"/>
      <c r="AG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  <c r="AA195" s="152"/>
      <c r="AB195" s="152"/>
      <c r="AC195" s="152"/>
      <c r="AD195" s="152"/>
      <c r="AE195" s="152"/>
      <c r="AF195" s="152"/>
      <c r="AG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  <c r="AA196" s="152"/>
      <c r="AB196" s="152"/>
      <c r="AC196" s="152"/>
      <c r="AD196" s="152"/>
      <c r="AE196" s="152"/>
      <c r="AF196" s="152"/>
      <c r="AG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  <c r="AA199" s="152"/>
      <c r="AB199" s="152"/>
      <c r="AC199" s="152"/>
      <c r="AD199" s="152"/>
      <c r="AE199" s="152"/>
      <c r="AF199" s="152"/>
      <c r="AG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2"/>
      <c r="AD200" s="152"/>
      <c r="AE200" s="152"/>
      <c r="AF200" s="152"/>
      <c r="AG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  <c r="AA201" s="152"/>
      <c r="AB201" s="152"/>
      <c r="AC201" s="152"/>
      <c r="AD201" s="152"/>
      <c r="AE201" s="152"/>
      <c r="AF201" s="152"/>
      <c r="AG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152"/>
      <c r="AE209" s="152"/>
      <c r="AF209" s="152"/>
      <c r="AG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2"/>
      <c r="AD216" s="152"/>
      <c r="AE216" s="152"/>
      <c r="AF216" s="152"/>
      <c r="AG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  <c r="AA218" s="152"/>
      <c r="AB218" s="152"/>
      <c r="AC218" s="152"/>
      <c r="AD218" s="152"/>
      <c r="AE218" s="152"/>
      <c r="AF218" s="152"/>
      <c r="AG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  <c r="AA220" s="152"/>
      <c r="AB220" s="152"/>
      <c r="AC220" s="152"/>
      <c r="AD220" s="152"/>
      <c r="AE220" s="152"/>
      <c r="AF220" s="152"/>
      <c r="AG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  <c r="AA221" s="152"/>
      <c r="AB221" s="152"/>
      <c r="AC221" s="152"/>
      <c r="AD221" s="152"/>
      <c r="AE221" s="152"/>
      <c r="AF221" s="152"/>
      <c r="AG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  <c r="AA223" s="152"/>
      <c r="AB223" s="152"/>
      <c r="AC223" s="152"/>
      <c r="AD223" s="152"/>
      <c r="AE223" s="152"/>
      <c r="AF223" s="152"/>
      <c r="AG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  <c r="AA225" s="152"/>
      <c r="AB225" s="152"/>
      <c r="AC225" s="152"/>
      <c r="AD225" s="152"/>
      <c r="AE225" s="152"/>
      <c r="AF225" s="152"/>
      <c r="AG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  <c r="AA226" s="152"/>
      <c r="AB226" s="152"/>
      <c r="AC226" s="152"/>
      <c r="AD226" s="152"/>
      <c r="AE226" s="152"/>
      <c r="AF226" s="152"/>
      <c r="AG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  <c r="AA228" s="152"/>
      <c r="AB228" s="152"/>
      <c r="AC228" s="152"/>
      <c r="AD228" s="152"/>
      <c r="AE228" s="152"/>
      <c r="AF228" s="152"/>
      <c r="AG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  <c r="AA229" s="152"/>
      <c r="AB229" s="152"/>
      <c r="AC229" s="152"/>
      <c r="AD229" s="152"/>
      <c r="AE229" s="152"/>
      <c r="AF229" s="152"/>
      <c r="AG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  <c r="AA230" s="152"/>
      <c r="AB230" s="152"/>
      <c r="AC230" s="152"/>
      <c r="AD230" s="152"/>
      <c r="AE230" s="152"/>
      <c r="AF230" s="152"/>
      <c r="AG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  <c r="AA231" s="152"/>
      <c r="AB231" s="152"/>
      <c r="AC231" s="152"/>
      <c r="AD231" s="152"/>
      <c r="AE231" s="152"/>
      <c r="AF231" s="152"/>
      <c r="AG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  <c r="AA232" s="152"/>
      <c r="AB232" s="152"/>
      <c r="AC232" s="152"/>
      <c r="AD232" s="152"/>
      <c r="AE232" s="152"/>
      <c r="AF232" s="152"/>
      <c r="AG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2"/>
      <c r="AD233" s="152"/>
      <c r="AE233" s="152"/>
      <c r="AF233" s="152"/>
      <c r="AG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  <c r="AA252" s="152"/>
      <c r="AB252" s="152"/>
      <c r="AC252" s="152"/>
      <c r="AD252" s="152"/>
      <c r="AE252" s="152"/>
      <c r="AF252" s="152"/>
      <c r="AG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  <c r="AA253" s="152"/>
      <c r="AB253" s="152"/>
      <c r="AC253" s="152"/>
      <c r="AD253" s="152"/>
      <c r="AE253" s="152"/>
      <c r="AF253" s="152"/>
      <c r="AG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  <c r="AA256" s="152"/>
      <c r="AB256" s="152"/>
      <c r="AC256" s="152"/>
      <c r="AD256" s="152"/>
      <c r="AE256" s="152"/>
      <c r="AF256" s="152"/>
      <c r="AG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2"/>
      <c r="AD257" s="152"/>
      <c r="AE257" s="152"/>
      <c r="AF257" s="152"/>
      <c r="AG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  <c r="AA258" s="152"/>
      <c r="AB258" s="152"/>
      <c r="AC258" s="152"/>
      <c r="AD258" s="152"/>
      <c r="AE258" s="152"/>
      <c r="AF258" s="152"/>
      <c r="AG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  <c r="AA259" s="152"/>
      <c r="AB259" s="152"/>
      <c r="AC259" s="152"/>
      <c r="AD259" s="152"/>
      <c r="AE259" s="152"/>
      <c r="AF259" s="152"/>
      <c r="AG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  <c r="AA260" s="152"/>
      <c r="AB260" s="152"/>
      <c r="AC260" s="152"/>
      <c r="AD260" s="152"/>
      <c r="AE260" s="152"/>
      <c r="AF260" s="152"/>
      <c r="AG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  <c r="AA262" s="152"/>
      <c r="AB262" s="152"/>
      <c r="AC262" s="152"/>
      <c r="AD262" s="152"/>
      <c r="AE262" s="152"/>
      <c r="AF262" s="152"/>
      <c r="AG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  <c r="AA263" s="152"/>
      <c r="AB263" s="152"/>
      <c r="AC263" s="152"/>
      <c r="AD263" s="152"/>
      <c r="AE263" s="152"/>
      <c r="AF263" s="152"/>
      <c r="AG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  <c r="AA264" s="152"/>
      <c r="AB264" s="152"/>
      <c r="AC264" s="152"/>
      <c r="AD264" s="152"/>
      <c r="AE264" s="152"/>
      <c r="AF264" s="152"/>
      <c r="AG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  <c r="AA265" s="152"/>
      <c r="AB265" s="152"/>
      <c r="AC265" s="152"/>
      <c r="AD265" s="152"/>
      <c r="AE265" s="152"/>
      <c r="AF265" s="152"/>
      <c r="AG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  <c r="AA266" s="152"/>
      <c r="AB266" s="152"/>
      <c r="AC266" s="152"/>
      <c r="AD266" s="152"/>
      <c r="AE266" s="152"/>
      <c r="AF266" s="152"/>
      <c r="AG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  <c r="AA267" s="152"/>
      <c r="AB267" s="152"/>
      <c r="AC267" s="152"/>
      <c r="AD267" s="152"/>
      <c r="AE267" s="152"/>
      <c r="AF267" s="152"/>
      <c r="AG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2"/>
      <c r="AD268" s="152"/>
      <c r="AE268" s="152"/>
      <c r="AF268" s="152"/>
      <c r="AG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  <c r="AA269" s="152"/>
      <c r="AB269" s="152"/>
      <c r="AC269" s="152"/>
      <c r="AD269" s="152"/>
      <c r="AE269" s="152"/>
      <c r="AF269" s="152"/>
      <c r="AG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  <c r="AA270" s="152"/>
      <c r="AB270" s="152"/>
      <c r="AC270" s="152"/>
      <c r="AD270" s="152"/>
      <c r="AE270" s="152"/>
      <c r="AF270" s="152"/>
      <c r="AG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  <c r="AA271" s="152"/>
      <c r="AB271" s="152"/>
      <c r="AC271" s="152"/>
      <c r="AD271" s="152"/>
      <c r="AE271" s="152"/>
      <c r="AF271" s="152"/>
      <c r="AG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  <c r="AA272" s="152"/>
      <c r="AB272" s="152"/>
      <c r="AC272" s="152"/>
      <c r="AD272" s="152"/>
      <c r="AE272" s="152"/>
      <c r="AF272" s="152"/>
      <c r="AG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  <c r="AA273" s="152"/>
      <c r="AB273" s="152"/>
      <c r="AC273" s="152"/>
      <c r="AD273" s="152"/>
      <c r="AE273" s="152"/>
      <c r="AF273" s="152"/>
      <c r="AG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  <c r="AA274" s="152"/>
      <c r="AB274" s="152"/>
      <c r="AC274" s="152"/>
      <c r="AD274" s="152"/>
      <c r="AE274" s="152"/>
      <c r="AF274" s="152"/>
      <c r="AG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  <c r="AA275" s="152"/>
      <c r="AB275" s="152"/>
      <c r="AC275" s="152"/>
      <c r="AD275" s="152"/>
      <c r="AE275" s="152"/>
      <c r="AF275" s="152"/>
      <c r="AG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  <c r="AA276" s="152"/>
      <c r="AB276" s="152"/>
      <c r="AC276" s="152"/>
      <c r="AD276" s="152"/>
      <c r="AE276" s="152"/>
      <c r="AF276" s="152"/>
      <c r="AG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  <c r="AA277" s="152"/>
      <c r="AB277" s="152"/>
      <c r="AC277" s="152"/>
      <c r="AD277" s="152"/>
      <c r="AE277" s="152"/>
      <c r="AF277" s="152"/>
      <c r="AG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  <c r="AA278" s="152"/>
      <c r="AB278" s="152"/>
      <c r="AC278" s="152"/>
      <c r="AD278" s="152"/>
      <c r="AE278" s="152"/>
      <c r="AF278" s="152"/>
      <c r="AG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2"/>
      <c r="AD279" s="152"/>
      <c r="AE279" s="152"/>
      <c r="AF279" s="152"/>
      <c r="AG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  <c r="AA280" s="152"/>
      <c r="AB280" s="152"/>
      <c r="AC280" s="152"/>
      <c r="AD280" s="152"/>
      <c r="AE280" s="152"/>
      <c r="AF280" s="152"/>
      <c r="AG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  <c r="AA288" s="152"/>
      <c r="AB288" s="152"/>
      <c r="AC288" s="152"/>
      <c r="AD288" s="152"/>
      <c r="AE288" s="152"/>
      <c r="AF288" s="152"/>
      <c r="AG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  <c r="AA289" s="152"/>
      <c r="AB289" s="152"/>
      <c r="AC289" s="152"/>
      <c r="AD289" s="152"/>
      <c r="AE289" s="152"/>
      <c r="AF289" s="152"/>
      <c r="AG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  <c r="AA290" s="152"/>
      <c r="AB290" s="152"/>
      <c r="AC290" s="152"/>
      <c r="AD290" s="152"/>
      <c r="AE290" s="152"/>
      <c r="AF290" s="152"/>
      <c r="AG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  <c r="AA291" s="152"/>
      <c r="AB291" s="152"/>
      <c r="AC291" s="152"/>
      <c r="AD291" s="152"/>
      <c r="AE291" s="152"/>
      <c r="AF291" s="152"/>
      <c r="AG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2"/>
      <c r="AC292" s="152"/>
      <c r="AD292" s="152"/>
      <c r="AE292" s="152"/>
      <c r="AF292" s="152"/>
      <c r="AG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2"/>
      <c r="AD293" s="152"/>
      <c r="AE293" s="152"/>
      <c r="AF293" s="152"/>
      <c r="AG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  <c r="AA294" s="152"/>
      <c r="AB294" s="152"/>
      <c r="AC294" s="152"/>
      <c r="AD294" s="152"/>
      <c r="AE294" s="152"/>
      <c r="AF294" s="152"/>
      <c r="AG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  <c r="AA295" s="152"/>
      <c r="AB295" s="152"/>
      <c r="AC295" s="152"/>
      <c r="AD295" s="152"/>
      <c r="AE295" s="152"/>
      <c r="AF295" s="152"/>
      <c r="AG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  <c r="AA296" s="152"/>
      <c r="AB296" s="152"/>
      <c r="AC296" s="152"/>
      <c r="AD296" s="152"/>
      <c r="AE296" s="152"/>
      <c r="AF296" s="152"/>
      <c r="AG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  <c r="AA297" s="152"/>
      <c r="AB297" s="152"/>
      <c r="AC297" s="152"/>
      <c r="AD297" s="152"/>
      <c r="AE297" s="152"/>
      <c r="AF297" s="152"/>
      <c r="AG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  <c r="AA298" s="152"/>
      <c r="AB298" s="152"/>
      <c r="AC298" s="152"/>
      <c r="AD298" s="152"/>
      <c r="AE298" s="152"/>
      <c r="AF298" s="152"/>
      <c r="AG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  <c r="AA299" s="152"/>
      <c r="AB299" s="152"/>
      <c r="AC299" s="152"/>
      <c r="AD299" s="152"/>
      <c r="AE299" s="152"/>
      <c r="AF299" s="152"/>
      <c r="AG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  <c r="AA300" s="152"/>
      <c r="AB300" s="152"/>
      <c r="AC300" s="152"/>
      <c r="AD300" s="152"/>
      <c r="AE300" s="152"/>
      <c r="AF300" s="152"/>
      <c r="AG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2"/>
      <c r="AD301" s="152"/>
      <c r="AE301" s="152"/>
      <c r="AF301" s="152"/>
      <c r="AG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  <c r="AA302" s="152"/>
      <c r="AB302" s="152"/>
      <c r="AC302" s="152"/>
      <c r="AD302" s="152"/>
      <c r="AE302" s="152"/>
      <c r="AF302" s="152"/>
      <c r="AG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  <c r="AA303" s="152"/>
      <c r="AB303" s="152"/>
      <c r="AC303" s="152"/>
      <c r="AD303" s="152"/>
      <c r="AE303" s="152"/>
      <c r="AF303" s="152"/>
      <c r="AG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  <c r="AA304" s="152"/>
      <c r="AB304" s="152"/>
      <c r="AC304" s="152"/>
      <c r="AD304" s="152"/>
      <c r="AE304" s="152"/>
      <c r="AF304" s="152"/>
      <c r="AG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  <c r="AA305" s="152"/>
      <c r="AB305" s="152"/>
      <c r="AC305" s="152"/>
      <c r="AD305" s="152"/>
      <c r="AE305" s="152"/>
      <c r="AF305" s="152"/>
      <c r="AG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  <c r="AA306" s="152"/>
      <c r="AB306" s="152"/>
      <c r="AC306" s="152"/>
      <c r="AD306" s="152"/>
      <c r="AE306" s="152"/>
      <c r="AF306" s="152"/>
      <c r="AG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  <c r="AA307" s="152"/>
      <c r="AB307" s="152"/>
      <c r="AC307" s="152"/>
      <c r="AD307" s="152"/>
      <c r="AE307" s="152"/>
      <c r="AF307" s="152"/>
      <c r="AG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2"/>
      <c r="AD308" s="152"/>
      <c r="AE308" s="152"/>
      <c r="AF308" s="152"/>
      <c r="AG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  <c r="AA309" s="152"/>
      <c r="AB309" s="152"/>
      <c r="AC309" s="152"/>
      <c r="AD309" s="152"/>
      <c r="AE309" s="152"/>
      <c r="AF309" s="152"/>
      <c r="AG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  <c r="AA310" s="152"/>
      <c r="AB310" s="152"/>
      <c r="AC310" s="152"/>
      <c r="AD310" s="152"/>
      <c r="AE310" s="152"/>
      <c r="AF310" s="152"/>
      <c r="AG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  <c r="AA311" s="152"/>
      <c r="AB311" s="152"/>
      <c r="AC311" s="152"/>
      <c r="AD311" s="152"/>
      <c r="AE311" s="152"/>
      <c r="AF311" s="152"/>
      <c r="AG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2"/>
      <c r="AD312" s="152"/>
      <c r="AE312" s="152"/>
      <c r="AF312" s="152"/>
      <c r="AG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  <c r="AA313" s="152"/>
      <c r="AB313" s="152"/>
      <c r="AC313" s="152"/>
      <c r="AD313" s="152"/>
      <c r="AE313" s="152"/>
      <c r="AF313" s="152"/>
      <c r="AG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  <c r="AA314" s="152"/>
      <c r="AB314" s="152"/>
      <c r="AC314" s="152"/>
      <c r="AD314" s="152"/>
      <c r="AE314" s="152"/>
      <c r="AF314" s="152"/>
      <c r="AG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  <c r="AA315" s="152"/>
      <c r="AB315" s="152"/>
      <c r="AC315" s="152"/>
      <c r="AD315" s="152"/>
      <c r="AE315" s="152"/>
      <c r="AF315" s="152"/>
      <c r="AG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  <c r="AA316" s="152"/>
      <c r="AB316" s="152"/>
      <c r="AC316" s="152"/>
      <c r="AD316" s="152"/>
      <c r="AE316" s="152"/>
      <c r="AF316" s="152"/>
      <c r="AG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  <c r="AA317" s="152"/>
      <c r="AB317" s="152"/>
      <c r="AC317" s="152"/>
      <c r="AD317" s="152"/>
      <c r="AE317" s="152"/>
      <c r="AF317" s="152"/>
      <c r="AG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  <c r="AA324" s="152"/>
      <c r="AB324" s="152"/>
      <c r="AC324" s="152"/>
      <c r="AD324" s="152"/>
      <c r="AE324" s="152"/>
      <c r="AF324" s="152"/>
      <c r="AG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  <c r="AA325" s="152"/>
      <c r="AB325" s="152"/>
      <c r="AC325" s="152"/>
      <c r="AD325" s="152"/>
      <c r="AE325" s="152"/>
      <c r="AF325" s="152"/>
      <c r="AG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  <c r="AA326" s="152"/>
      <c r="AB326" s="152"/>
      <c r="AC326" s="152"/>
      <c r="AD326" s="152"/>
      <c r="AE326" s="152"/>
      <c r="AF326" s="152"/>
      <c r="AG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  <c r="AA327" s="152"/>
      <c r="AB327" s="152"/>
      <c r="AC327" s="152"/>
      <c r="AD327" s="152"/>
      <c r="AE327" s="152"/>
      <c r="AF327" s="152"/>
      <c r="AG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  <c r="AE328" s="152"/>
      <c r="AF328" s="152"/>
      <c r="AG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  <c r="AE329" s="152"/>
      <c r="AF329" s="152"/>
      <c r="AG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  <c r="AA330" s="152"/>
      <c r="AB330" s="152"/>
      <c r="AC330" s="152"/>
      <c r="AD330" s="152"/>
      <c r="AE330" s="152"/>
      <c r="AF330" s="152"/>
      <c r="AG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  <c r="AA331" s="152"/>
      <c r="AB331" s="152"/>
      <c r="AC331" s="152"/>
      <c r="AD331" s="152"/>
      <c r="AE331" s="152"/>
      <c r="AF331" s="152"/>
      <c r="AG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  <c r="AA332" s="152"/>
      <c r="AB332" s="152"/>
      <c r="AC332" s="152"/>
      <c r="AD332" s="152"/>
      <c r="AE332" s="152"/>
      <c r="AF332" s="152"/>
      <c r="AG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2"/>
      <c r="AD333" s="152"/>
      <c r="AE333" s="152"/>
      <c r="AF333" s="152"/>
      <c r="AG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  <c r="AA334" s="152"/>
      <c r="AB334" s="152"/>
      <c r="AC334" s="152"/>
      <c r="AD334" s="152"/>
      <c r="AE334" s="152"/>
      <c r="AF334" s="152"/>
      <c r="AG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  <c r="AA335" s="152"/>
      <c r="AB335" s="152"/>
      <c r="AC335" s="152"/>
      <c r="AD335" s="152"/>
      <c r="AE335" s="152"/>
      <c r="AF335" s="152"/>
      <c r="AG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  <c r="AA336" s="152"/>
      <c r="AB336" s="152"/>
      <c r="AC336" s="152"/>
      <c r="AD336" s="152"/>
      <c r="AE336" s="152"/>
      <c r="AF336" s="152"/>
      <c r="AG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  <c r="AA337" s="152"/>
      <c r="AB337" s="152"/>
      <c r="AC337" s="152"/>
      <c r="AD337" s="152"/>
      <c r="AE337" s="152"/>
      <c r="AF337" s="152"/>
      <c r="AG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  <c r="AA338" s="152"/>
      <c r="AB338" s="152"/>
      <c r="AC338" s="152"/>
      <c r="AD338" s="152"/>
      <c r="AE338" s="152"/>
      <c r="AF338" s="152"/>
      <c r="AG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  <c r="AA339" s="152"/>
      <c r="AB339" s="152"/>
      <c r="AC339" s="152"/>
      <c r="AD339" s="152"/>
      <c r="AE339" s="152"/>
      <c r="AF339" s="152"/>
      <c r="AG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  <c r="AA340" s="152"/>
      <c r="AB340" s="152"/>
      <c r="AC340" s="152"/>
      <c r="AD340" s="152"/>
      <c r="AE340" s="152"/>
      <c r="AF340" s="152"/>
      <c r="AG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  <c r="AA341" s="152"/>
      <c r="AB341" s="152"/>
      <c r="AC341" s="152"/>
      <c r="AD341" s="152"/>
      <c r="AE341" s="152"/>
      <c r="AF341" s="152"/>
      <c r="AG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  <c r="AA342" s="152"/>
      <c r="AB342" s="152"/>
      <c r="AC342" s="152"/>
      <c r="AD342" s="152"/>
      <c r="AE342" s="152"/>
      <c r="AF342" s="152"/>
      <c r="AG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  <c r="AA343" s="152"/>
      <c r="AB343" s="152"/>
      <c r="AC343" s="152"/>
      <c r="AD343" s="152"/>
      <c r="AE343" s="152"/>
      <c r="AF343" s="152"/>
      <c r="AG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  <c r="AA344" s="152"/>
      <c r="AB344" s="152"/>
      <c r="AC344" s="152"/>
      <c r="AD344" s="152"/>
      <c r="AE344" s="152"/>
      <c r="AF344" s="152"/>
      <c r="AG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2"/>
      <c r="AD345" s="152"/>
      <c r="AE345" s="152"/>
      <c r="AF345" s="152"/>
      <c r="AG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  <c r="AA346" s="152"/>
      <c r="AB346" s="152"/>
      <c r="AC346" s="152"/>
      <c r="AD346" s="152"/>
      <c r="AE346" s="152"/>
      <c r="AF346" s="152"/>
      <c r="AG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  <c r="AA347" s="152"/>
      <c r="AB347" s="152"/>
      <c r="AC347" s="152"/>
      <c r="AD347" s="152"/>
      <c r="AE347" s="152"/>
      <c r="AF347" s="152"/>
      <c r="AG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  <c r="AA348" s="152"/>
      <c r="AB348" s="152"/>
      <c r="AC348" s="152"/>
      <c r="AD348" s="152"/>
      <c r="AE348" s="152"/>
      <c r="AF348" s="152"/>
      <c r="AG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  <c r="AA349" s="152"/>
      <c r="AB349" s="152"/>
      <c r="AC349" s="152"/>
      <c r="AD349" s="152"/>
      <c r="AE349" s="152"/>
      <c r="AF349" s="152"/>
      <c r="AG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  <c r="AA350" s="152"/>
      <c r="AB350" s="152"/>
      <c r="AC350" s="152"/>
      <c r="AD350" s="152"/>
      <c r="AE350" s="152"/>
      <c r="AF350" s="152"/>
      <c r="AG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2"/>
      <c r="AG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  <c r="AA352" s="152"/>
      <c r="AB352" s="152"/>
      <c r="AC352" s="152"/>
      <c r="AD352" s="152"/>
      <c r="AE352" s="152"/>
      <c r="AF352" s="152"/>
      <c r="AG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  <c r="AA353" s="152"/>
      <c r="AB353" s="152"/>
      <c r="AC353" s="152"/>
      <c r="AD353" s="152"/>
      <c r="AE353" s="152"/>
      <c r="AF353" s="152"/>
      <c r="AG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  <c r="AA360" s="152"/>
      <c r="AB360" s="152"/>
      <c r="AC360" s="152"/>
      <c r="AD360" s="152"/>
      <c r="AE360" s="152"/>
      <c r="AF360" s="152"/>
      <c r="AG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2"/>
      <c r="AG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  <c r="AA362" s="152"/>
      <c r="AB362" s="152"/>
      <c r="AC362" s="152"/>
      <c r="AD362" s="152"/>
      <c r="AE362" s="152"/>
      <c r="AF362" s="152"/>
      <c r="AG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  <c r="AA363" s="152"/>
      <c r="AB363" s="152"/>
      <c r="AC363" s="152"/>
      <c r="AD363" s="152"/>
      <c r="AE363" s="152"/>
      <c r="AF363" s="152"/>
      <c r="AG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  <c r="AA364" s="152"/>
      <c r="AB364" s="152"/>
      <c r="AC364" s="152"/>
      <c r="AD364" s="152"/>
      <c r="AE364" s="152"/>
      <c r="AF364" s="152"/>
      <c r="AG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  <c r="AA365" s="152"/>
      <c r="AB365" s="152"/>
      <c r="AC365" s="152"/>
      <c r="AD365" s="152"/>
      <c r="AE365" s="152"/>
      <c r="AF365" s="152"/>
      <c r="AG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  <c r="AA366" s="152"/>
      <c r="AB366" s="152"/>
      <c r="AC366" s="152"/>
      <c r="AD366" s="152"/>
      <c r="AE366" s="152"/>
      <c r="AF366" s="152"/>
      <c r="AG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  <c r="AA367" s="152"/>
      <c r="AB367" s="152"/>
      <c r="AC367" s="152"/>
      <c r="AD367" s="152"/>
      <c r="AE367" s="152"/>
      <c r="AF367" s="152"/>
      <c r="AG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2"/>
      <c r="AG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2"/>
      <c r="AD369" s="152"/>
      <c r="AE369" s="152"/>
      <c r="AF369" s="152"/>
      <c r="AG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  <c r="AA370" s="152"/>
      <c r="AB370" s="152"/>
      <c r="AC370" s="152"/>
      <c r="AD370" s="152"/>
      <c r="AE370" s="152"/>
      <c r="AF370" s="152"/>
      <c r="AG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2"/>
      <c r="AG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  <c r="AA372" s="152"/>
      <c r="AB372" s="152"/>
      <c r="AC372" s="152"/>
      <c r="AD372" s="152"/>
      <c r="AE372" s="152"/>
      <c r="AF372" s="152"/>
      <c r="AG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  <c r="AA373" s="152"/>
      <c r="AB373" s="152"/>
      <c r="AC373" s="152"/>
      <c r="AD373" s="152"/>
      <c r="AE373" s="152"/>
      <c r="AF373" s="152"/>
      <c r="AG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  <c r="AA374" s="152"/>
      <c r="AB374" s="152"/>
      <c r="AC374" s="152"/>
      <c r="AD374" s="152"/>
      <c r="AE374" s="152"/>
      <c r="AF374" s="152"/>
      <c r="AG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  <c r="AA375" s="152"/>
      <c r="AB375" s="152"/>
      <c r="AC375" s="152"/>
      <c r="AD375" s="152"/>
      <c r="AE375" s="152"/>
      <c r="AF375" s="152"/>
      <c r="AG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  <c r="AA376" s="152"/>
      <c r="AB376" s="152"/>
      <c r="AC376" s="152"/>
      <c r="AD376" s="152"/>
      <c r="AE376" s="152"/>
      <c r="AF376" s="152"/>
      <c r="AG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  <c r="AA377" s="152"/>
      <c r="AB377" s="152"/>
      <c r="AC377" s="152"/>
      <c r="AD377" s="152"/>
      <c r="AE377" s="152"/>
      <c r="AF377" s="152"/>
      <c r="AG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2"/>
      <c r="AG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  <c r="AA379" s="152"/>
      <c r="AB379" s="152"/>
      <c r="AC379" s="152"/>
      <c r="AD379" s="152"/>
      <c r="AE379" s="152"/>
      <c r="AF379" s="152"/>
      <c r="AG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  <c r="AA380" s="152"/>
      <c r="AB380" s="152"/>
      <c r="AC380" s="152"/>
      <c r="AD380" s="152"/>
      <c r="AE380" s="152"/>
      <c r="AF380" s="152"/>
      <c r="AG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2"/>
      <c r="AG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2"/>
      <c r="AD382" s="152"/>
      <c r="AE382" s="152"/>
      <c r="AF382" s="152"/>
      <c r="AG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  <c r="AA383" s="152"/>
      <c r="AB383" s="152"/>
      <c r="AC383" s="152"/>
      <c r="AD383" s="152"/>
      <c r="AE383" s="152"/>
      <c r="AF383" s="152"/>
      <c r="AG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  <c r="AA384" s="152"/>
      <c r="AB384" s="152"/>
      <c r="AC384" s="152"/>
      <c r="AD384" s="152"/>
      <c r="AE384" s="152"/>
      <c r="AF384" s="152"/>
      <c r="AG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  <c r="AA385" s="152"/>
      <c r="AB385" s="152"/>
      <c r="AC385" s="152"/>
      <c r="AD385" s="152"/>
      <c r="AE385" s="152"/>
      <c r="AF385" s="152"/>
      <c r="AG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  <c r="AA386" s="152"/>
      <c r="AB386" s="152"/>
      <c r="AC386" s="152"/>
      <c r="AD386" s="152"/>
      <c r="AE386" s="152"/>
      <c r="AF386" s="152"/>
      <c r="AG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  <c r="AA387" s="152"/>
      <c r="AB387" s="152"/>
      <c r="AC387" s="152"/>
      <c r="AD387" s="152"/>
      <c r="AE387" s="152"/>
      <c r="AF387" s="152"/>
      <c r="AG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2"/>
      <c r="AG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  <c r="AA389" s="152"/>
      <c r="AB389" s="152"/>
      <c r="AC389" s="152"/>
      <c r="AD389" s="152"/>
      <c r="AE389" s="152"/>
      <c r="AF389" s="152"/>
      <c r="AG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2"/>
      <c r="AD396" s="152"/>
      <c r="AE396" s="152"/>
      <c r="AF396" s="152"/>
      <c r="AG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  <c r="AA397" s="152"/>
      <c r="AB397" s="152"/>
      <c r="AC397" s="152"/>
      <c r="AD397" s="152"/>
      <c r="AE397" s="152"/>
      <c r="AF397" s="152"/>
      <c r="AG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2"/>
      <c r="AG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2"/>
      <c r="AG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  <c r="AA400" s="152"/>
      <c r="AB400" s="152"/>
      <c r="AC400" s="152"/>
      <c r="AD400" s="152"/>
      <c r="AE400" s="152"/>
      <c r="AF400" s="152"/>
      <c r="AG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2"/>
      <c r="AG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  <c r="AA402" s="152"/>
      <c r="AB402" s="152"/>
      <c r="AC402" s="152"/>
      <c r="AD402" s="152"/>
      <c r="AE402" s="152"/>
      <c r="AF402" s="152"/>
      <c r="AG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  <c r="AA403" s="152"/>
      <c r="AB403" s="152"/>
      <c r="AC403" s="152"/>
      <c r="AD403" s="152"/>
      <c r="AE403" s="152"/>
      <c r="AF403" s="152"/>
      <c r="AG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  <c r="AA404" s="152"/>
      <c r="AB404" s="152"/>
      <c r="AC404" s="152"/>
      <c r="AD404" s="152"/>
      <c r="AE404" s="152"/>
      <c r="AF404" s="152"/>
      <c r="AG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  <c r="AA405" s="152"/>
      <c r="AB405" s="152"/>
      <c r="AC405" s="152"/>
      <c r="AD405" s="152"/>
      <c r="AE405" s="152"/>
      <c r="AF405" s="152"/>
      <c r="AG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  <c r="AA406" s="152"/>
      <c r="AB406" s="152"/>
      <c r="AC406" s="152"/>
      <c r="AD406" s="152"/>
      <c r="AE406" s="152"/>
      <c r="AF406" s="152"/>
      <c r="AG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  <c r="AA407" s="152"/>
      <c r="AB407" s="152"/>
      <c r="AC407" s="152"/>
      <c r="AD407" s="152"/>
      <c r="AE407" s="152"/>
      <c r="AF407" s="152"/>
      <c r="AG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2"/>
      <c r="AG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2"/>
      <c r="AG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  <c r="AA410" s="152"/>
      <c r="AB410" s="152"/>
      <c r="AC410" s="152"/>
      <c r="AD410" s="152"/>
      <c r="AE410" s="152"/>
      <c r="AF410" s="152"/>
      <c r="AG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  <c r="AA411" s="152"/>
      <c r="AB411" s="152"/>
      <c r="AC411" s="152"/>
      <c r="AD411" s="152"/>
      <c r="AE411" s="152"/>
      <c r="AF411" s="152"/>
      <c r="AG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  <c r="AA412" s="152"/>
      <c r="AB412" s="152"/>
      <c r="AC412" s="152"/>
      <c r="AD412" s="152"/>
      <c r="AE412" s="152"/>
      <c r="AF412" s="152"/>
      <c r="AG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  <c r="AA413" s="152"/>
      <c r="AB413" s="152"/>
      <c r="AC413" s="152"/>
      <c r="AD413" s="152"/>
      <c r="AE413" s="152"/>
      <c r="AF413" s="152"/>
      <c r="AG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  <c r="AA414" s="152"/>
      <c r="AB414" s="152"/>
      <c r="AC414" s="152"/>
      <c r="AD414" s="152"/>
      <c r="AE414" s="152"/>
      <c r="AF414" s="152"/>
      <c r="AG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2"/>
      <c r="AD415" s="152"/>
      <c r="AE415" s="152"/>
      <c r="AF415" s="152"/>
      <c r="AG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  <c r="AA416" s="152"/>
      <c r="AB416" s="152"/>
      <c r="AC416" s="152"/>
      <c r="AD416" s="152"/>
      <c r="AE416" s="152"/>
      <c r="AF416" s="152"/>
      <c r="AG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  <c r="AA417" s="152"/>
      <c r="AB417" s="152"/>
      <c r="AC417" s="152"/>
      <c r="AD417" s="152"/>
      <c r="AE417" s="152"/>
      <c r="AF417" s="152"/>
      <c r="AG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  <c r="AA418" s="152"/>
      <c r="AB418" s="152"/>
      <c r="AC418" s="152"/>
      <c r="AD418" s="152"/>
      <c r="AE418" s="152"/>
      <c r="AF418" s="152"/>
      <c r="AG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  <c r="AE419" s="152"/>
      <c r="AF419" s="152"/>
      <c r="AG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  <c r="AA420" s="152"/>
      <c r="AB420" s="152"/>
      <c r="AC420" s="152"/>
      <c r="AD420" s="152"/>
      <c r="AE420" s="152"/>
      <c r="AF420" s="152"/>
      <c r="AG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  <c r="AA421" s="152"/>
      <c r="AB421" s="152"/>
      <c r="AC421" s="152"/>
      <c r="AD421" s="152"/>
      <c r="AE421" s="152"/>
      <c r="AF421" s="152"/>
      <c r="AG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  <c r="AA422" s="152"/>
      <c r="AB422" s="152"/>
      <c r="AC422" s="152"/>
      <c r="AD422" s="152"/>
      <c r="AE422" s="152"/>
      <c r="AF422" s="152"/>
      <c r="AG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  <c r="AA423" s="152"/>
      <c r="AB423" s="152"/>
      <c r="AC423" s="152"/>
      <c r="AD423" s="152"/>
      <c r="AE423" s="152"/>
      <c r="AF423" s="152"/>
      <c r="AG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  <c r="AA424" s="152"/>
      <c r="AB424" s="152"/>
      <c r="AC424" s="152"/>
      <c r="AD424" s="152"/>
      <c r="AE424" s="152"/>
      <c r="AF424" s="152"/>
      <c r="AG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  <c r="AA425" s="152"/>
      <c r="AB425" s="152"/>
      <c r="AC425" s="152"/>
      <c r="AD425" s="152"/>
      <c r="AE425" s="152"/>
      <c r="AF425" s="152"/>
      <c r="AG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2"/>
      <c r="AD432" s="152"/>
      <c r="AE432" s="152"/>
      <c r="AF432" s="152"/>
      <c r="AG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  <c r="AA433" s="152"/>
      <c r="AB433" s="152"/>
      <c r="AC433" s="152"/>
      <c r="AD433" s="152"/>
      <c r="AE433" s="152"/>
      <c r="AF433" s="152"/>
      <c r="AG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  <c r="AA434" s="152"/>
      <c r="AB434" s="152"/>
      <c r="AC434" s="152"/>
      <c r="AD434" s="152"/>
      <c r="AE434" s="152"/>
      <c r="AF434" s="152"/>
      <c r="AG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  <c r="AA435" s="152"/>
      <c r="AB435" s="152"/>
      <c r="AC435" s="152"/>
      <c r="AD435" s="152"/>
      <c r="AE435" s="152"/>
      <c r="AF435" s="152"/>
      <c r="AG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  <c r="AA436" s="152"/>
      <c r="AB436" s="152"/>
      <c r="AC436" s="152"/>
      <c r="AD436" s="152"/>
      <c r="AE436" s="152"/>
      <c r="AF436" s="152"/>
      <c r="AG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  <c r="AA437" s="152"/>
      <c r="AB437" s="152"/>
      <c r="AC437" s="152"/>
      <c r="AD437" s="152"/>
      <c r="AE437" s="152"/>
      <c r="AF437" s="152"/>
      <c r="AG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  <c r="AA438" s="152"/>
      <c r="AB438" s="152"/>
      <c r="AC438" s="152"/>
      <c r="AD438" s="152"/>
      <c r="AE438" s="152"/>
      <c r="AF438" s="152"/>
      <c r="AG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  <c r="AA439" s="152"/>
      <c r="AB439" s="152"/>
      <c r="AC439" s="152"/>
      <c r="AD439" s="152"/>
      <c r="AE439" s="152"/>
      <c r="AF439" s="152"/>
      <c r="AG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  <c r="AA440" s="152"/>
      <c r="AB440" s="152"/>
      <c r="AC440" s="152"/>
      <c r="AD440" s="152"/>
      <c r="AE440" s="152"/>
      <c r="AF440" s="152"/>
      <c r="AG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  <c r="AA441" s="152"/>
      <c r="AB441" s="152"/>
      <c r="AC441" s="152"/>
      <c r="AD441" s="152"/>
      <c r="AE441" s="152"/>
      <c r="AF441" s="152"/>
      <c r="AG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  <c r="AA442" s="152"/>
      <c r="AB442" s="152"/>
      <c r="AC442" s="152"/>
      <c r="AD442" s="152"/>
      <c r="AE442" s="152"/>
      <c r="AF442" s="152"/>
      <c r="AG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  <c r="AA443" s="152"/>
      <c r="AB443" s="152"/>
      <c r="AC443" s="152"/>
      <c r="AD443" s="152"/>
      <c r="AE443" s="152"/>
      <c r="AF443" s="152"/>
      <c r="AG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  <c r="AA444" s="152"/>
      <c r="AB444" s="152"/>
      <c r="AC444" s="152"/>
      <c r="AD444" s="152"/>
      <c r="AE444" s="152"/>
      <c r="AF444" s="152"/>
      <c r="AG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  <c r="AA445" s="152"/>
      <c r="AB445" s="152"/>
      <c r="AC445" s="152"/>
      <c r="AD445" s="152"/>
      <c r="AE445" s="152"/>
      <c r="AF445" s="152"/>
      <c r="AG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  <c r="AA446" s="152"/>
      <c r="AB446" s="152"/>
      <c r="AC446" s="152"/>
      <c r="AD446" s="152"/>
      <c r="AE446" s="152"/>
      <c r="AF446" s="152"/>
      <c r="AG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  <c r="AA447" s="152"/>
      <c r="AB447" s="152"/>
      <c r="AC447" s="152"/>
      <c r="AD447" s="152"/>
      <c r="AE447" s="152"/>
      <c r="AF447" s="152"/>
      <c r="AG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2"/>
      <c r="AD448" s="152"/>
      <c r="AE448" s="152"/>
      <c r="AF448" s="152"/>
      <c r="AG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  <c r="AA449" s="152"/>
      <c r="AB449" s="152"/>
      <c r="AC449" s="152"/>
      <c r="AD449" s="152"/>
      <c r="AE449" s="152"/>
      <c r="AF449" s="152"/>
      <c r="AG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  <c r="AA450" s="152"/>
      <c r="AB450" s="152"/>
      <c r="AC450" s="152"/>
      <c r="AD450" s="152"/>
      <c r="AE450" s="152"/>
      <c r="AF450" s="152"/>
      <c r="AG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  <c r="AA451" s="152"/>
      <c r="AB451" s="152"/>
      <c r="AC451" s="152"/>
      <c r="AD451" s="152"/>
      <c r="AE451" s="152"/>
      <c r="AF451" s="152"/>
      <c r="AG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  <c r="AA452" s="152"/>
      <c r="AB452" s="152"/>
      <c r="AC452" s="152"/>
      <c r="AD452" s="152"/>
      <c r="AE452" s="152"/>
      <c r="AF452" s="152"/>
      <c r="AG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  <c r="AA453" s="152"/>
      <c r="AB453" s="152"/>
      <c r="AC453" s="152"/>
      <c r="AD453" s="152"/>
      <c r="AE453" s="152"/>
      <c r="AF453" s="152"/>
      <c r="AG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  <c r="AA454" s="152"/>
      <c r="AB454" s="152"/>
      <c r="AC454" s="152"/>
      <c r="AD454" s="152"/>
      <c r="AE454" s="152"/>
      <c r="AF454" s="152"/>
      <c r="AG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  <c r="AA455" s="152"/>
      <c r="AB455" s="152"/>
      <c r="AC455" s="152"/>
      <c r="AD455" s="152"/>
      <c r="AE455" s="152"/>
      <c r="AF455" s="152"/>
      <c r="AG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  <c r="AA456" s="152"/>
      <c r="AB456" s="152"/>
      <c r="AC456" s="152"/>
      <c r="AD456" s="152"/>
      <c r="AE456" s="152"/>
      <c r="AF456" s="152"/>
      <c r="AG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  <c r="AA457" s="152"/>
      <c r="AB457" s="152"/>
      <c r="AC457" s="152"/>
      <c r="AD457" s="152"/>
      <c r="AE457" s="152"/>
      <c r="AF457" s="152"/>
      <c r="AG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  <c r="AA458" s="152"/>
      <c r="AB458" s="152"/>
      <c r="AC458" s="152"/>
      <c r="AD458" s="152"/>
      <c r="AE458" s="152"/>
      <c r="AF458" s="152"/>
      <c r="AG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  <c r="AA459" s="152"/>
      <c r="AB459" s="152"/>
      <c r="AC459" s="152"/>
      <c r="AD459" s="152"/>
      <c r="AE459" s="152"/>
      <c r="AF459" s="152"/>
      <c r="AG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  <c r="AC460" s="152"/>
      <c r="AD460" s="152"/>
      <c r="AE460" s="152"/>
      <c r="AF460" s="152"/>
      <c r="AG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  <c r="AA461" s="152"/>
      <c r="AB461" s="152"/>
      <c r="AC461" s="152"/>
      <c r="AD461" s="152"/>
      <c r="AE461" s="152"/>
      <c r="AF461" s="152"/>
      <c r="AG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  <c r="AA462" s="152"/>
      <c r="AB462" s="152"/>
      <c r="AC462" s="152"/>
      <c r="AD462" s="152"/>
      <c r="AE462" s="152"/>
      <c r="AF462" s="152"/>
      <c r="AG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  <c r="AA463" s="152"/>
      <c r="AB463" s="152"/>
      <c r="AC463" s="152"/>
      <c r="AD463" s="152"/>
      <c r="AE463" s="152"/>
      <c r="AF463" s="152"/>
      <c r="AG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  <c r="AA464" s="152"/>
      <c r="AB464" s="152"/>
      <c r="AC464" s="152"/>
      <c r="AD464" s="152"/>
      <c r="AE464" s="152"/>
      <c r="AF464" s="152"/>
      <c r="AG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  <c r="AA465" s="152"/>
      <c r="AB465" s="152"/>
      <c r="AC465" s="152"/>
      <c r="AD465" s="152"/>
      <c r="AE465" s="152"/>
      <c r="AF465" s="152"/>
      <c r="AG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2"/>
      <c r="AD466" s="152"/>
      <c r="AE466" s="152"/>
      <c r="AF466" s="152"/>
      <c r="AG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  <c r="AA467" s="152"/>
      <c r="AB467" s="152"/>
      <c r="AC467" s="152"/>
      <c r="AD467" s="152"/>
      <c r="AE467" s="152"/>
      <c r="AF467" s="152"/>
      <c r="AG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  <c r="AA468" s="152"/>
      <c r="AB468" s="152"/>
      <c r="AC468" s="152"/>
      <c r="AD468" s="152"/>
      <c r="AE468" s="152"/>
      <c r="AF468" s="152"/>
      <c r="AG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  <c r="AA469" s="152"/>
      <c r="AB469" s="152"/>
      <c r="AC469" s="152"/>
      <c r="AD469" s="152"/>
      <c r="AE469" s="152"/>
      <c r="AF469" s="152"/>
      <c r="AG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  <c r="AA470" s="152"/>
      <c r="AB470" s="152"/>
      <c r="AC470" s="152"/>
      <c r="AD470" s="152"/>
      <c r="AE470" s="152"/>
      <c r="AF470" s="152"/>
      <c r="AG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  <c r="AA471" s="152"/>
      <c r="AB471" s="152"/>
      <c r="AC471" s="152"/>
      <c r="AD471" s="152"/>
      <c r="AE471" s="152"/>
      <c r="AF471" s="152"/>
      <c r="AG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  <c r="AA472" s="152"/>
      <c r="AB472" s="152"/>
      <c r="AC472" s="152"/>
      <c r="AD472" s="152"/>
      <c r="AE472" s="152"/>
      <c r="AF472" s="152"/>
      <c r="AG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  <c r="AA473" s="152"/>
      <c r="AB473" s="152"/>
      <c r="AC473" s="152"/>
      <c r="AD473" s="152"/>
      <c r="AE473" s="152"/>
      <c r="AF473" s="152"/>
      <c r="AG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  <c r="AA474" s="152"/>
      <c r="AB474" s="152"/>
      <c r="AC474" s="152"/>
      <c r="AD474" s="152"/>
      <c r="AE474" s="152"/>
      <c r="AF474" s="152"/>
      <c r="AG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  <c r="AA475" s="152"/>
      <c r="AB475" s="152"/>
      <c r="AC475" s="152"/>
      <c r="AD475" s="152"/>
      <c r="AE475" s="152"/>
      <c r="AF475" s="152"/>
      <c r="AG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  <c r="AA476" s="152"/>
      <c r="AB476" s="152"/>
      <c r="AC476" s="152"/>
      <c r="AD476" s="152"/>
      <c r="AE476" s="152"/>
      <c r="AF476" s="152"/>
      <c r="AG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  <c r="AA477" s="152"/>
      <c r="AB477" s="152"/>
      <c r="AC477" s="152"/>
      <c r="AD477" s="152"/>
      <c r="AE477" s="152"/>
      <c r="AF477" s="152"/>
      <c r="AG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  <c r="AA478" s="152"/>
      <c r="AB478" s="152"/>
      <c r="AC478" s="152"/>
      <c r="AD478" s="152"/>
      <c r="AE478" s="152"/>
      <c r="AF478" s="152"/>
      <c r="AG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  <c r="AA479" s="152"/>
      <c r="AB479" s="152"/>
      <c r="AC479" s="152"/>
      <c r="AD479" s="152"/>
      <c r="AE479" s="152"/>
      <c r="AF479" s="152"/>
      <c r="AG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2"/>
      <c r="AD480" s="152"/>
      <c r="AE480" s="152"/>
      <c r="AF480" s="152"/>
      <c r="AG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  <c r="AA481" s="152"/>
      <c r="AB481" s="152"/>
      <c r="AC481" s="152"/>
      <c r="AD481" s="152"/>
      <c r="AE481" s="152"/>
      <c r="AF481" s="152"/>
      <c r="AG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  <c r="AA482" s="152"/>
      <c r="AB482" s="152"/>
      <c r="AC482" s="152"/>
      <c r="AD482" s="152"/>
      <c r="AE482" s="152"/>
      <c r="AF482" s="152"/>
      <c r="AG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  <c r="AA483" s="152"/>
      <c r="AB483" s="152"/>
      <c r="AC483" s="152"/>
      <c r="AD483" s="152"/>
      <c r="AE483" s="152"/>
      <c r="AF483" s="152"/>
      <c r="AG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  <c r="AA484" s="152"/>
      <c r="AB484" s="152"/>
      <c r="AC484" s="152"/>
      <c r="AD484" s="152"/>
      <c r="AE484" s="152"/>
      <c r="AF484" s="152"/>
      <c r="AG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  <c r="AA485" s="152"/>
      <c r="AB485" s="152"/>
      <c r="AC485" s="152"/>
      <c r="AD485" s="152"/>
      <c r="AE485" s="152"/>
      <c r="AF485" s="152"/>
      <c r="AG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  <c r="AA486" s="152"/>
      <c r="AB486" s="152"/>
      <c r="AC486" s="152"/>
      <c r="AD486" s="152"/>
      <c r="AE486" s="152"/>
      <c r="AF486" s="152"/>
      <c r="AG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  <c r="AA487" s="152"/>
      <c r="AB487" s="152"/>
      <c r="AC487" s="152"/>
      <c r="AD487" s="152"/>
      <c r="AE487" s="152"/>
      <c r="AF487" s="152"/>
      <c r="AG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  <c r="AA488" s="152"/>
      <c r="AB488" s="152"/>
      <c r="AC488" s="152"/>
      <c r="AD488" s="152"/>
      <c r="AE488" s="152"/>
      <c r="AF488" s="152"/>
      <c r="AG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  <c r="AA489" s="152"/>
      <c r="AB489" s="152"/>
      <c r="AC489" s="152"/>
      <c r="AD489" s="152"/>
      <c r="AE489" s="152"/>
      <c r="AF489" s="152"/>
      <c r="AG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  <c r="AA490" s="152"/>
      <c r="AB490" s="152"/>
      <c r="AC490" s="152"/>
      <c r="AD490" s="152"/>
      <c r="AE490" s="152"/>
      <c r="AF490" s="152"/>
      <c r="AG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  <c r="AA491" s="152"/>
      <c r="AB491" s="152"/>
      <c r="AC491" s="152"/>
      <c r="AD491" s="152"/>
      <c r="AE491" s="152"/>
      <c r="AF491" s="152"/>
      <c r="AG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  <c r="AA492" s="152"/>
      <c r="AB492" s="152"/>
      <c r="AC492" s="152"/>
      <c r="AD492" s="152"/>
      <c r="AE492" s="152"/>
      <c r="AF492" s="152"/>
      <c r="AG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  <c r="AA493" s="152"/>
      <c r="AB493" s="152"/>
      <c r="AC493" s="152"/>
      <c r="AD493" s="152"/>
      <c r="AE493" s="152"/>
      <c r="AF493" s="152"/>
      <c r="AG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2"/>
      <c r="AD494" s="152"/>
      <c r="AE494" s="152"/>
      <c r="AF494" s="152"/>
      <c r="AG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  <c r="AA495" s="152"/>
      <c r="AB495" s="152"/>
      <c r="AC495" s="152"/>
      <c r="AD495" s="152"/>
      <c r="AE495" s="152"/>
      <c r="AF495" s="152"/>
      <c r="AG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  <c r="AA496" s="152"/>
      <c r="AB496" s="152"/>
      <c r="AC496" s="152"/>
      <c r="AD496" s="152"/>
      <c r="AE496" s="152"/>
      <c r="AF496" s="152"/>
      <c r="AG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  <c r="AA497" s="152"/>
      <c r="AB497" s="152"/>
      <c r="AC497" s="152"/>
      <c r="AD497" s="152"/>
      <c r="AE497" s="152"/>
      <c r="AF497" s="152"/>
      <c r="AG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  <c r="AA498" s="152"/>
      <c r="AB498" s="152"/>
      <c r="AC498" s="152"/>
      <c r="AD498" s="152"/>
      <c r="AE498" s="152"/>
      <c r="AF498" s="152"/>
      <c r="AG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  <c r="AA499" s="152"/>
      <c r="AB499" s="152"/>
      <c r="AC499" s="152"/>
      <c r="AD499" s="152"/>
      <c r="AE499" s="152"/>
      <c r="AF499" s="152"/>
      <c r="AG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  <c r="AA500" s="152"/>
      <c r="AB500" s="152"/>
      <c r="AC500" s="152"/>
      <c r="AD500" s="152"/>
      <c r="AE500" s="152"/>
      <c r="AF500" s="152"/>
      <c r="AG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  <c r="AA501" s="152"/>
      <c r="AB501" s="152"/>
      <c r="AC501" s="152"/>
      <c r="AD501" s="152"/>
      <c r="AE501" s="152"/>
      <c r="AF501" s="152"/>
      <c r="AG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  <c r="AA502" s="152"/>
      <c r="AB502" s="152"/>
      <c r="AC502" s="152"/>
      <c r="AD502" s="152"/>
      <c r="AE502" s="152"/>
      <c r="AF502" s="152"/>
      <c r="AG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  <c r="AA503" s="152"/>
      <c r="AB503" s="152"/>
      <c r="AC503" s="152"/>
      <c r="AD503" s="152"/>
      <c r="AE503" s="152"/>
      <c r="AF503" s="152"/>
      <c r="AG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  <c r="AA504" s="152"/>
      <c r="AB504" s="152"/>
      <c r="AC504" s="152"/>
      <c r="AD504" s="152"/>
      <c r="AE504" s="152"/>
      <c r="AF504" s="152"/>
      <c r="AG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  <c r="AA506" s="152"/>
      <c r="AB506" s="152"/>
      <c r="AC506" s="152"/>
      <c r="AD506" s="152"/>
      <c r="AE506" s="152"/>
      <c r="AF506" s="152"/>
      <c r="AG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  <c r="AA507" s="152"/>
      <c r="AB507" s="152"/>
      <c r="AC507" s="152"/>
      <c r="AD507" s="152"/>
      <c r="AE507" s="152"/>
      <c r="AF507" s="152"/>
      <c r="AG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  <c r="AA508" s="152"/>
      <c r="AB508" s="152"/>
      <c r="AC508" s="152"/>
      <c r="AD508" s="152"/>
      <c r="AE508" s="152"/>
      <c r="AF508" s="152"/>
      <c r="AG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2"/>
      <c r="AD509" s="152"/>
      <c r="AE509" s="152"/>
      <c r="AF509" s="152"/>
      <c r="AG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  <c r="AA510" s="152"/>
      <c r="AB510" s="152"/>
      <c r="AC510" s="152"/>
      <c r="AD510" s="152"/>
      <c r="AE510" s="152"/>
      <c r="AF510" s="152"/>
      <c r="AG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  <c r="AA511" s="152"/>
      <c r="AB511" s="152"/>
      <c r="AC511" s="152"/>
      <c r="AD511" s="152"/>
      <c r="AE511" s="152"/>
      <c r="AF511" s="152"/>
      <c r="AG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  <c r="AA513" s="152"/>
      <c r="AB513" s="152"/>
      <c r="AC513" s="152"/>
      <c r="AD513" s="152"/>
      <c r="AE513" s="152"/>
      <c r="AF513" s="152"/>
      <c r="AG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  <c r="AA514" s="152"/>
      <c r="AB514" s="152"/>
      <c r="AC514" s="152"/>
      <c r="AD514" s="152"/>
      <c r="AE514" s="152"/>
      <c r="AF514" s="152"/>
      <c r="AG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  <c r="AA515" s="152"/>
      <c r="AB515" s="152"/>
      <c r="AC515" s="152"/>
      <c r="AD515" s="152"/>
      <c r="AE515" s="152"/>
      <c r="AF515" s="152"/>
      <c r="AG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  <c r="AA516" s="152"/>
      <c r="AB516" s="152"/>
      <c r="AC516" s="152"/>
      <c r="AD516" s="152"/>
      <c r="AE516" s="152"/>
      <c r="AF516" s="152"/>
      <c r="AG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  <c r="AA517" s="152"/>
      <c r="AB517" s="152"/>
      <c r="AC517" s="152"/>
      <c r="AD517" s="152"/>
      <c r="AE517" s="152"/>
      <c r="AF517" s="152"/>
      <c r="AG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  <c r="AA518" s="152"/>
      <c r="AB518" s="152"/>
      <c r="AC518" s="152"/>
      <c r="AD518" s="152"/>
      <c r="AE518" s="152"/>
      <c r="AF518" s="152"/>
      <c r="AG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  <c r="AA519" s="152"/>
      <c r="AB519" s="152"/>
      <c r="AC519" s="152"/>
      <c r="AD519" s="152"/>
      <c r="AE519" s="152"/>
      <c r="AF519" s="152"/>
      <c r="AG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  <c r="AA520" s="152"/>
      <c r="AB520" s="152"/>
      <c r="AC520" s="152"/>
      <c r="AD520" s="152"/>
      <c r="AE520" s="152"/>
      <c r="AF520" s="152"/>
      <c r="AG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  <c r="AA521" s="152"/>
      <c r="AB521" s="152"/>
      <c r="AC521" s="152"/>
      <c r="AD521" s="152"/>
      <c r="AE521" s="152"/>
      <c r="AF521" s="152"/>
      <c r="AG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  <c r="AA522" s="152"/>
      <c r="AB522" s="152"/>
      <c r="AC522" s="152"/>
      <c r="AD522" s="152"/>
      <c r="AE522" s="152"/>
      <c r="AF522" s="152"/>
      <c r="AG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2"/>
      <c r="AD523" s="152"/>
      <c r="AE523" s="152"/>
      <c r="AF523" s="152"/>
      <c r="AG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  <c r="AA526" s="152"/>
      <c r="AB526" s="152"/>
      <c r="AC526" s="152"/>
      <c r="AD526" s="152"/>
      <c r="AE526" s="152"/>
      <c r="AF526" s="152"/>
      <c r="AG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  <c r="AC527" s="152"/>
      <c r="AD527" s="152"/>
      <c r="AE527" s="152"/>
      <c r="AF527" s="152"/>
      <c r="AG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  <c r="AA528" s="152"/>
      <c r="AB528" s="152"/>
      <c r="AC528" s="152"/>
      <c r="AD528" s="152"/>
      <c r="AE528" s="152"/>
      <c r="AF528" s="152"/>
      <c r="AG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  <c r="AA529" s="152"/>
      <c r="AB529" s="152"/>
      <c r="AC529" s="152"/>
      <c r="AD529" s="152"/>
      <c r="AE529" s="152"/>
      <c r="AF529" s="152"/>
      <c r="AG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  <c r="AA530" s="152"/>
      <c r="AB530" s="152"/>
      <c r="AC530" s="152"/>
      <c r="AD530" s="152"/>
      <c r="AE530" s="152"/>
      <c r="AF530" s="152"/>
      <c r="AG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  <c r="AA531" s="152"/>
      <c r="AB531" s="152"/>
      <c r="AC531" s="152"/>
      <c r="AD531" s="152"/>
      <c r="AE531" s="152"/>
      <c r="AF531" s="152"/>
      <c r="AG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  <c r="AA533" s="152"/>
      <c r="AB533" s="152"/>
      <c r="AC533" s="152"/>
      <c r="AD533" s="152"/>
      <c r="AE533" s="152"/>
      <c r="AF533" s="152"/>
      <c r="AG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  <c r="AA534" s="152"/>
      <c r="AB534" s="152"/>
      <c r="AC534" s="152"/>
      <c r="AD534" s="152"/>
      <c r="AE534" s="152"/>
      <c r="AF534" s="152"/>
      <c r="AG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  <c r="AA535" s="152"/>
      <c r="AB535" s="152"/>
      <c r="AC535" s="152"/>
      <c r="AD535" s="152"/>
      <c r="AE535" s="152"/>
      <c r="AF535" s="152"/>
      <c r="AG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  <c r="AA536" s="152"/>
      <c r="AB536" s="152"/>
      <c r="AC536" s="152"/>
      <c r="AD536" s="152"/>
      <c r="AE536" s="152"/>
      <c r="AF536" s="152"/>
      <c r="AG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2"/>
      <c r="AD537" s="152"/>
      <c r="AE537" s="152"/>
      <c r="AF537" s="152"/>
      <c r="AG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  <c r="AA538" s="152"/>
      <c r="AB538" s="152"/>
      <c r="AC538" s="152"/>
      <c r="AD538" s="152"/>
      <c r="AE538" s="152"/>
      <c r="AF538" s="152"/>
      <c r="AG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  <c r="AA539" s="152"/>
      <c r="AB539" s="152"/>
      <c r="AC539" s="152"/>
      <c r="AD539" s="152"/>
      <c r="AE539" s="152"/>
      <c r="AF539" s="152"/>
      <c r="AG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  <c r="AA540" s="152"/>
      <c r="AB540" s="152"/>
      <c r="AC540" s="152"/>
      <c r="AD540" s="152"/>
      <c r="AE540" s="152"/>
      <c r="AF540" s="152"/>
      <c r="AG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  <c r="AA541" s="152"/>
      <c r="AB541" s="152"/>
      <c r="AC541" s="152"/>
      <c r="AD541" s="152"/>
      <c r="AE541" s="152"/>
      <c r="AF541" s="152"/>
      <c r="AG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  <c r="AA542" s="152"/>
      <c r="AB542" s="152"/>
      <c r="AC542" s="152"/>
      <c r="AD542" s="152"/>
      <c r="AE542" s="152"/>
      <c r="AF542" s="152"/>
      <c r="AG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  <c r="AA543" s="152"/>
      <c r="AB543" s="152"/>
      <c r="AC543" s="152"/>
      <c r="AD543" s="152"/>
      <c r="AE543" s="152"/>
      <c r="AF543" s="152"/>
      <c r="AG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  <c r="AA544" s="152"/>
      <c r="AB544" s="152"/>
      <c r="AC544" s="152"/>
      <c r="AD544" s="152"/>
      <c r="AE544" s="152"/>
      <c r="AF544" s="152"/>
      <c r="AG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  <c r="AA546" s="152"/>
      <c r="AB546" s="152"/>
      <c r="AC546" s="152"/>
      <c r="AD546" s="152"/>
      <c r="AE546" s="152"/>
      <c r="AF546" s="152"/>
      <c r="AG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  <c r="AA547" s="152"/>
      <c r="AB547" s="152"/>
      <c r="AC547" s="152"/>
      <c r="AD547" s="152"/>
      <c r="AE547" s="152"/>
      <c r="AF547" s="152"/>
      <c r="AG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  <c r="AA548" s="152"/>
      <c r="AB548" s="152"/>
      <c r="AC548" s="152"/>
      <c r="AD548" s="152"/>
      <c r="AE548" s="152"/>
      <c r="AF548" s="152"/>
      <c r="AG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  <c r="AA549" s="152"/>
      <c r="AB549" s="152"/>
      <c r="AC549" s="152"/>
      <c r="AD549" s="152"/>
      <c r="AE549" s="152"/>
      <c r="AF549" s="152"/>
      <c r="AG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  <c r="AA550" s="152"/>
      <c r="AB550" s="152"/>
      <c r="AC550" s="152"/>
      <c r="AD550" s="152"/>
      <c r="AE550" s="152"/>
      <c r="AF550" s="152"/>
      <c r="AG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2"/>
      <c r="AD551" s="152"/>
      <c r="AE551" s="152"/>
      <c r="AF551" s="152"/>
      <c r="AG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  <c r="AA553" s="152"/>
      <c r="AB553" s="152"/>
      <c r="AC553" s="152"/>
      <c r="AD553" s="152"/>
      <c r="AE553" s="152"/>
      <c r="AF553" s="152"/>
      <c r="AG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  <c r="AA554" s="152"/>
      <c r="AB554" s="152"/>
      <c r="AC554" s="152"/>
      <c r="AD554" s="152"/>
      <c r="AE554" s="152"/>
      <c r="AF554" s="152"/>
      <c r="AG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  <c r="AA555" s="152"/>
      <c r="AB555" s="152"/>
      <c r="AC555" s="152"/>
      <c r="AD555" s="152"/>
      <c r="AE555" s="152"/>
      <c r="AF555" s="152"/>
      <c r="AG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  <c r="AA556" s="152"/>
      <c r="AB556" s="152"/>
      <c r="AC556" s="152"/>
      <c r="AD556" s="152"/>
      <c r="AE556" s="152"/>
      <c r="AF556" s="152"/>
      <c r="AG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  <c r="AA557" s="152"/>
      <c r="AB557" s="152"/>
      <c r="AC557" s="152"/>
      <c r="AD557" s="152"/>
      <c r="AE557" s="152"/>
      <c r="AF557" s="152"/>
      <c r="AG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  <c r="AA558" s="152"/>
      <c r="AB558" s="152"/>
      <c r="AC558" s="152"/>
      <c r="AD558" s="152"/>
      <c r="AE558" s="152"/>
      <c r="AF558" s="152"/>
      <c r="AG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  <c r="AA559" s="152"/>
      <c r="AB559" s="152"/>
      <c r="AC559" s="152"/>
      <c r="AD559" s="152"/>
      <c r="AE559" s="152"/>
      <c r="AF559" s="152"/>
      <c r="AG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  <c r="AA560" s="152"/>
      <c r="AB560" s="152"/>
      <c r="AC560" s="152"/>
      <c r="AD560" s="152"/>
      <c r="AE560" s="152"/>
      <c r="AF560" s="152"/>
      <c r="AG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  <c r="AA561" s="152"/>
      <c r="AB561" s="152"/>
      <c r="AC561" s="152"/>
      <c r="AD561" s="152"/>
      <c r="AE561" s="152"/>
      <c r="AF561" s="152"/>
      <c r="AG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  <c r="AA562" s="152"/>
      <c r="AB562" s="152"/>
      <c r="AC562" s="152"/>
      <c r="AD562" s="152"/>
      <c r="AE562" s="152"/>
      <c r="AF562" s="152"/>
      <c r="AG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  <c r="AA563" s="152"/>
      <c r="AB563" s="152"/>
      <c r="AC563" s="152"/>
      <c r="AD563" s="152"/>
      <c r="AE563" s="152"/>
      <c r="AF563" s="152"/>
      <c r="AG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2"/>
      <c r="AD564" s="152"/>
      <c r="AE564" s="152"/>
      <c r="AF564" s="152"/>
      <c r="AG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  <c r="AA566" s="152"/>
      <c r="AB566" s="152"/>
      <c r="AC566" s="152"/>
      <c r="AD566" s="152"/>
      <c r="AE566" s="152"/>
      <c r="AF566" s="152"/>
      <c r="AG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  <c r="AA567" s="152"/>
      <c r="AB567" s="152"/>
      <c r="AC567" s="152"/>
      <c r="AD567" s="152"/>
      <c r="AE567" s="152"/>
      <c r="AF567" s="152"/>
      <c r="AG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  <c r="AA568" s="152"/>
      <c r="AB568" s="152"/>
      <c r="AC568" s="152"/>
      <c r="AD568" s="152"/>
      <c r="AE568" s="152"/>
      <c r="AF568" s="152"/>
      <c r="AG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  <c r="AA569" s="152"/>
      <c r="AB569" s="152"/>
      <c r="AC569" s="152"/>
      <c r="AD569" s="152"/>
      <c r="AE569" s="152"/>
      <c r="AF569" s="152"/>
      <c r="AG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  <c r="AA570" s="152"/>
      <c r="AB570" s="152"/>
      <c r="AC570" s="152"/>
      <c r="AD570" s="152"/>
      <c r="AE570" s="152"/>
      <c r="AF570" s="152"/>
      <c r="AG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  <c r="AA571" s="152"/>
      <c r="AB571" s="152"/>
      <c r="AC571" s="152"/>
      <c r="AD571" s="152"/>
      <c r="AE571" s="152"/>
      <c r="AF571" s="152"/>
      <c r="AG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  <c r="AA573" s="152"/>
      <c r="AB573" s="152"/>
      <c r="AC573" s="152"/>
      <c r="AD573" s="152"/>
      <c r="AE573" s="152"/>
      <c r="AF573" s="152"/>
      <c r="AG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  <c r="AA574" s="152"/>
      <c r="AB574" s="152"/>
      <c r="AC574" s="152"/>
      <c r="AD574" s="152"/>
      <c r="AE574" s="152"/>
      <c r="AF574" s="152"/>
      <c r="AG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  <c r="AA575" s="152"/>
      <c r="AB575" s="152"/>
      <c r="AC575" s="152"/>
      <c r="AD575" s="152"/>
      <c r="AE575" s="152"/>
      <c r="AF575" s="152"/>
      <c r="AG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  <c r="AA576" s="152"/>
      <c r="AB576" s="152"/>
      <c r="AC576" s="152"/>
      <c r="AD576" s="152"/>
      <c r="AE576" s="152"/>
      <c r="AF576" s="152"/>
      <c r="AG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  <c r="AA577" s="152"/>
      <c r="AB577" s="152"/>
      <c r="AC577" s="152"/>
      <c r="AD577" s="152"/>
      <c r="AE577" s="152"/>
      <c r="AF577" s="152"/>
      <c r="AG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  <c r="AA578" s="152"/>
      <c r="AB578" s="152"/>
      <c r="AC578" s="152"/>
      <c r="AD578" s="152"/>
      <c r="AE578" s="152"/>
      <c r="AF578" s="152"/>
      <c r="AG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  <c r="AA579" s="152"/>
      <c r="AB579" s="152"/>
      <c r="AC579" s="152"/>
      <c r="AD579" s="152"/>
      <c r="AE579" s="152"/>
      <c r="AF579" s="152"/>
      <c r="AG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  <c r="AA580" s="152"/>
      <c r="AB580" s="152"/>
      <c r="AC580" s="152"/>
      <c r="AD580" s="152"/>
      <c r="AE580" s="152"/>
      <c r="AF580" s="152"/>
      <c r="AG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  <c r="AA581" s="152"/>
      <c r="AB581" s="152"/>
      <c r="AC581" s="152"/>
      <c r="AD581" s="152"/>
      <c r="AE581" s="152"/>
      <c r="AF581" s="152"/>
      <c r="AG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2"/>
      <c r="AD582" s="152"/>
      <c r="AE582" s="152"/>
      <c r="AF582" s="152"/>
      <c r="AG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  <c r="AA583" s="152"/>
      <c r="AB583" s="152"/>
      <c r="AC583" s="152"/>
      <c r="AD583" s="152"/>
      <c r="AE583" s="152"/>
      <c r="AF583" s="152"/>
      <c r="AG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  <c r="AA584" s="152"/>
      <c r="AB584" s="152"/>
      <c r="AC584" s="152"/>
      <c r="AD584" s="152"/>
      <c r="AE584" s="152"/>
      <c r="AF584" s="152"/>
      <c r="AG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  <c r="AA586" s="152"/>
      <c r="AB586" s="152"/>
      <c r="AC586" s="152"/>
      <c r="AD586" s="152"/>
      <c r="AE586" s="152"/>
      <c r="AF586" s="152"/>
      <c r="AG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  <c r="AA587" s="152"/>
      <c r="AB587" s="152"/>
      <c r="AC587" s="152"/>
      <c r="AD587" s="152"/>
      <c r="AE587" s="152"/>
      <c r="AF587" s="152"/>
      <c r="AG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  <c r="AA588" s="152"/>
      <c r="AB588" s="152"/>
      <c r="AC588" s="152"/>
      <c r="AD588" s="152"/>
      <c r="AE588" s="152"/>
      <c r="AF588" s="152"/>
      <c r="AG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  <c r="AA589" s="152"/>
      <c r="AB589" s="152"/>
      <c r="AC589" s="152"/>
      <c r="AD589" s="152"/>
      <c r="AE589" s="152"/>
      <c r="AF589" s="152"/>
      <c r="AG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  <c r="AA590" s="152"/>
      <c r="AB590" s="152"/>
      <c r="AC590" s="152"/>
      <c r="AD590" s="152"/>
      <c r="AE590" s="152"/>
      <c r="AF590" s="152"/>
      <c r="AG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  <c r="AA591" s="152"/>
      <c r="AB591" s="152"/>
      <c r="AC591" s="152"/>
      <c r="AD591" s="152"/>
      <c r="AE591" s="152"/>
      <c r="AF591" s="152"/>
      <c r="AG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  <c r="AA594" s="152"/>
      <c r="AB594" s="152"/>
      <c r="AC594" s="152"/>
      <c r="AD594" s="152"/>
      <c r="AE594" s="152"/>
      <c r="AF594" s="152"/>
      <c r="AG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2"/>
      <c r="AD595" s="152"/>
      <c r="AE595" s="152"/>
      <c r="AF595" s="152"/>
      <c r="AG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  <c r="AA596" s="152"/>
      <c r="AB596" s="152"/>
      <c r="AC596" s="152"/>
      <c r="AD596" s="152"/>
      <c r="AE596" s="152"/>
      <c r="AF596" s="152"/>
      <c r="AG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  <c r="AA597" s="152"/>
      <c r="AB597" s="152"/>
      <c r="AC597" s="152"/>
      <c r="AD597" s="152"/>
      <c r="AE597" s="152"/>
      <c r="AF597" s="152"/>
      <c r="AG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  <c r="AC598" s="152"/>
      <c r="AD598" s="152"/>
      <c r="AE598" s="152"/>
      <c r="AF598" s="152"/>
      <c r="AG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  <c r="AA599" s="152"/>
      <c r="AB599" s="152"/>
      <c r="AC599" s="152"/>
      <c r="AD599" s="152"/>
      <c r="AE599" s="152"/>
      <c r="AF599" s="152"/>
      <c r="AG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  <c r="AA600" s="152"/>
      <c r="AB600" s="152"/>
      <c r="AC600" s="152"/>
      <c r="AD600" s="152"/>
      <c r="AE600" s="152"/>
      <c r="AF600" s="152"/>
      <c r="AG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  <c r="AA601" s="152"/>
      <c r="AB601" s="152"/>
      <c r="AC601" s="152"/>
      <c r="AD601" s="152"/>
      <c r="AE601" s="152"/>
      <c r="AF601" s="152"/>
      <c r="AG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  <c r="AA602" s="152"/>
      <c r="AB602" s="152"/>
      <c r="AC602" s="152"/>
      <c r="AD602" s="152"/>
      <c r="AE602" s="152"/>
      <c r="AF602" s="152"/>
      <c r="AG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  <c r="AA603" s="152"/>
      <c r="AB603" s="152"/>
      <c r="AC603" s="152"/>
      <c r="AD603" s="152"/>
      <c r="AE603" s="152"/>
      <c r="AF603" s="152"/>
      <c r="AG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  <c r="AA604" s="152"/>
      <c r="AB604" s="152"/>
      <c r="AC604" s="152"/>
      <c r="AD604" s="152"/>
      <c r="AE604" s="152"/>
      <c r="AF604" s="152"/>
      <c r="AG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  <c r="AA606" s="152"/>
      <c r="AB606" s="152"/>
      <c r="AC606" s="152"/>
      <c r="AD606" s="152"/>
      <c r="AE606" s="152"/>
      <c r="AF606" s="152"/>
      <c r="AG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  <c r="AA607" s="152"/>
      <c r="AB607" s="152"/>
      <c r="AC607" s="152"/>
      <c r="AD607" s="152"/>
      <c r="AE607" s="152"/>
      <c r="AF607" s="152"/>
      <c r="AG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2"/>
      <c r="AD608" s="152"/>
      <c r="AE608" s="152"/>
      <c r="AF608" s="152"/>
      <c r="AG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  <c r="AA609" s="152"/>
      <c r="AB609" s="152"/>
      <c r="AC609" s="152"/>
      <c r="AD609" s="152"/>
      <c r="AE609" s="152"/>
      <c r="AF609" s="152"/>
      <c r="AG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  <c r="AA610" s="152"/>
      <c r="AB610" s="152"/>
      <c r="AC610" s="152"/>
      <c r="AD610" s="152"/>
      <c r="AE610" s="152"/>
      <c r="AF610" s="152"/>
      <c r="AG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  <c r="AA611" s="152"/>
      <c r="AB611" s="152"/>
      <c r="AC611" s="152"/>
      <c r="AD611" s="152"/>
      <c r="AE611" s="152"/>
      <c r="AF611" s="152"/>
      <c r="AG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  <c r="AA614" s="152"/>
      <c r="AB614" s="152"/>
      <c r="AC614" s="152"/>
      <c r="AD614" s="152"/>
      <c r="AE614" s="152"/>
      <c r="AF614" s="152"/>
      <c r="AG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  <c r="AA615" s="152"/>
      <c r="AB615" s="152"/>
      <c r="AC615" s="152"/>
      <c r="AD615" s="152"/>
      <c r="AE615" s="152"/>
      <c r="AF615" s="152"/>
      <c r="AG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  <c r="AA616" s="152"/>
      <c r="AB616" s="152"/>
      <c r="AC616" s="152"/>
      <c r="AD616" s="152"/>
      <c r="AE616" s="152"/>
      <c r="AF616" s="152"/>
      <c r="AG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  <c r="AA617" s="152"/>
      <c r="AB617" s="152"/>
      <c r="AC617" s="152"/>
      <c r="AD617" s="152"/>
      <c r="AE617" s="152"/>
      <c r="AF617" s="152"/>
      <c r="AG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  <c r="AA618" s="152"/>
      <c r="AB618" s="152"/>
      <c r="AC618" s="152"/>
      <c r="AD618" s="152"/>
      <c r="AE618" s="152"/>
      <c r="AF618" s="152"/>
      <c r="AG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  <c r="AA619" s="152"/>
      <c r="AB619" s="152"/>
      <c r="AC619" s="152"/>
      <c r="AD619" s="152"/>
      <c r="AE619" s="152"/>
      <c r="AF619" s="152"/>
      <c r="AG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  <c r="AA620" s="152"/>
      <c r="AB620" s="152"/>
      <c r="AC620" s="152"/>
      <c r="AD620" s="152"/>
      <c r="AE620" s="152"/>
      <c r="AF620" s="152"/>
      <c r="AG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2"/>
      <c r="AD621" s="152"/>
      <c r="AE621" s="152"/>
      <c r="AF621" s="152"/>
      <c r="AG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  <c r="AA622" s="152"/>
      <c r="AB622" s="152"/>
      <c r="AC622" s="152"/>
      <c r="AD622" s="152"/>
      <c r="AE622" s="152"/>
      <c r="AF622" s="152"/>
      <c r="AG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  <c r="AA623" s="152"/>
      <c r="AB623" s="152"/>
      <c r="AC623" s="152"/>
      <c r="AD623" s="152"/>
      <c r="AE623" s="152"/>
      <c r="AF623" s="152"/>
      <c r="AG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  <c r="AA624" s="152"/>
      <c r="AB624" s="152"/>
      <c r="AC624" s="152"/>
      <c r="AD624" s="152"/>
      <c r="AE624" s="152"/>
      <c r="AF624" s="152"/>
      <c r="AG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  <c r="AA625" s="152"/>
      <c r="AB625" s="152"/>
      <c r="AC625" s="152"/>
      <c r="AD625" s="152"/>
      <c r="AE625" s="152"/>
      <c r="AF625" s="152"/>
      <c r="AG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  <c r="AA626" s="152"/>
      <c r="AB626" s="152"/>
      <c r="AC626" s="152"/>
      <c r="AD626" s="152"/>
      <c r="AE626" s="152"/>
      <c r="AF626" s="152"/>
      <c r="AG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  <c r="AA627" s="152"/>
      <c r="AB627" s="152"/>
      <c r="AC627" s="152"/>
      <c r="AD627" s="152"/>
      <c r="AE627" s="152"/>
      <c r="AF627" s="152"/>
      <c r="AG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  <c r="AA628" s="152"/>
      <c r="AB628" s="152"/>
      <c r="AC628" s="152"/>
      <c r="AD628" s="152"/>
      <c r="AE628" s="152"/>
      <c r="AF628" s="152"/>
      <c r="AG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  <c r="AA629" s="152"/>
      <c r="AB629" s="152"/>
      <c r="AC629" s="152"/>
      <c r="AD629" s="152"/>
      <c r="AE629" s="152"/>
      <c r="AF629" s="152"/>
      <c r="AG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  <c r="AA630" s="152"/>
      <c r="AB630" s="152"/>
      <c r="AC630" s="152"/>
      <c r="AD630" s="152"/>
      <c r="AE630" s="152"/>
      <c r="AF630" s="152"/>
      <c r="AG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  <c r="AA631" s="152"/>
      <c r="AB631" s="152"/>
      <c r="AC631" s="152"/>
      <c r="AD631" s="152"/>
      <c r="AE631" s="152"/>
      <c r="AF631" s="152"/>
      <c r="AG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  <c r="AA632" s="152"/>
      <c r="AB632" s="152"/>
      <c r="AC632" s="152"/>
      <c r="AD632" s="152"/>
      <c r="AE632" s="152"/>
      <c r="AF632" s="152"/>
      <c r="AG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  <c r="AA633" s="152"/>
      <c r="AB633" s="152"/>
      <c r="AC633" s="152"/>
      <c r="AD633" s="152"/>
      <c r="AE633" s="152"/>
      <c r="AF633" s="152"/>
      <c r="AG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  <c r="AA634" s="152"/>
      <c r="AB634" s="152"/>
      <c r="AC634" s="152"/>
      <c r="AD634" s="152"/>
      <c r="AE634" s="152"/>
      <c r="AF634" s="152"/>
      <c r="AG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  <c r="AA635" s="152"/>
      <c r="AB635" s="152"/>
      <c r="AC635" s="152"/>
      <c r="AD635" s="152"/>
      <c r="AE635" s="152"/>
      <c r="AF635" s="152"/>
      <c r="AG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2"/>
      <c r="AD636" s="152"/>
      <c r="AE636" s="152"/>
      <c r="AF636" s="152"/>
      <c r="AG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  <c r="AA637" s="152"/>
      <c r="AB637" s="152"/>
      <c r="AC637" s="152"/>
      <c r="AD637" s="152"/>
      <c r="AE637" s="152"/>
      <c r="AF637" s="152"/>
      <c r="AG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  <c r="AA638" s="152"/>
      <c r="AB638" s="152"/>
      <c r="AC638" s="152"/>
      <c r="AD638" s="152"/>
      <c r="AE638" s="152"/>
      <c r="AF638" s="152"/>
      <c r="AG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  <c r="AA639" s="152"/>
      <c r="AB639" s="152"/>
      <c r="AC639" s="152"/>
      <c r="AD639" s="152"/>
      <c r="AE639" s="152"/>
      <c r="AF639" s="152"/>
      <c r="AG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  <c r="AA640" s="152"/>
      <c r="AB640" s="152"/>
      <c r="AC640" s="152"/>
      <c r="AD640" s="152"/>
      <c r="AE640" s="152"/>
      <c r="AF640" s="152"/>
      <c r="AG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  <c r="AA641" s="152"/>
      <c r="AB641" s="152"/>
      <c r="AC641" s="152"/>
      <c r="AD641" s="152"/>
      <c r="AE641" s="152"/>
      <c r="AF641" s="152"/>
      <c r="AG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  <c r="AA642" s="152"/>
      <c r="AB642" s="152"/>
      <c r="AC642" s="152"/>
      <c r="AD642" s="152"/>
      <c r="AE642" s="152"/>
      <c r="AF642" s="152"/>
      <c r="AG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  <c r="AA643" s="152"/>
      <c r="AB643" s="152"/>
      <c r="AC643" s="152"/>
      <c r="AD643" s="152"/>
      <c r="AE643" s="152"/>
      <c r="AF643" s="152"/>
      <c r="AG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  <c r="AA644" s="152"/>
      <c r="AB644" s="152"/>
      <c r="AC644" s="152"/>
      <c r="AD644" s="152"/>
      <c r="AE644" s="152"/>
      <c r="AF644" s="152"/>
      <c r="AG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  <c r="AA646" s="152"/>
      <c r="AB646" s="152"/>
      <c r="AC646" s="152"/>
      <c r="AD646" s="152"/>
      <c r="AE646" s="152"/>
      <c r="AF646" s="152"/>
      <c r="AG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  <c r="AA647" s="152"/>
      <c r="AB647" s="152"/>
      <c r="AC647" s="152"/>
      <c r="AD647" s="152"/>
      <c r="AE647" s="152"/>
      <c r="AF647" s="152"/>
      <c r="AG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  <c r="AA648" s="152"/>
      <c r="AB648" s="152"/>
      <c r="AC648" s="152"/>
      <c r="AD648" s="152"/>
      <c r="AE648" s="152"/>
      <c r="AF648" s="152"/>
      <c r="AG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2"/>
      <c r="AD649" s="152"/>
      <c r="AE649" s="152"/>
      <c r="AF649" s="152"/>
      <c r="AG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  <c r="AA650" s="152"/>
      <c r="AB650" s="152"/>
      <c r="AC650" s="152"/>
      <c r="AD650" s="152"/>
      <c r="AE650" s="152"/>
      <c r="AF650" s="152"/>
      <c r="AG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  <c r="AA651" s="152"/>
      <c r="AB651" s="152"/>
      <c r="AC651" s="152"/>
      <c r="AD651" s="152"/>
      <c r="AE651" s="152"/>
      <c r="AF651" s="152"/>
      <c r="AG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  <c r="AA652" s="152"/>
      <c r="AB652" s="152"/>
      <c r="AC652" s="152"/>
      <c r="AD652" s="152"/>
      <c r="AE652" s="152"/>
      <c r="AF652" s="152"/>
      <c r="AG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  <c r="AA653" s="152"/>
      <c r="AB653" s="152"/>
      <c r="AC653" s="152"/>
      <c r="AD653" s="152"/>
      <c r="AE653" s="152"/>
      <c r="AF653" s="152"/>
      <c r="AG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  <c r="AA654" s="152"/>
      <c r="AB654" s="152"/>
      <c r="AC654" s="152"/>
      <c r="AD654" s="152"/>
      <c r="AE654" s="152"/>
      <c r="AF654" s="152"/>
      <c r="AG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  <c r="AA655" s="152"/>
      <c r="AB655" s="152"/>
      <c r="AC655" s="152"/>
      <c r="AD655" s="152"/>
      <c r="AE655" s="152"/>
      <c r="AF655" s="152"/>
      <c r="AG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  <c r="AA656" s="152"/>
      <c r="AB656" s="152"/>
      <c r="AC656" s="152"/>
      <c r="AD656" s="152"/>
      <c r="AE656" s="152"/>
      <c r="AF656" s="152"/>
      <c r="AG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  <c r="AA657" s="152"/>
      <c r="AB657" s="152"/>
      <c r="AC657" s="152"/>
      <c r="AD657" s="152"/>
      <c r="AE657" s="152"/>
      <c r="AF657" s="152"/>
      <c r="AG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  <c r="AA658" s="152"/>
      <c r="AB658" s="152"/>
      <c r="AC658" s="152"/>
      <c r="AD658" s="152"/>
      <c r="AE658" s="152"/>
      <c r="AF658" s="152"/>
      <c r="AG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  <c r="AA659" s="152"/>
      <c r="AB659" s="152"/>
      <c r="AC659" s="152"/>
      <c r="AD659" s="152"/>
      <c r="AE659" s="152"/>
      <c r="AF659" s="152"/>
      <c r="AG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  <c r="AA660" s="152"/>
      <c r="AB660" s="152"/>
      <c r="AC660" s="152"/>
      <c r="AD660" s="152"/>
      <c r="AE660" s="152"/>
      <c r="AF660" s="152"/>
      <c r="AG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  <c r="AA661" s="152"/>
      <c r="AB661" s="152"/>
      <c r="AC661" s="152"/>
      <c r="AD661" s="152"/>
      <c r="AE661" s="152"/>
      <c r="AF661" s="152"/>
      <c r="AG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  <c r="AC662" s="152"/>
      <c r="AD662" s="152"/>
      <c r="AE662" s="152"/>
      <c r="AF662" s="152"/>
      <c r="AG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  <c r="AA663" s="152"/>
      <c r="AB663" s="152"/>
      <c r="AC663" s="152"/>
      <c r="AD663" s="152"/>
      <c r="AE663" s="152"/>
      <c r="AF663" s="152"/>
      <c r="AG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2"/>
      <c r="AD664" s="152"/>
      <c r="AE664" s="152"/>
      <c r="AF664" s="152"/>
      <c r="AG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  <c r="AA665" s="152"/>
      <c r="AB665" s="152"/>
      <c r="AC665" s="152"/>
      <c r="AD665" s="152"/>
      <c r="AE665" s="152"/>
      <c r="AF665" s="152"/>
      <c r="AG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  <c r="AA666" s="152"/>
      <c r="AB666" s="152"/>
      <c r="AC666" s="152"/>
      <c r="AD666" s="152"/>
      <c r="AE666" s="152"/>
      <c r="AF666" s="152"/>
      <c r="AG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  <c r="AA667" s="152"/>
      <c r="AB667" s="152"/>
      <c r="AC667" s="152"/>
      <c r="AD667" s="152"/>
      <c r="AE667" s="152"/>
      <c r="AF667" s="152"/>
      <c r="AG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  <c r="AA668" s="152"/>
      <c r="AB668" s="152"/>
      <c r="AC668" s="152"/>
      <c r="AD668" s="152"/>
      <c r="AE668" s="152"/>
      <c r="AF668" s="152"/>
      <c r="AG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  <c r="AA669" s="152"/>
      <c r="AB669" s="152"/>
      <c r="AC669" s="152"/>
      <c r="AD669" s="152"/>
      <c r="AE669" s="152"/>
      <c r="AF669" s="152"/>
      <c r="AG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  <c r="AA670" s="152"/>
      <c r="AB670" s="152"/>
      <c r="AC670" s="152"/>
      <c r="AD670" s="152"/>
      <c r="AE670" s="152"/>
      <c r="AF670" s="152"/>
      <c r="AG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  <c r="AA671" s="152"/>
      <c r="AB671" s="152"/>
      <c r="AC671" s="152"/>
      <c r="AD671" s="152"/>
      <c r="AE671" s="152"/>
      <c r="AF671" s="152"/>
      <c r="AG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  <c r="AA672" s="152"/>
      <c r="AB672" s="152"/>
      <c r="AC672" s="152"/>
      <c r="AD672" s="152"/>
      <c r="AE672" s="152"/>
      <c r="AF672" s="152"/>
      <c r="AG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  <c r="AA673" s="152"/>
      <c r="AB673" s="152"/>
      <c r="AC673" s="152"/>
      <c r="AD673" s="152"/>
      <c r="AE673" s="152"/>
      <c r="AF673" s="152"/>
      <c r="AG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  <c r="AA674" s="152"/>
      <c r="AB674" s="152"/>
      <c r="AC674" s="152"/>
      <c r="AD674" s="152"/>
      <c r="AE674" s="152"/>
      <c r="AF674" s="152"/>
      <c r="AG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  <c r="AA675" s="152"/>
      <c r="AB675" s="152"/>
      <c r="AC675" s="152"/>
      <c r="AD675" s="152"/>
      <c r="AE675" s="152"/>
      <c r="AF675" s="152"/>
      <c r="AG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2"/>
      <c r="AD676" s="152"/>
      <c r="AE676" s="152"/>
      <c r="AF676" s="152"/>
      <c r="AG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  <c r="AA677" s="152"/>
      <c r="AB677" s="152"/>
      <c r="AC677" s="152"/>
      <c r="AD677" s="152"/>
      <c r="AE677" s="152"/>
      <c r="AF677" s="152"/>
      <c r="AG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  <c r="AA678" s="152"/>
      <c r="AB678" s="152"/>
      <c r="AC678" s="152"/>
      <c r="AD678" s="152"/>
      <c r="AE678" s="152"/>
      <c r="AF678" s="152"/>
      <c r="AG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  <c r="AA679" s="152"/>
      <c r="AB679" s="152"/>
      <c r="AC679" s="152"/>
      <c r="AD679" s="152"/>
      <c r="AE679" s="152"/>
      <c r="AF679" s="152"/>
      <c r="AG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  <c r="AA680" s="152"/>
      <c r="AB680" s="152"/>
      <c r="AC680" s="152"/>
      <c r="AD680" s="152"/>
      <c r="AE680" s="152"/>
      <c r="AF680" s="152"/>
      <c r="AG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  <c r="AA681" s="152"/>
      <c r="AB681" s="152"/>
      <c r="AC681" s="152"/>
      <c r="AD681" s="152"/>
      <c r="AE681" s="152"/>
      <c r="AF681" s="152"/>
      <c r="AG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  <c r="AA682" s="152"/>
      <c r="AB682" s="152"/>
      <c r="AC682" s="152"/>
      <c r="AD682" s="152"/>
      <c r="AE682" s="152"/>
      <c r="AF682" s="152"/>
      <c r="AG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  <c r="AA683" s="152"/>
      <c r="AB683" s="152"/>
      <c r="AC683" s="152"/>
      <c r="AD683" s="152"/>
      <c r="AE683" s="152"/>
      <c r="AF683" s="152"/>
      <c r="AG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  <c r="AA684" s="152"/>
      <c r="AB684" s="152"/>
      <c r="AC684" s="152"/>
      <c r="AD684" s="152"/>
      <c r="AE684" s="152"/>
      <c r="AF684" s="152"/>
      <c r="AG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  <c r="AA685" s="152"/>
      <c r="AB685" s="152"/>
      <c r="AC685" s="152"/>
      <c r="AD685" s="152"/>
      <c r="AE685" s="152"/>
      <c r="AF685" s="152"/>
      <c r="AG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  <c r="AA686" s="152"/>
      <c r="AB686" s="152"/>
      <c r="AC686" s="152"/>
      <c r="AD686" s="152"/>
      <c r="AE686" s="152"/>
      <c r="AF686" s="152"/>
      <c r="AG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2"/>
      <c r="AD687" s="152"/>
      <c r="AE687" s="152"/>
      <c r="AF687" s="152"/>
      <c r="AG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  <c r="AA688" s="152"/>
      <c r="AB688" s="152"/>
      <c r="AC688" s="152"/>
      <c r="AD688" s="152"/>
      <c r="AE688" s="152"/>
      <c r="AF688" s="152"/>
      <c r="AG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  <c r="AA689" s="152"/>
      <c r="AB689" s="152"/>
      <c r="AC689" s="152"/>
      <c r="AD689" s="152"/>
      <c r="AE689" s="152"/>
      <c r="AF689" s="152"/>
      <c r="AG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  <c r="AA690" s="152"/>
      <c r="AB690" s="152"/>
      <c r="AC690" s="152"/>
      <c r="AD690" s="152"/>
      <c r="AE690" s="152"/>
      <c r="AF690" s="152"/>
      <c r="AG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  <c r="AA691" s="152"/>
      <c r="AB691" s="152"/>
      <c r="AC691" s="152"/>
      <c r="AD691" s="152"/>
      <c r="AE691" s="152"/>
      <c r="AF691" s="152"/>
      <c r="AG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  <c r="AA692" s="152"/>
      <c r="AB692" s="152"/>
      <c r="AC692" s="152"/>
      <c r="AD692" s="152"/>
      <c r="AE692" s="152"/>
      <c r="AF692" s="152"/>
      <c r="AG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  <c r="AA693" s="152"/>
      <c r="AB693" s="152"/>
      <c r="AC693" s="152"/>
      <c r="AD693" s="152"/>
      <c r="AE693" s="152"/>
      <c r="AF693" s="152"/>
      <c r="AG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  <c r="AA694" s="152"/>
      <c r="AB694" s="152"/>
      <c r="AC694" s="152"/>
      <c r="AD694" s="152"/>
      <c r="AE694" s="152"/>
      <c r="AF694" s="152"/>
      <c r="AG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  <c r="AA695" s="152"/>
      <c r="AB695" s="152"/>
      <c r="AC695" s="152"/>
      <c r="AD695" s="152"/>
      <c r="AE695" s="152"/>
      <c r="AF695" s="152"/>
      <c r="AG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  <c r="AA696" s="152"/>
      <c r="AB696" s="152"/>
      <c r="AC696" s="152"/>
      <c r="AD696" s="152"/>
      <c r="AE696" s="152"/>
      <c r="AF696" s="152"/>
      <c r="AG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  <c r="AA697" s="152"/>
      <c r="AB697" s="152"/>
      <c r="AC697" s="152"/>
      <c r="AD697" s="152"/>
      <c r="AE697" s="152"/>
      <c r="AF697" s="152"/>
      <c r="AG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  <c r="AA698" s="152"/>
      <c r="AB698" s="152"/>
      <c r="AC698" s="152"/>
      <c r="AD698" s="152"/>
      <c r="AE698" s="152"/>
      <c r="AF698" s="152"/>
      <c r="AG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  <c r="AA699" s="152"/>
      <c r="AB699" s="152"/>
      <c r="AC699" s="152"/>
      <c r="AD699" s="152"/>
      <c r="AE699" s="152"/>
      <c r="AF699" s="152"/>
      <c r="AG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  <c r="AA700" s="152"/>
      <c r="AB700" s="152"/>
      <c r="AC700" s="152"/>
      <c r="AD700" s="152"/>
      <c r="AE700" s="152"/>
      <c r="AF700" s="152"/>
      <c r="AG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  <c r="AA701" s="152"/>
      <c r="AB701" s="152"/>
      <c r="AC701" s="152"/>
      <c r="AD701" s="152"/>
      <c r="AE701" s="152"/>
      <c r="AF701" s="152"/>
      <c r="AG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  <c r="AA702" s="152"/>
      <c r="AB702" s="152"/>
      <c r="AC702" s="152"/>
      <c r="AD702" s="152"/>
      <c r="AE702" s="152"/>
      <c r="AF702" s="152"/>
      <c r="AG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  <c r="AA703" s="152"/>
      <c r="AB703" s="152"/>
      <c r="AC703" s="152"/>
      <c r="AD703" s="152"/>
      <c r="AE703" s="152"/>
      <c r="AF703" s="152"/>
      <c r="AG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2"/>
      <c r="AD704" s="152"/>
      <c r="AE704" s="152"/>
      <c r="AF704" s="152"/>
      <c r="AG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  <c r="AA705" s="152"/>
      <c r="AB705" s="152"/>
      <c r="AC705" s="152"/>
      <c r="AD705" s="152"/>
      <c r="AE705" s="152"/>
      <c r="AF705" s="152"/>
      <c r="AG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  <c r="AA706" s="152"/>
      <c r="AB706" s="152"/>
      <c r="AC706" s="152"/>
      <c r="AD706" s="152"/>
      <c r="AE706" s="152"/>
      <c r="AF706" s="152"/>
      <c r="AG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  <c r="AA707" s="152"/>
      <c r="AB707" s="152"/>
      <c r="AC707" s="152"/>
      <c r="AD707" s="152"/>
      <c r="AE707" s="152"/>
      <c r="AF707" s="152"/>
      <c r="AG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  <c r="AA708" s="152"/>
      <c r="AB708" s="152"/>
      <c r="AC708" s="152"/>
      <c r="AD708" s="152"/>
      <c r="AE708" s="152"/>
      <c r="AF708" s="152"/>
      <c r="AG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  <c r="AA709" s="152"/>
      <c r="AB709" s="152"/>
      <c r="AC709" s="152"/>
      <c r="AD709" s="152"/>
      <c r="AE709" s="152"/>
      <c r="AF709" s="152"/>
      <c r="AG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  <c r="AA710" s="152"/>
      <c r="AB710" s="152"/>
      <c r="AC710" s="152"/>
      <c r="AD710" s="152"/>
      <c r="AE710" s="152"/>
      <c r="AF710" s="152"/>
      <c r="AG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  <c r="AA711" s="152"/>
      <c r="AB711" s="152"/>
      <c r="AC711" s="152"/>
      <c r="AD711" s="152"/>
      <c r="AE711" s="152"/>
      <c r="AF711" s="152"/>
      <c r="AG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  <c r="AA712" s="152"/>
      <c r="AB712" s="152"/>
      <c r="AC712" s="152"/>
      <c r="AD712" s="152"/>
      <c r="AE712" s="152"/>
      <c r="AF712" s="152"/>
      <c r="AG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  <c r="AA713" s="152"/>
      <c r="AB713" s="152"/>
      <c r="AC713" s="152"/>
      <c r="AD713" s="152"/>
      <c r="AE713" s="152"/>
      <c r="AF713" s="152"/>
      <c r="AG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  <c r="AA714" s="152"/>
      <c r="AB714" s="152"/>
      <c r="AC714" s="152"/>
      <c r="AD714" s="152"/>
      <c r="AE714" s="152"/>
      <c r="AF714" s="152"/>
      <c r="AG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  <c r="AA715" s="152"/>
      <c r="AB715" s="152"/>
      <c r="AC715" s="152"/>
      <c r="AD715" s="152"/>
      <c r="AE715" s="152"/>
      <c r="AF715" s="152"/>
      <c r="AG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  <c r="AA716" s="152"/>
      <c r="AB716" s="152"/>
      <c r="AC716" s="152"/>
      <c r="AD716" s="152"/>
      <c r="AE716" s="152"/>
      <c r="AF716" s="152"/>
      <c r="AG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  <c r="AA717" s="152"/>
      <c r="AB717" s="152"/>
      <c r="AC717" s="152"/>
      <c r="AD717" s="152"/>
      <c r="AE717" s="152"/>
      <c r="AF717" s="152"/>
      <c r="AG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  <c r="AA718" s="152"/>
      <c r="AB718" s="152"/>
      <c r="AC718" s="152"/>
      <c r="AD718" s="152"/>
      <c r="AE718" s="152"/>
      <c r="AF718" s="152"/>
      <c r="AG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  <c r="AA719" s="152"/>
      <c r="AB719" s="152"/>
      <c r="AC719" s="152"/>
      <c r="AD719" s="152"/>
      <c r="AE719" s="152"/>
      <c r="AF719" s="152"/>
      <c r="AG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  <c r="AA720" s="152"/>
      <c r="AB720" s="152"/>
      <c r="AC720" s="152"/>
      <c r="AD720" s="152"/>
      <c r="AE720" s="152"/>
      <c r="AF720" s="152"/>
      <c r="AG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2"/>
      <c r="AD721" s="152"/>
      <c r="AE721" s="152"/>
      <c r="AF721" s="152"/>
      <c r="AG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  <c r="AA722" s="152"/>
      <c r="AB722" s="152"/>
      <c r="AC722" s="152"/>
      <c r="AD722" s="152"/>
      <c r="AE722" s="152"/>
      <c r="AF722" s="152"/>
      <c r="AG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  <c r="AA723" s="152"/>
      <c r="AB723" s="152"/>
      <c r="AC723" s="152"/>
      <c r="AD723" s="152"/>
      <c r="AE723" s="152"/>
      <c r="AF723" s="152"/>
      <c r="AG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  <c r="AA724" s="152"/>
      <c r="AB724" s="152"/>
      <c r="AC724" s="152"/>
      <c r="AD724" s="152"/>
      <c r="AE724" s="152"/>
      <c r="AF724" s="152"/>
      <c r="AG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  <c r="AC725" s="152"/>
      <c r="AD725" s="152"/>
      <c r="AE725" s="152"/>
      <c r="AF725" s="152"/>
      <c r="AG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  <c r="AC726" s="152"/>
      <c r="AD726" s="152"/>
      <c r="AE726" s="152"/>
      <c r="AF726" s="152"/>
      <c r="AG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  <c r="AA727" s="152"/>
      <c r="AB727" s="152"/>
      <c r="AC727" s="152"/>
      <c r="AD727" s="152"/>
      <c r="AE727" s="152"/>
      <c r="AF727" s="152"/>
      <c r="AG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  <c r="AA728" s="152"/>
      <c r="AB728" s="152"/>
      <c r="AC728" s="152"/>
      <c r="AD728" s="152"/>
      <c r="AE728" s="152"/>
      <c r="AF728" s="152"/>
      <c r="AG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  <c r="AA729" s="152"/>
      <c r="AB729" s="152"/>
      <c r="AC729" s="152"/>
      <c r="AD729" s="152"/>
      <c r="AE729" s="152"/>
      <c r="AF729" s="152"/>
      <c r="AG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  <c r="AA730" s="152"/>
      <c r="AB730" s="152"/>
      <c r="AC730" s="152"/>
      <c r="AD730" s="152"/>
      <c r="AE730" s="152"/>
      <c r="AF730" s="152"/>
      <c r="AG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  <c r="AA731" s="152"/>
      <c r="AB731" s="152"/>
      <c r="AC731" s="152"/>
      <c r="AD731" s="152"/>
      <c r="AE731" s="152"/>
      <c r="AF731" s="152"/>
      <c r="AG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  <c r="AA732" s="152"/>
      <c r="AB732" s="152"/>
      <c r="AC732" s="152"/>
      <c r="AD732" s="152"/>
      <c r="AE732" s="152"/>
      <c r="AF732" s="152"/>
      <c r="AG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2"/>
      <c r="AD733" s="152"/>
      <c r="AE733" s="152"/>
      <c r="AF733" s="152"/>
      <c r="AG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  <c r="AA734" s="152"/>
      <c r="AB734" s="152"/>
      <c r="AC734" s="152"/>
      <c r="AD734" s="152"/>
      <c r="AE734" s="152"/>
      <c r="AF734" s="152"/>
      <c r="AG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  <c r="AA735" s="152"/>
      <c r="AB735" s="152"/>
      <c r="AC735" s="152"/>
      <c r="AD735" s="152"/>
      <c r="AE735" s="152"/>
      <c r="AF735" s="152"/>
      <c r="AG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  <c r="AA736" s="152"/>
      <c r="AB736" s="152"/>
      <c r="AC736" s="152"/>
      <c r="AD736" s="152"/>
      <c r="AE736" s="152"/>
      <c r="AF736" s="152"/>
      <c r="AG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  <c r="AA737" s="152"/>
      <c r="AB737" s="152"/>
      <c r="AC737" s="152"/>
      <c r="AD737" s="152"/>
      <c r="AE737" s="152"/>
      <c r="AF737" s="152"/>
      <c r="AG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  <c r="AA738" s="152"/>
      <c r="AB738" s="152"/>
      <c r="AC738" s="152"/>
      <c r="AD738" s="152"/>
      <c r="AE738" s="152"/>
      <c r="AF738" s="152"/>
      <c r="AG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  <c r="AA739" s="152"/>
      <c r="AB739" s="152"/>
      <c r="AC739" s="152"/>
      <c r="AD739" s="152"/>
      <c r="AE739" s="152"/>
      <c r="AF739" s="152"/>
      <c r="AG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  <c r="AA740" s="152"/>
      <c r="AB740" s="152"/>
      <c r="AC740" s="152"/>
      <c r="AD740" s="152"/>
      <c r="AE740" s="152"/>
      <c r="AF740" s="152"/>
      <c r="AG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  <c r="AA741" s="152"/>
      <c r="AB741" s="152"/>
      <c r="AC741" s="152"/>
      <c r="AD741" s="152"/>
      <c r="AE741" s="152"/>
      <c r="AF741" s="152"/>
      <c r="AG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  <c r="AA742" s="152"/>
      <c r="AB742" s="152"/>
      <c r="AC742" s="152"/>
      <c r="AD742" s="152"/>
      <c r="AE742" s="152"/>
      <c r="AF742" s="152"/>
      <c r="AG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  <c r="AA743" s="152"/>
      <c r="AB743" s="152"/>
      <c r="AC743" s="152"/>
      <c r="AD743" s="152"/>
      <c r="AE743" s="152"/>
      <c r="AF743" s="152"/>
      <c r="AG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  <c r="AA744" s="152"/>
      <c r="AB744" s="152"/>
      <c r="AC744" s="152"/>
      <c r="AD744" s="152"/>
      <c r="AE744" s="152"/>
      <c r="AF744" s="152"/>
      <c r="AG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  <c r="AA745" s="152"/>
      <c r="AB745" s="152"/>
      <c r="AC745" s="152"/>
      <c r="AD745" s="152"/>
      <c r="AE745" s="152"/>
      <c r="AF745" s="152"/>
      <c r="AG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  <c r="AA746" s="152"/>
      <c r="AB746" s="152"/>
      <c r="AC746" s="152"/>
      <c r="AD746" s="152"/>
      <c r="AE746" s="152"/>
      <c r="AF746" s="152"/>
      <c r="AG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  <c r="AA747" s="152"/>
      <c r="AB747" s="152"/>
      <c r="AC747" s="152"/>
      <c r="AD747" s="152"/>
      <c r="AE747" s="152"/>
      <c r="AF747" s="152"/>
      <c r="AG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  <c r="AA748" s="152"/>
      <c r="AB748" s="152"/>
      <c r="AC748" s="152"/>
      <c r="AD748" s="152"/>
      <c r="AE748" s="152"/>
      <c r="AF748" s="152"/>
      <c r="AG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  <c r="AA749" s="152"/>
      <c r="AB749" s="152"/>
      <c r="AC749" s="152"/>
      <c r="AD749" s="152"/>
      <c r="AE749" s="152"/>
      <c r="AF749" s="152"/>
      <c r="AG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  <c r="AA750" s="152"/>
      <c r="AB750" s="152"/>
      <c r="AC750" s="152"/>
      <c r="AD750" s="152"/>
      <c r="AE750" s="152"/>
      <c r="AF750" s="152"/>
      <c r="AG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  <c r="AA751" s="152"/>
      <c r="AB751" s="152"/>
      <c r="AC751" s="152"/>
      <c r="AD751" s="152"/>
      <c r="AE751" s="152"/>
      <c r="AF751" s="152"/>
      <c r="AG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  <c r="AA752" s="152"/>
      <c r="AB752" s="152"/>
      <c r="AC752" s="152"/>
      <c r="AD752" s="152"/>
      <c r="AE752" s="152"/>
      <c r="AF752" s="152"/>
      <c r="AG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  <c r="AA753" s="152"/>
      <c r="AB753" s="152"/>
      <c r="AC753" s="152"/>
      <c r="AD753" s="152"/>
      <c r="AE753" s="152"/>
      <c r="AF753" s="152"/>
      <c r="AG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  <c r="AA754" s="152"/>
      <c r="AB754" s="152"/>
      <c r="AC754" s="152"/>
      <c r="AD754" s="152"/>
      <c r="AE754" s="152"/>
      <c r="AF754" s="152"/>
      <c r="AG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  <c r="AA755" s="152"/>
      <c r="AB755" s="152"/>
      <c r="AC755" s="152"/>
      <c r="AD755" s="152"/>
      <c r="AE755" s="152"/>
      <c r="AF755" s="152"/>
      <c r="AG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  <c r="AA756" s="152"/>
      <c r="AB756" s="152"/>
      <c r="AC756" s="152"/>
      <c r="AD756" s="152"/>
      <c r="AE756" s="152"/>
      <c r="AF756" s="152"/>
      <c r="AG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  <c r="AA757" s="152"/>
      <c r="AB757" s="152"/>
      <c r="AC757" s="152"/>
      <c r="AD757" s="152"/>
      <c r="AE757" s="152"/>
      <c r="AF757" s="152"/>
      <c r="AG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2"/>
      <c r="AD758" s="152"/>
      <c r="AE758" s="152"/>
      <c r="AF758" s="152"/>
      <c r="AG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  <c r="AA759" s="152"/>
      <c r="AB759" s="152"/>
      <c r="AC759" s="152"/>
      <c r="AD759" s="152"/>
      <c r="AE759" s="152"/>
      <c r="AF759" s="152"/>
      <c r="AG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  <c r="AA760" s="152"/>
      <c r="AB760" s="152"/>
      <c r="AC760" s="152"/>
      <c r="AD760" s="152"/>
      <c r="AE760" s="152"/>
      <c r="AF760" s="152"/>
      <c r="AG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  <c r="AA761" s="152"/>
      <c r="AB761" s="152"/>
      <c r="AC761" s="152"/>
      <c r="AD761" s="152"/>
      <c r="AE761" s="152"/>
      <c r="AF761" s="152"/>
      <c r="AG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  <c r="AA762" s="152"/>
      <c r="AB762" s="152"/>
      <c r="AC762" s="152"/>
      <c r="AD762" s="152"/>
      <c r="AE762" s="152"/>
      <c r="AF762" s="152"/>
      <c r="AG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  <c r="AA763" s="152"/>
      <c r="AB763" s="152"/>
      <c r="AC763" s="152"/>
      <c r="AD763" s="152"/>
      <c r="AE763" s="152"/>
      <c r="AF763" s="152"/>
      <c r="AG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  <c r="AA764" s="152"/>
      <c r="AB764" s="152"/>
      <c r="AC764" s="152"/>
      <c r="AD764" s="152"/>
      <c r="AE764" s="152"/>
      <c r="AF764" s="152"/>
      <c r="AG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  <c r="AA765" s="152"/>
      <c r="AB765" s="152"/>
      <c r="AC765" s="152"/>
      <c r="AD765" s="152"/>
      <c r="AE765" s="152"/>
      <c r="AF765" s="152"/>
      <c r="AG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  <c r="AA766" s="152"/>
      <c r="AB766" s="152"/>
      <c r="AC766" s="152"/>
      <c r="AD766" s="152"/>
      <c r="AE766" s="152"/>
      <c r="AF766" s="152"/>
      <c r="AG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  <c r="AA767" s="152"/>
      <c r="AB767" s="152"/>
      <c r="AC767" s="152"/>
      <c r="AD767" s="152"/>
      <c r="AE767" s="152"/>
      <c r="AF767" s="152"/>
      <c r="AG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  <c r="AA768" s="152"/>
      <c r="AB768" s="152"/>
      <c r="AC768" s="152"/>
      <c r="AD768" s="152"/>
      <c r="AE768" s="152"/>
      <c r="AF768" s="152"/>
      <c r="AG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  <c r="AA769" s="152"/>
      <c r="AB769" s="152"/>
      <c r="AC769" s="152"/>
      <c r="AD769" s="152"/>
      <c r="AE769" s="152"/>
      <c r="AF769" s="152"/>
      <c r="AG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  <c r="AA770" s="152"/>
      <c r="AB770" s="152"/>
      <c r="AC770" s="152"/>
      <c r="AD770" s="152"/>
      <c r="AE770" s="152"/>
      <c r="AF770" s="152"/>
      <c r="AG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  <c r="AA771" s="152"/>
      <c r="AB771" s="152"/>
      <c r="AC771" s="152"/>
      <c r="AD771" s="152"/>
      <c r="AE771" s="152"/>
      <c r="AF771" s="152"/>
      <c r="AG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2"/>
      <c r="AD772" s="152"/>
      <c r="AE772" s="152"/>
      <c r="AF772" s="152"/>
      <c r="AG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  <c r="AA773" s="152"/>
      <c r="AB773" s="152"/>
      <c r="AC773" s="152"/>
      <c r="AD773" s="152"/>
      <c r="AE773" s="152"/>
      <c r="AF773" s="152"/>
      <c r="AG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  <c r="AA774" s="152"/>
      <c r="AB774" s="152"/>
      <c r="AC774" s="152"/>
      <c r="AD774" s="152"/>
      <c r="AE774" s="152"/>
      <c r="AF774" s="152"/>
      <c r="AG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  <c r="AA775" s="152"/>
      <c r="AB775" s="152"/>
      <c r="AC775" s="152"/>
      <c r="AD775" s="152"/>
      <c r="AE775" s="152"/>
      <c r="AF775" s="152"/>
      <c r="AG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  <c r="AA776" s="152"/>
      <c r="AB776" s="152"/>
      <c r="AC776" s="152"/>
      <c r="AD776" s="152"/>
      <c r="AE776" s="152"/>
      <c r="AF776" s="152"/>
      <c r="AG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  <c r="AA777" s="152"/>
      <c r="AB777" s="152"/>
      <c r="AC777" s="152"/>
      <c r="AD777" s="152"/>
      <c r="AE777" s="152"/>
      <c r="AF777" s="152"/>
      <c r="AG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  <c r="AA778" s="152"/>
      <c r="AB778" s="152"/>
      <c r="AC778" s="152"/>
      <c r="AD778" s="152"/>
      <c r="AE778" s="152"/>
      <c r="AF778" s="152"/>
      <c r="AG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  <c r="AA779" s="152"/>
      <c r="AB779" s="152"/>
      <c r="AC779" s="152"/>
      <c r="AD779" s="152"/>
      <c r="AE779" s="152"/>
      <c r="AF779" s="152"/>
      <c r="AG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  <c r="AA780" s="152"/>
      <c r="AB780" s="152"/>
      <c r="AC780" s="152"/>
      <c r="AD780" s="152"/>
      <c r="AE780" s="152"/>
      <c r="AF780" s="152"/>
      <c r="AG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  <c r="AA781" s="152"/>
      <c r="AB781" s="152"/>
      <c r="AC781" s="152"/>
      <c r="AD781" s="152"/>
      <c r="AE781" s="152"/>
      <c r="AF781" s="152"/>
      <c r="AG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  <c r="AA782" s="152"/>
      <c r="AB782" s="152"/>
      <c r="AC782" s="152"/>
      <c r="AD782" s="152"/>
      <c r="AE782" s="152"/>
      <c r="AF782" s="152"/>
      <c r="AG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  <c r="AA783" s="152"/>
      <c r="AB783" s="152"/>
      <c r="AC783" s="152"/>
      <c r="AD783" s="152"/>
      <c r="AE783" s="152"/>
      <c r="AF783" s="152"/>
      <c r="AG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  <c r="AA784" s="152"/>
      <c r="AB784" s="152"/>
      <c r="AC784" s="152"/>
      <c r="AD784" s="152"/>
      <c r="AE784" s="152"/>
      <c r="AF784" s="152"/>
      <c r="AG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  <c r="AA785" s="152"/>
      <c r="AB785" s="152"/>
      <c r="AC785" s="152"/>
      <c r="AD785" s="152"/>
      <c r="AE785" s="152"/>
      <c r="AF785" s="152"/>
      <c r="AG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  <c r="AA786" s="152"/>
      <c r="AB786" s="152"/>
      <c r="AC786" s="152"/>
      <c r="AD786" s="152"/>
      <c r="AE786" s="152"/>
      <c r="AF786" s="152"/>
      <c r="AG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  <c r="AA787" s="152"/>
      <c r="AB787" s="152"/>
      <c r="AC787" s="152"/>
      <c r="AD787" s="152"/>
      <c r="AE787" s="152"/>
      <c r="AF787" s="152"/>
      <c r="AG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  <c r="AA788" s="152"/>
      <c r="AB788" s="152"/>
      <c r="AC788" s="152"/>
      <c r="AD788" s="152"/>
      <c r="AE788" s="152"/>
      <c r="AF788" s="152"/>
      <c r="AG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  <c r="AA790" s="152"/>
      <c r="AB790" s="152"/>
      <c r="AC790" s="152"/>
      <c r="AD790" s="152"/>
      <c r="AE790" s="152"/>
      <c r="AF790" s="152"/>
      <c r="AG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  <c r="AA791" s="152"/>
      <c r="AB791" s="152"/>
      <c r="AC791" s="152"/>
      <c r="AD791" s="152"/>
      <c r="AE791" s="152"/>
      <c r="AF791" s="152"/>
      <c r="AG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  <c r="AA792" s="152"/>
      <c r="AB792" s="152"/>
      <c r="AC792" s="152"/>
      <c r="AD792" s="152"/>
      <c r="AE792" s="152"/>
      <c r="AF792" s="152"/>
      <c r="AG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  <c r="AA793" s="152"/>
      <c r="AB793" s="152"/>
      <c r="AC793" s="152"/>
      <c r="AD793" s="152"/>
      <c r="AE793" s="152"/>
      <c r="AF793" s="152"/>
      <c r="AG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  <c r="AA794" s="152"/>
      <c r="AB794" s="152"/>
      <c r="AC794" s="152"/>
      <c r="AD794" s="152"/>
      <c r="AE794" s="152"/>
      <c r="AF794" s="152"/>
      <c r="AG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  <c r="AA795" s="152"/>
      <c r="AB795" s="152"/>
      <c r="AC795" s="152"/>
      <c r="AD795" s="152"/>
      <c r="AE795" s="152"/>
      <c r="AF795" s="152"/>
      <c r="AG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  <c r="AA796" s="152"/>
      <c r="AB796" s="152"/>
      <c r="AC796" s="152"/>
      <c r="AD796" s="152"/>
      <c r="AE796" s="152"/>
      <c r="AF796" s="152"/>
      <c r="AG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  <c r="AA797" s="152"/>
      <c r="AB797" s="152"/>
      <c r="AC797" s="152"/>
      <c r="AD797" s="152"/>
      <c r="AE797" s="152"/>
      <c r="AF797" s="152"/>
      <c r="AG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  <c r="AA798" s="152"/>
      <c r="AB798" s="152"/>
      <c r="AC798" s="152"/>
      <c r="AD798" s="152"/>
      <c r="AE798" s="152"/>
      <c r="AF798" s="152"/>
      <c r="AG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  <c r="AA799" s="152"/>
      <c r="AB799" s="152"/>
      <c r="AC799" s="152"/>
      <c r="AD799" s="152"/>
      <c r="AE799" s="152"/>
      <c r="AF799" s="152"/>
      <c r="AG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2"/>
      <c r="AC800" s="152"/>
      <c r="AD800" s="152"/>
      <c r="AE800" s="152"/>
      <c r="AF800" s="152"/>
      <c r="AG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2"/>
      <c r="AC801" s="152"/>
      <c r="AD801" s="152"/>
      <c r="AE801" s="152"/>
      <c r="AF801" s="152"/>
      <c r="AG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2"/>
      <c r="AC802" s="152"/>
      <c r="AD802" s="152"/>
      <c r="AE802" s="152"/>
      <c r="AF802" s="152"/>
      <c r="AG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  <c r="AA803" s="152"/>
      <c r="AB803" s="152"/>
      <c r="AC803" s="152"/>
      <c r="AD803" s="152"/>
      <c r="AE803" s="152"/>
      <c r="AF803" s="152"/>
      <c r="AG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2"/>
      <c r="AD804" s="152"/>
      <c r="AE804" s="152"/>
      <c r="AF804" s="152"/>
      <c r="AG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  <c r="AA805" s="152"/>
      <c r="AB805" s="152"/>
      <c r="AC805" s="152"/>
      <c r="AD805" s="152"/>
      <c r="AE805" s="152"/>
      <c r="AF805" s="152"/>
      <c r="AG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  <c r="AA806" s="152"/>
      <c r="AB806" s="152"/>
      <c r="AC806" s="152"/>
      <c r="AD806" s="152"/>
      <c r="AE806" s="152"/>
      <c r="AF806" s="152"/>
      <c r="AG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  <c r="AA807" s="152"/>
      <c r="AB807" s="152"/>
      <c r="AC807" s="152"/>
      <c r="AD807" s="152"/>
      <c r="AE807" s="152"/>
      <c r="AF807" s="152"/>
      <c r="AG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2"/>
      <c r="AD808" s="152"/>
      <c r="AE808" s="152"/>
      <c r="AF808" s="152"/>
      <c r="AG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  <c r="AA809" s="152"/>
      <c r="AB809" s="152"/>
      <c r="AC809" s="152"/>
      <c r="AD809" s="152"/>
      <c r="AE809" s="152"/>
      <c r="AF809" s="152"/>
      <c r="AG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  <c r="AA810" s="152"/>
      <c r="AB810" s="152"/>
      <c r="AC810" s="152"/>
      <c r="AD810" s="152"/>
      <c r="AE810" s="152"/>
      <c r="AF810" s="152"/>
      <c r="AG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  <c r="AA811" s="152"/>
      <c r="AB811" s="152"/>
      <c r="AC811" s="152"/>
      <c r="AD811" s="152"/>
      <c r="AE811" s="152"/>
      <c r="AF811" s="152"/>
      <c r="AG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  <c r="AA812" s="152"/>
      <c r="AB812" s="152"/>
      <c r="AC812" s="152"/>
      <c r="AD812" s="152"/>
      <c r="AE812" s="152"/>
      <c r="AF812" s="152"/>
      <c r="AG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2"/>
      <c r="AD813" s="152"/>
      <c r="AE813" s="152"/>
      <c r="AF813" s="152"/>
      <c r="AG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  <c r="AA814" s="152"/>
      <c r="AB814" s="152"/>
      <c r="AC814" s="152"/>
      <c r="AD814" s="152"/>
      <c r="AE814" s="152"/>
      <c r="AF814" s="152"/>
      <c r="AG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  <c r="AA815" s="152"/>
      <c r="AB815" s="152"/>
      <c r="AC815" s="152"/>
      <c r="AD815" s="152"/>
      <c r="AE815" s="152"/>
      <c r="AF815" s="152"/>
      <c r="AG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  <c r="AA816" s="152"/>
      <c r="AB816" s="152"/>
      <c r="AC816" s="152"/>
      <c r="AD816" s="152"/>
      <c r="AE816" s="152"/>
      <c r="AF816" s="152"/>
      <c r="AG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  <c r="AA817" s="152"/>
      <c r="AB817" s="152"/>
      <c r="AC817" s="152"/>
      <c r="AD817" s="152"/>
      <c r="AE817" s="152"/>
      <c r="AF817" s="152"/>
      <c r="AG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  <c r="AA818" s="152"/>
      <c r="AB818" s="152"/>
      <c r="AC818" s="152"/>
      <c r="AD818" s="152"/>
      <c r="AE818" s="152"/>
      <c r="AF818" s="152"/>
      <c r="AG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  <c r="AA819" s="152"/>
      <c r="AB819" s="152"/>
      <c r="AC819" s="152"/>
      <c r="AD819" s="152"/>
      <c r="AE819" s="152"/>
      <c r="AF819" s="152"/>
      <c r="AG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  <c r="AA820" s="152"/>
      <c r="AB820" s="152"/>
      <c r="AC820" s="152"/>
      <c r="AD820" s="152"/>
      <c r="AE820" s="152"/>
      <c r="AF820" s="152"/>
      <c r="AG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  <c r="AA821" s="152"/>
      <c r="AB821" s="152"/>
      <c r="AC821" s="152"/>
      <c r="AD821" s="152"/>
      <c r="AE821" s="152"/>
      <c r="AF821" s="152"/>
      <c r="AG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  <c r="AA822" s="152"/>
      <c r="AB822" s="152"/>
      <c r="AC822" s="152"/>
      <c r="AD822" s="152"/>
      <c r="AE822" s="152"/>
      <c r="AF822" s="152"/>
      <c r="AG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  <c r="AA823" s="152"/>
      <c r="AB823" s="152"/>
      <c r="AC823" s="152"/>
      <c r="AD823" s="152"/>
      <c r="AE823" s="152"/>
      <c r="AF823" s="152"/>
      <c r="AG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  <c r="AA824" s="152"/>
      <c r="AB824" s="152"/>
      <c r="AC824" s="152"/>
      <c r="AD824" s="152"/>
      <c r="AE824" s="152"/>
      <c r="AF824" s="152"/>
      <c r="AG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  <c r="AA825" s="152"/>
      <c r="AB825" s="152"/>
      <c r="AC825" s="152"/>
      <c r="AD825" s="152"/>
      <c r="AE825" s="152"/>
      <c r="AF825" s="152"/>
      <c r="AG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  <c r="AA826" s="152"/>
      <c r="AB826" s="152"/>
      <c r="AC826" s="152"/>
      <c r="AD826" s="152"/>
      <c r="AE826" s="152"/>
      <c r="AF826" s="152"/>
      <c r="AG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  <c r="AA827" s="152"/>
      <c r="AB827" s="152"/>
      <c r="AC827" s="152"/>
      <c r="AD827" s="152"/>
      <c r="AE827" s="152"/>
      <c r="AF827" s="152"/>
      <c r="AG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  <c r="AA828" s="152"/>
      <c r="AB828" s="152"/>
      <c r="AC828" s="152"/>
      <c r="AD828" s="152"/>
      <c r="AE828" s="152"/>
      <c r="AF828" s="152"/>
      <c r="AG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  <c r="AA829" s="152"/>
      <c r="AB829" s="152"/>
      <c r="AC829" s="152"/>
      <c r="AD829" s="152"/>
      <c r="AE829" s="152"/>
      <c r="AF829" s="152"/>
      <c r="AG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  <c r="AA830" s="152"/>
      <c r="AB830" s="152"/>
      <c r="AC830" s="152"/>
      <c r="AD830" s="152"/>
      <c r="AE830" s="152"/>
      <c r="AF830" s="152"/>
      <c r="AG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  <c r="AA831" s="152"/>
      <c r="AB831" s="152"/>
      <c r="AC831" s="152"/>
      <c r="AD831" s="152"/>
      <c r="AE831" s="152"/>
      <c r="AF831" s="152"/>
      <c r="AG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  <c r="AA832" s="152"/>
      <c r="AB832" s="152"/>
      <c r="AC832" s="152"/>
      <c r="AD832" s="152"/>
      <c r="AE832" s="152"/>
      <c r="AF832" s="152"/>
      <c r="AG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  <c r="AA833" s="152"/>
      <c r="AB833" s="152"/>
      <c r="AC833" s="152"/>
      <c r="AD833" s="152"/>
      <c r="AE833" s="152"/>
      <c r="AF833" s="152"/>
      <c r="AG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  <c r="AA834" s="152"/>
      <c r="AB834" s="152"/>
      <c r="AC834" s="152"/>
      <c r="AD834" s="152"/>
      <c r="AE834" s="152"/>
      <c r="AF834" s="152"/>
      <c r="AG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  <c r="AA835" s="152"/>
      <c r="AB835" s="152"/>
      <c r="AC835" s="152"/>
      <c r="AD835" s="152"/>
      <c r="AE835" s="152"/>
      <c r="AF835" s="152"/>
      <c r="AG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  <c r="AA836" s="152"/>
      <c r="AB836" s="152"/>
      <c r="AC836" s="152"/>
      <c r="AD836" s="152"/>
      <c r="AE836" s="152"/>
      <c r="AF836" s="152"/>
      <c r="AG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  <c r="AA837" s="152"/>
      <c r="AB837" s="152"/>
      <c r="AC837" s="152"/>
      <c r="AD837" s="152"/>
      <c r="AE837" s="152"/>
      <c r="AF837" s="152"/>
      <c r="AG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  <c r="AA838" s="152"/>
      <c r="AB838" s="152"/>
      <c r="AC838" s="152"/>
      <c r="AD838" s="152"/>
      <c r="AE838" s="152"/>
      <c r="AF838" s="152"/>
      <c r="AG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  <c r="AA839" s="152"/>
      <c r="AB839" s="152"/>
      <c r="AC839" s="152"/>
      <c r="AD839" s="152"/>
      <c r="AE839" s="152"/>
      <c r="AF839" s="152"/>
      <c r="AG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2"/>
      <c r="AD840" s="152"/>
      <c r="AE840" s="152"/>
      <c r="AF840" s="152"/>
      <c r="AG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  <c r="AA841" s="152"/>
      <c r="AB841" s="152"/>
      <c r="AC841" s="152"/>
      <c r="AD841" s="152"/>
      <c r="AE841" s="152"/>
      <c r="AF841" s="152"/>
      <c r="AG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  <c r="AA842" s="152"/>
      <c r="AB842" s="152"/>
      <c r="AC842" s="152"/>
      <c r="AD842" s="152"/>
      <c r="AE842" s="152"/>
      <c r="AF842" s="152"/>
      <c r="AG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  <c r="AA843" s="152"/>
      <c r="AB843" s="152"/>
      <c r="AC843" s="152"/>
      <c r="AD843" s="152"/>
      <c r="AE843" s="152"/>
      <c r="AF843" s="152"/>
      <c r="AG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  <c r="AA844" s="152"/>
      <c r="AB844" s="152"/>
      <c r="AC844" s="152"/>
      <c r="AD844" s="152"/>
      <c r="AE844" s="152"/>
      <c r="AF844" s="152"/>
      <c r="AG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  <c r="AA845" s="152"/>
      <c r="AB845" s="152"/>
      <c r="AC845" s="152"/>
      <c r="AD845" s="152"/>
      <c r="AE845" s="152"/>
      <c r="AF845" s="152"/>
      <c r="AG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  <c r="AA846" s="152"/>
      <c r="AB846" s="152"/>
      <c r="AC846" s="152"/>
      <c r="AD846" s="152"/>
      <c r="AE846" s="152"/>
      <c r="AF846" s="152"/>
      <c r="AG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  <c r="AA847" s="152"/>
      <c r="AB847" s="152"/>
      <c r="AC847" s="152"/>
      <c r="AD847" s="152"/>
      <c r="AE847" s="152"/>
      <c r="AF847" s="152"/>
      <c r="AG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  <c r="AA848" s="152"/>
      <c r="AB848" s="152"/>
      <c r="AC848" s="152"/>
      <c r="AD848" s="152"/>
      <c r="AE848" s="152"/>
      <c r="AF848" s="152"/>
      <c r="AG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  <c r="AA849" s="152"/>
      <c r="AB849" s="152"/>
      <c r="AC849" s="152"/>
      <c r="AD849" s="152"/>
      <c r="AE849" s="152"/>
      <c r="AF849" s="152"/>
      <c r="AG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  <c r="AA850" s="152"/>
      <c r="AB850" s="152"/>
      <c r="AC850" s="152"/>
      <c r="AD850" s="152"/>
      <c r="AE850" s="152"/>
      <c r="AF850" s="152"/>
      <c r="AG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  <c r="AA851" s="152"/>
      <c r="AB851" s="152"/>
      <c r="AC851" s="152"/>
      <c r="AD851" s="152"/>
      <c r="AE851" s="152"/>
      <c r="AF851" s="152"/>
      <c r="AG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  <c r="AA852" s="152"/>
      <c r="AB852" s="152"/>
      <c r="AC852" s="152"/>
      <c r="AD852" s="152"/>
      <c r="AE852" s="152"/>
      <c r="AF852" s="152"/>
      <c r="AG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  <c r="AA853" s="152"/>
      <c r="AB853" s="152"/>
      <c r="AC853" s="152"/>
      <c r="AD853" s="152"/>
      <c r="AE853" s="152"/>
      <c r="AF853" s="152"/>
      <c r="AG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  <c r="AA854" s="152"/>
      <c r="AB854" s="152"/>
      <c r="AC854" s="152"/>
      <c r="AD854" s="152"/>
      <c r="AE854" s="152"/>
      <c r="AF854" s="152"/>
      <c r="AG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  <c r="AA855" s="152"/>
      <c r="AB855" s="152"/>
      <c r="AC855" s="152"/>
      <c r="AD855" s="152"/>
      <c r="AE855" s="152"/>
      <c r="AF855" s="152"/>
      <c r="AG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  <c r="AA856" s="152"/>
      <c r="AB856" s="152"/>
      <c r="AC856" s="152"/>
      <c r="AD856" s="152"/>
      <c r="AE856" s="152"/>
      <c r="AF856" s="152"/>
      <c r="AG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2"/>
      <c r="AD857" s="152"/>
      <c r="AE857" s="152"/>
      <c r="AF857" s="152"/>
      <c r="AG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  <c r="AA858" s="152"/>
      <c r="AB858" s="152"/>
      <c r="AC858" s="152"/>
      <c r="AD858" s="152"/>
      <c r="AE858" s="152"/>
      <c r="AF858" s="152"/>
      <c r="AG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  <c r="AA859" s="152"/>
      <c r="AB859" s="152"/>
      <c r="AC859" s="152"/>
      <c r="AD859" s="152"/>
      <c r="AE859" s="152"/>
      <c r="AF859" s="152"/>
      <c r="AG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  <c r="AA860" s="152"/>
      <c r="AB860" s="152"/>
      <c r="AC860" s="152"/>
      <c r="AD860" s="152"/>
      <c r="AE860" s="152"/>
      <c r="AF860" s="152"/>
      <c r="AG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  <c r="AA861" s="152"/>
      <c r="AB861" s="152"/>
      <c r="AC861" s="152"/>
      <c r="AD861" s="152"/>
      <c r="AE861" s="152"/>
      <c r="AF861" s="152"/>
      <c r="AG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  <c r="AA862" s="152"/>
      <c r="AB862" s="152"/>
      <c r="AC862" s="152"/>
      <c r="AD862" s="152"/>
      <c r="AE862" s="152"/>
      <c r="AF862" s="152"/>
      <c r="AG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  <c r="AA863" s="152"/>
      <c r="AB863" s="152"/>
      <c r="AC863" s="152"/>
      <c r="AD863" s="152"/>
      <c r="AE863" s="152"/>
      <c r="AF863" s="152"/>
      <c r="AG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  <c r="AA864" s="152"/>
      <c r="AB864" s="152"/>
      <c r="AC864" s="152"/>
      <c r="AD864" s="152"/>
      <c r="AE864" s="152"/>
      <c r="AF864" s="152"/>
      <c r="AG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  <c r="AA865" s="152"/>
      <c r="AB865" s="152"/>
      <c r="AC865" s="152"/>
      <c r="AD865" s="152"/>
      <c r="AE865" s="152"/>
      <c r="AF865" s="152"/>
      <c r="AG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  <c r="AA866" s="152"/>
      <c r="AB866" s="152"/>
      <c r="AC866" s="152"/>
      <c r="AD866" s="152"/>
      <c r="AE866" s="152"/>
      <c r="AF866" s="152"/>
      <c r="AG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  <c r="AA867" s="152"/>
      <c r="AB867" s="152"/>
      <c r="AC867" s="152"/>
      <c r="AD867" s="152"/>
      <c r="AE867" s="152"/>
      <c r="AF867" s="152"/>
      <c r="AG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  <c r="AA868" s="152"/>
      <c r="AB868" s="152"/>
      <c r="AC868" s="152"/>
      <c r="AD868" s="152"/>
      <c r="AE868" s="152"/>
      <c r="AF868" s="152"/>
      <c r="AG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  <c r="AA869" s="152"/>
      <c r="AB869" s="152"/>
      <c r="AC869" s="152"/>
      <c r="AD869" s="152"/>
      <c r="AE869" s="152"/>
      <c r="AF869" s="152"/>
      <c r="AG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  <c r="AA870" s="152"/>
      <c r="AB870" s="152"/>
      <c r="AC870" s="152"/>
      <c r="AD870" s="152"/>
      <c r="AE870" s="152"/>
      <c r="AF870" s="152"/>
      <c r="AG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  <c r="AA871" s="152"/>
      <c r="AB871" s="152"/>
      <c r="AC871" s="152"/>
      <c r="AD871" s="152"/>
      <c r="AE871" s="152"/>
      <c r="AF871" s="152"/>
      <c r="AG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  <c r="AA872" s="152"/>
      <c r="AB872" s="152"/>
      <c r="AC872" s="152"/>
      <c r="AD872" s="152"/>
      <c r="AE872" s="152"/>
      <c r="AF872" s="152"/>
      <c r="AG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  <c r="AA873" s="152"/>
      <c r="AB873" s="152"/>
      <c r="AC873" s="152"/>
      <c r="AD873" s="152"/>
      <c r="AE873" s="152"/>
      <c r="AF873" s="152"/>
      <c r="AG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  <c r="AA874" s="152"/>
      <c r="AB874" s="152"/>
      <c r="AC874" s="152"/>
      <c r="AD874" s="152"/>
      <c r="AE874" s="152"/>
      <c r="AF874" s="152"/>
      <c r="AG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2"/>
      <c r="AD875" s="152"/>
      <c r="AE875" s="152"/>
      <c r="AF875" s="152"/>
      <c r="AG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  <c r="AA876" s="152"/>
      <c r="AB876" s="152"/>
      <c r="AC876" s="152"/>
      <c r="AD876" s="152"/>
      <c r="AE876" s="152"/>
      <c r="AF876" s="152"/>
      <c r="AG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  <c r="AA877" s="152"/>
      <c r="AB877" s="152"/>
      <c r="AC877" s="152"/>
      <c r="AD877" s="152"/>
      <c r="AE877" s="152"/>
      <c r="AF877" s="152"/>
      <c r="AG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  <c r="AA878" s="152"/>
      <c r="AB878" s="152"/>
      <c r="AC878" s="152"/>
      <c r="AD878" s="152"/>
      <c r="AE878" s="152"/>
      <c r="AF878" s="152"/>
      <c r="AG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  <c r="AA879" s="152"/>
      <c r="AB879" s="152"/>
      <c r="AC879" s="152"/>
      <c r="AD879" s="152"/>
      <c r="AE879" s="152"/>
      <c r="AF879" s="152"/>
      <c r="AG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  <c r="AA880" s="152"/>
      <c r="AB880" s="152"/>
      <c r="AC880" s="152"/>
      <c r="AD880" s="152"/>
      <c r="AE880" s="152"/>
      <c r="AF880" s="152"/>
      <c r="AG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  <c r="AA881" s="152"/>
      <c r="AB881" s="152"/>
      <c r="AC881" s="152"/>
      <c r="AD881" s="152"/>
      <c r="AE881" s="152"/>
      <c r="AF881" s="152"/>
      <c r="AG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  <c r="AA882" s="152"/>
      <c r="AB882" s="152"/>
      <c r="AC882" s="152"/>
      <c r="AD882" s="152"/>
      <c r="AE882" s="152"/>
      <c r="AF882" s="152"/>
      <c r="AG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  <c r="AA883" s="152"/>
      <c r="AB883" s="152"/>
      <c r="AC883" s="152"/>
      <c r="AD883" s="152"/>
      <c r="AE883" s="152"/>
      <c r="AF883" s="152"/>
      <c r="AG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  <c r="AA884" s="152"/>
      <c r="AB884" s="152"/>
      <c r="AC884" s="152"/>
      <c r="AD884" s="152"/>
      <c r="AE884" s="152"/>
      <c r="AF884" s="152"/>
      <c r="AG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2"/>
      <c r="AD885" s="152"/>
      <c r="AE885" s="152"/>
      <c r="AF885" s="152"/>
      <c r="AG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  <c r="AA886" s="152"/>
      <c r="AB886" s="152"/>
      <c r="AC886" s="152"/>
      <c r="AD886" s="152"/>
      <c r="AE886" s="152"/>
      <c r="AF886" s="152"/>
      <c r="AG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  <c r="AA887" s="152"/>
      <c r="AB887" s="152"/>
      <c r="AC887" s="152"/>
      <c r="AD887" s="152"/>
      <c r="AE887" s="152"/>
      <c r="AF887" s="152"/>
      <c r="AG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  <c r="AA888" s="152"/>
      <c r="AB888" s="152"/>
      <c r="AC888" s="152"/>
      <c r="AD888" s="152"/>
      <c r="AE888" s="152"/>
      <c r="AF888" s="152"/>
      <c r="AG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  <c r="AA889" s="152"/>
      <c r="AB889" s="152"/>
      <c r="AC889" s="152"/>
      <c r="AD889" s="152"/>
      <c r="AE889" s="152"/>
      <c r="AF889" s="152"/>
      <c r="AG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  <c r="AA890" s="152"/>
      <c r="AB890" s="152"/>
      <c r="AC890" s="152"/>
      <c r="AD890" s="152"/>
      <c r="AE890" s="152"/>
      <c r="AF890" s="152"/>
      <c r="AG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  <c r="AA891" s="152"/>
      <c r="AB891" s="152"/>
      <c r="AC891" s="152"/>
      <c r="AD891" s="152"/>
      <c r="AE891" s="152"/>
      <c r="AF891" s="152"/>
      <c r="AG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  <c r="AA892" s="152"/>
      <c r="AB892" s="152"/>
      <c r="AC892" s="152"/>
      <c r="AD892" s="152"/>
      <c r="AE892" s="152"/>
      <c r="AF892" s="152"/>
      <c r="AG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  <c r="AA893" s="152"/>
      <c r="AB893" s="152"/>
      <c r="AC893" s="152"/>
      <c r="AD893" s="152"/>
      <c r="AE893" s="152"/>
      <c r="AF893" s="152"/>
      <c r="AG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  <c r="AA894" s="152"/>
      <c r="AB894" s="152"/>
      <c r="AC894" s="152"/>
      <c r="AD894" s="152"/>
      <c r="AE894" s="152"/>
      <c r="AF894" s="152"/>
      <c r="AG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  <c r="AA895" s="152"/>
      <c r="AB895" s="152"/>
      <c r="AC895" s="152"/>
      <c r="AD895" s="152"/>
      <c r="AE895" s="152"/>
      <c r="AF895" s="152"/>
      <c r="AG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  <c r="AA896" s="152"/>
      <c r="AB896" s="152"/>
      <c r="AC896" s="152"/>
      <c r="AD896" s="152"/>
      <c r="AE896" s="152"/>
      <c r="AF896" s="152"/>
      <c r="AG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  <c r="AA897" s="152"/>
      <c r="AB897" s="152"/>
      <c r="AC897" s="152"/>
      <c r="AD897" s="152"/>
      <c r="AE897" s="152"/>
      <c r="AF897" s="152"/>
      <c r="AG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  <c r="AA898" s="152"/>
      <c r="AB898" s="152"/>
      <c r="AC898" s="152"/>
      <c r="AD898" s="152"/>
      <c r="AE898" s="152"/>
      <c r="AF898" s="152"/>
      <c r="AG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  <c r="AA899" s="152"/>
      <c r="AB899" s="152"/>
      <c r="AC899" s="152"/>
      <c r="AD899" s="152"/>
      <c r="AE899" s="152"/>
      <c r="AF899" s="152"/>
      <c r="AG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  <c r="AA900" s="152"/>
      <c r="AB900" s="152"/>
      <c r="AC900" s="152"/>
      <c r="AD900" s="152"/>
      <c r="AE900" s="152"/>
      <c r="AF900" s="152"/>
      <c r="AG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  <c r="AA901" s="152"/>
      <c r="AB901" s="152"/>
      <c r="AC901" s="152"/>
      <c r="AD901" s="152"/>
      <c r="AE901" s="152"/>
      <c r="AF901" s="152"/>
      <c r="AG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  <c r="AA902" s="152"/>
      <c r="AB902" s="152"/>
      <c r="AC902" s="152"/>
      <c r="AD902" s="152"/>
      <c r="AE902" s="152"/>
      <c r="AF902" s="152"/>
      <c r="AG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2"/>
      <c r="AD903" s="152"/>
      <c r="AE903" s="152"/>
      <c r="AF903" s="152"/>
      <c r="AG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  <c r="AA904" s="152"/>
      <c r="AB904" s="152"/>
      <c r="AC904" s="152"/>
      <c r="AD904" s="152"/>
      <c r="AE904" s="152"/>
      <c r="AF904" s="152"/>
      <c r="AG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  <c r="AA905" s="152"/>
      <c r="AB905" s="152"/>
      <c r="AC905" s="152"/>
      <c r="AD905" s="152"/>
      <c r="AE905" s="152"/>
      <c r="AF905" s="152"/>
      <c r="AG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  <c r="AA906" s="152"/>
      <c r="AB906" s="152"/>
      <c r="AC906" s="152"/>
      <c r="AD906" s="152"/>
      <c r="AE906" s="152"/>
      <c r="AF906" s="152"/>
      <c r="AG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  <c r="AA907" s="152"/>
      <c r="AB907" s="152"/>
      <c r="AC907" s="152"/>
      <c r="AD907" s="152"/>
      <c r="AE907" s="152"/>
      <c r="AF907" s="152"/>
      <c r="AG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  <c r="AA908" s="152"/>
      <c r="AB908" s="152"/>
      <c r="AC908" s="152"/>
      <c r="AD908" s="152"/>
      <c r="AE908" s="152"/>
      <c r="AF908" s="152"/>
      <c r="AG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  <c r="AA909" s="152"/>
      <c r="AB909" s="152"/>
      <c r="AC909" s="152"/>
      <c r="AD909" s="152"/>
      <c r="AE909" s="152"/>
      <c r="AF909" s="152"/>
      <c r="AG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  <c r="AA910" s="152"/>
      <c r="AB910" s="152"/>
      <c r="AC910" s="152"/>
      <c r="AD910" s="152"/>
      <c r="AE910" s="152"/>
      <c r="AF910" s="152"/>
      <c r="AG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  <c r="AA911" s="152"/>
      <c r="AB911" s="152"/>
      <c r="AC911" s="152"/>
      <c r="AD911" s="152"/>
      <c r="AE911" s="152"/>
      <c r="AF911" s="152"/>
      <c r="AG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  <c r="AA912" s="152"/>
      <c r="AB912" s="152"/>
      <c r="AC912" s="152"/>
      <c r="AD912" s="152"/>
      <c r="AE912" s="152"/>
      <c r="AF912" s="152"/>
      <c r="AG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  <c r="AA913" s="152"/>
      <c r="AB913" s="152"/>
      <c r="AC913" s="152"/>
      <c r="AD913" s="152"/>
      <c r="AE913" s="152"/>
      <c r="AF913" s="152"/>
      <c r="AG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  <c r="AA914" s="152"/>
      <c r="AB914" s="152"/>
      <c r="AC914" s="152"/>
      <c r="AD914" s="152"/>
      <c r="AE914" s="152"/>
      <c r="AF914" s="152"/>
      <c r="AG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  <c r="AA915" s="152"/>
      <c r="AB915" s="152"/>
      <c r="AC915" s="152"/>
      <c r="AD915" s="152"/>
      <c r="AE915" s="152"/>
      <c r="AF915" s="152"/>
      <c r="AG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  <c r="AA916" s="152"/>
      <c r="AB916" s="152"/>
      <c r="AC916" s="152"/>
      <c r="AD916" s="152"/>
      <c r="AE916" s="152"/>
      <c r="AF916" s="152"/>
      <c r="AG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  <c r="AA917" s="152"/>
      <c r="AB917" s="152"/>
      <c r="AC917" s="152"/>
      <c r="AD917" s="152"/>
      <c r="AE917" s="152"/>
      <c r="AF917" s="152"/>
      <c r="AG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  <c r="AA918" s="152"/>
      <c r="AB918" s="152"/>
      <c r="AC918" s="152"/>
      <c r="AD918" s="152"/>
      <c r="AE918" s="152"/>
      <c r="AF918" s="152"/>
      <c r="AG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  <c r="AA919" s="152"/>
      <c r="AB919" s="152"/>
      <c r="AC919" s="152"/>
      <c r="AD919" s="152"/>
      <c r="AE919" s="152"/>
      <c r="AF919" s="152"/>
      <c r="AG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2"/>
      <c r="AD920" s="152"/>
      <c r="AE920" s="152"/>
      <c r="AF920" s="152"/>
      <c r="AG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  <c r="AA921" s="152"/>
      <c r="AB921" s="152"/>
      <c r="AC921" s="152"/>
      <c r="AD921" s="152"/>
      <c r="AE921" s="152"/>
      <c r="AF921" s="152"/>
      <c r="AG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  <c r="AA922" s="152"/>
      <c r="AB922" s="152"/>
      <c r="AC922" s="152"/>
      <c r="AD922" s="152"/>
      <c r="AE922" s="152"/>
      <c r="AF922" s="152"/>
      <c r="AG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  <c r="AA923" s="152"/>
      <c r="AB923" s="152"/>
      <c r="AC923" s="152"/>
      <c r="AD923" s="152"/>
      <c r="AE923" s="152"/>
      <c r="AF923" s="152"/>
      <c r="AG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  <c r="AA924" s="152"/>
      <c r="AB924" s="152"/>
      <c r="AC924" s="152"/>
      <c r="AD924" s="152"/>
      <c r="AE924" s="152"/>
      <c r="AF924" s="152"/>
      <c r="AG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  <c r="AA925" s="152"/>
      <c r="AB925" s="152"/>
      <c r="AC925" s="152"/>
      <c r="AD925" s="152"/>
      <c r="AE925" s="152"/>
      <c r="AF925" s="152"/>
      <c r="AG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  <c r="AA926" s="152"/>
      <c r="AB926" s="152"/>
      <c r="AC926" s="152"/>
      <c r="AD926" s="152"/>
      <c r="AE926" s="152"/>
      <c r="AF926" s="152"/>
      <c r="AG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  <c r="AA927" s="152"/>
      <c r="AB927" s="152"/>
      <c r="AC927" s="152"/>
      <c r="AD927" s="152"/>
      <c r="AE927" s="152"/>
      <c r="AF927" s="152"/>
      <c r="AG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  <c r="AA928" s="152"/>
      <c r="AB928" s="152"/>
      <c r="AC928" s="152"/>
      <c r="AD928" s="152"/>
      <c r="AE928" s="152"/>
      <c r="AF928" s="152"/>
      <c r="AG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  <c r="AA929" s="152"/>
      <c r="AB929" s="152"/>
      <c r="AC929" s="152"/>
      <c r="AD929" s="152"/>
      <c r="AE929" s="152"/>
      <c r="AF929" s="152"/>
      <c r="AG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  <c r="AA930" s="152"/>
      <c r="AB930" s="152"/>
      <c r="AC930" s="152"/>
      <c r="AD930" s="152"/>
      <c r="AE930" s="152"/>
      <c r="AF930" s="152"/>
      <c r="AG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  <c r="AA931" s="152"/>
      <c r="AB931" s="152"/>
      <c r="AC931" s="152"/>
      <c r="AD931" s="152"/>
      <c r="AE931" s="152"/>
      <c r="AF931" s="152"/>
      <c r="AG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  <c r="AA932" s="152"/>
      <c r="AB932" s="152"/>
      <c r="AC932" s="152"/>
      <c r="AD932" s="152"/>
      <c r="AE932" s="152"/>
      <c r="AF932" s="152"/>
      <c r="AG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  <c r="AA933" s="152"/>
      <c r="AB933" s="152"/>
      <c r="AC933" s="152"/>
      <c r="AD933" s="152"/>
      <c r="AE933" s="152"/>
      <c r="AF933" s="152"/>
      <c r="AG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  <c r="AA934" s="152"/>
      <c r="AB934" s="152"/>
      <c r="AC934" s="152"/>
      <c r="AD934" s="152"/>
      <c r="AE934" s="152"/>
      <c r="AF934" s="152"/>
      <c r="AG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2"/>
      <c r="AD935" s="152"/>
      <c r="AE935" s="152"/>
      <c r="AF935" s="152"/>
      <c r="AG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  <c r="AA936" s="152"/>
      <c r="AB936" s="152"/>
      <c r="AC936" s="152"/>
      <c r="AD936" s="152"/>
      <c r="AE936" s="152"/>
      <c r="AF936" s="152"/>
      <c r="AG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  <c r="AA937" s="152"/>
      <c r="AB937" s="152"/>
      <c r="AC937" s="152"/>
      <c r="AD937" s="152"/>
      <c r="AE937" s="152"/>
      <c r="AF937" s="152"/>
      <c r="AG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  <c r="AA938" s="152"/>
      <c r="AB938" s="152"/>
      <c r="AC938" s="152"/>
      <c r="AD938" s="152"/>
      <c r="AE938" s="152"/>
      <c r="AF938" s="152"/>
      <c r="AG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  <c r="AA939" s="152"/>
      <c r="AB939" s="152"/>
      <c r="AC939" s="152"/>
      <c r="AD939" s="152"/>
      <c r="AE939" s="152"/>
      <c r="AF939" s="152"/>
      <c r="AG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  <c r="AA940" s="152"/>
      <c r="AB940" s="152"/>
      <c r="AC940" s="152"/>
      <c r="AD940" s="152"/>
      <c r="AE940" s="152"/>
      <c r="AF940" s="152"/>
      <c r="AG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  <c r="AA941" s="152"/>
      <c r="AB941" s="152"/>
      <c r="AC941" s="152"/>
      <c r="AD941" s="152"/>
      <c r="AE941" s="152"/>
      <c r="AF941" s="152"/>
      <c r="AG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  <c r="AA942" s="152"/>
      <c r="AB942" s="152"/>
      <c r="AC942" s="152"/>
      <c r="AD942" s="152"/>
      <c r="AE942" s="152"/>
      <c r="AF942" s="152"/>
      <c r="AG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  <c r="AA943" s="152"/>
      <c r="AB943" s="152"/>
      <c r="AC943" s="152"/>
      <c r="AD943" s="152"/>
      <c r="AE943" s="152"/>
      <c r="AF943" s="152"/>
      <c r="AG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  <c r="AA944" s="152"/>
      <c r="AB944" s="152"/>
      <c r="AC944" s="152"/>
      <c r="AD944" s="152"/>
      <c r="AE944" s="152"/>
      <c r="AF944" s="152"/>
      <c r="AG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  <c r="AA945" s="152"/>
      <c r="AB945" s="152"/>
      <c r="AC945" s="152"/>
      <c r="AD945" s="152"/>
      <c r="AE945" s="152"/>
      <c r="AF945" s="152"/>
      <c r="AG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  <c r="AA946" s="152"/>
      <c r="AB946" s="152"/>
      <c r="AC946" s="152"/>
      <c r="AD946" s="152"/>
      <c r="AE946" s="152"/>
      <c r="AF946" s="152"/>
      <c r="AG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  <c r="AA947" s="152"/>
      <c r="AB947" s="152"/>
      <c r="AC947" s="152"/>
      <c r="AD947" s="152"/>
      <c r="AE947" s="152"/>
      <c r="AF947" s="152"/>
      <c r="AG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  <c r="AA948" s="152"/>
      <c r="AB948" s="152"/>
      <c r="AC948" s="152"/>
      <c r="AD948" s="152"/>
      <c r="AE948" s="152"/>
      <c r="AF948" s="152"/>
      <c r="AG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  <c r="AA949" s="152"/>
      <c r="AB949" s="152"/>
      <c r="AC949" s="152"/>
      <c r="AD949" s="152"/>
      <c r="AE949" s="152"/>
      <c r="AF949" s="152"/>
      <c r="AG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  <c r="AA950" s="152"/>
      <c r="AB950" s="152"/>
      <c r="AC950" s="152"/>
      <c r="AD950" s="152"/>
      <c r="AE950" s="152"/>
      <c r="AF950" s="152"/>
      <c r="AG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  <c r="AA951" s="152"/>
      <c r="AB951" s="152"/>
      <c r="AC951" s="152"/>
      <c r="AD951" s="152"/>
      <c r="AE951" s="152"/>
      <c r="AF951" s="152"/>
      <c r="AG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2"/>
      <c r="AD952" s="152"/>
      <c r="AE952" s="152"/>
      <c r="AF952" s="152"/>
      <c r="AG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  <c r="AA953" s="152"/>
      <c r="AB953" s="152"/>
      <c r="AC953" s="152"/>
      <c r="AD953" s="152"/>
      <c r="AE953" s="152"/>
      <c r="AF953" s="152"/>
      <c r="AG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  <c r="AA954" s="152"/>
      <c r="AB954" s="152"/>
      <c r="AC954" s="152"/>
      <c r="AD954" s="152"/>
      <c r="AE954" s="152"/>
      <c r="AF954" s="152"/>
      <c r="AG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  <c r="AA955" s="152"/>
      <c r="AB955" s="152"/>
      <c r="AC955" s="152"/>
      <c r="AD955" s="152"/>
      <c r="AE955" s="152"/>
      <c r="AF955" s="152"/>
      <c r="AG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  <c r="AA956" s="152"/>
      <c r="AB956" s="152"/>
      <c r="AC956" s="152"/>
      <c r="AD956" s="152"/>
      <c r="AE956" s="152"/>
      <c r="AF956" s="152"/>
      <c r="AG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  <c r="AA957" s="152"/>
      <c r="AB957" s="152"/>
      <c r="AC957" s="152"/>
      <c r="AD957" s="152"/>
      <c r="AE957" s="152"/>
      <c r="AF957" s="152"/>
      <c r="AG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  <c r="AA958" s="152"/>
      <c r="AB958" s="152"/>
      <c r="AC958" s="152"/>
      <c r="AD958" s="152"/>
      <c r="AE958" s="152"/>
      <c r="AF958" s="152"/>
      <c r="AG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  <c r="AA959" s="152"/>
      <c r="AB959" s="152"/>
      <c r="AC959" s="152"/>
      <c r="AD959" s="152"/>
      <c r="AE959" s="152"/>
      <c r="AF959" s="152"/>
      <c r="AG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  <c r="AA960" s="152"/>
      <c r="AB960" s="152"/>
      <c r="AC960" s="152"/>
      <c r="AD960" s="152"/>
      <c r="AE960" s="152"/>
      <c r="AF960" s="152"/>
      <c r="AG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  <c r="AA961" s="152"/>
      <c r="AB961" s="152"/>
      <c r="AC961" s="152"/>
      <c r="AD961" s="152"/>
      <c r="AE961" s="152"/>
      <c r="AF961" s="152"/>
      <c r="AG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  <c r="AA962" s="152"/>
      <c r="AB962" s="152"/>
      <c r="AC962" s="152"/>
      <c r="AD962" s="152"/>
      <c r="AE962" s="152"/>
      <c r="AF962" s="152"/>
      <c r="AG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  <c r="AA963" s="152"/>
      <c r="AB963" s="152"/>
      <c r="AC963" s="152"/>
      <c r="AD963" s="152"/>
      <c r="AE963" s="152"/>
      <c r="AF963" s="152"/>
      <c r="AG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  <c r="AA964" s="152"/>
      <c r="AB964" s="152"/>
      <c r="AC964" s="152"/>
      <c r="AD964" s="152"/>
      <c r="AE964" s="152"/>
      <c r="AF964" s="152"/>
      <c r="AG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  <c r="AA965" s="152"/>
      <c r="AB965" s="152"/>
      <c r="AC965" s="152"/>
      <c r="AD965" s="152"/>
      <c r="AE965" s="152"/>
      <c r="AF965" s="152"/>
      <c r="AG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  <c r="AA966" s="152"/>
      <c r="AB966" s="152"/>
      <c r="AC966" s="152"/>
      <c r="AD966" s="152"/>
      <c r="AE966" s="152"/>
      <c r="AF966" s="152"/>
      <c r="AG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  <c r="AA967" s="152"/>
      <c r="AB967" s="152"/>
      <c r="AC967" s="152"/>
      <c r="AD967" s="152"/>
      <c r="AE967" s="152"/>
      <c r="AF967" s="152"/>
      <c r="AG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  <c r="AA968" s="152"/>
      <c r="AB968" s="152"/>
      <c r="AC968" s="152"/>
      <c r="AD968" s="152"/>
      <c r="AE968" s="152"/>
      <c r="AF968" s="152"/>
      <c r="AG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2"/>
      <c r="AD969" s="152"/>
      <c r="AE969" s="152"/>
      <c r="AF969" s="152"/>
      <c r="AG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  <c r="AA970" s="152"/>
      <c r="AB970" s="152"/>
      <c r="AC970" s="152"/>
      <c r="AD970" s="152"/>
      <c r="AE970" s="152"/>
      <c r="AF970" s="152"/>
      <c r="AG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  <c r="AA971" s="152"/>
      <c r="AB971" s="152"/>
      <c r="AC971" s="152"/>
      <c r="AD971" s="152"/>
      <c r="AE971" s="152"/>
      <c r="AF971" s="152"/>
      <c r="AG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  <c r="AA972" s="152"/>
      <c r="AB972" s="152"/>
      <c r="AC972" s="152"/>
      <c r="AD972" s="152"/>
      <c r="AE972" s="152"/>
      <c r="AF972" s="152"/>
      <c r="AG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  <c r="AA973" s="152"/>
      <c r="AB973" s="152"/>
      <c r="AC973" s="152"/>
      <c r="AD973" s="152"/>
      <c r="AE973" s="152"/>
      <c r="AF973" s="152"/>
      <c r="AG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  <c r="AA974" s="152"/>
      <c r="AB974" s="152"/>
      <c r="AC974" s="152"/>
      <c r="AD974" s="152"/>
      <c r="AE974" s="152"/>
      <c r="AF974" s="152"/>
      <c r="AG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  <c r="AA975" s="152"/>
      <c r="AB975" s="152"/>
      <c r="AC975" s="152"/>
      <c r="AD975" s="152"/>
      <c r="AE975" s="152"/>
      <c r="AF975" s="152"/>
      <c r="AG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  <c r="AA976" s="152"/>
      <c r="AB976" s="152"/>
      <c r="AC976" s="152"/>
      <c r="AD976" s="152"/>
      <c r="AE976" s="152"/>
      <c r="AF976" s="152"/>
      <c r="AG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  <c r="AA977" s="152"/>
      <c r="AB977" s="152"/>
      <c r="AC977" s="152"/>
      <c r="AD977" s="152"/>
      <c r="AE977" s="152"/>
      <c r="AF977" s="152"/>
      <c r="AG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  <c r="AA978" s="152"/>
      <c r="AB978" s="152"/>
      <c r="AC978" s="152"/>
      <c r="AD978" s="152"/>
      <c r="AE978" s="152"/>
      <c r="AF978" s="152"/>
      <c r="AG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  <c r="AA979" s="152"/>
      <c r="AB979" s="152"/>
      <c r="AC979" s="152"/>
      <c r="AD979" s="152"/>
      <c r="AE979" s="152"/>
      <c r="AF979" s="152"/>
      <c r="AG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  <c r="AA980" s="152"/>
      <c r="AB980" s="152"/>
      <c r="AC980" s="152"/>
      <c r="AD980" s="152"/>
      <c r="AE980" s="152"/>
      <c r="AF980" s="152"/>
      <c r="AG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  <c r="AA981" s="152"/>
      <c r="AB981" s="152"/>
      <c r="AC981" s="152"/>
      <c r="AD981" s="152"/>
      <c r="AE981" s="152"/>
      <c r="AF981" s="152"/>
      <c r="AG981" s="152"/>
    </row>
    <row r="982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  <c r="AA982" s="152"/>
      <c r="AB982" s="152"/>
      <c r="AC982" s="152"/>
      <c r="AD982" s="152"/>
      <c r="AE982" s="152"/>
      <c r="AF982" s="152"/>
      <c r="AG982" s="152"/>
    </row>
    <row r="983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  <c r="AA983" s="152"/>
      <c r="AB983" s="152"/>
      <c r="AC983" s="152"/>
      <c r="AD983" s="152"/>
      <c r="AE983" s="152"/>
      <c r="AF983" s="152"/>
      <c r="AG983" s="152"/>
    </row>
    <row r="984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  <c r="AA984" s="152"/>
      <c r="AB984" s="152"/>
      <c r="AC984" s="152"/>
      <c r="AD984" s="152"/>
      <c r="AE984" s="152"/>
      <c r="AF984" s="152"/>
      <c r="AG984" s="152"/>
    </row>
    <row r="985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  <c r="AA985" s="152"/>
      <c r="AB985" s="152"/>
      <c r="AC985" s="152"/>
      <c r="AD985" s="152"/>
      <c r="AE985" s="152"/>
      <c r="AF985" s="152"/>
      <c r="AG985" s="152"/>
    </row>
    <row r="986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2"/>
      <c r="AD986" s="152"/>
      <c r="AE986" s="152"/>
      <c r="AF986" s="152"/>
      <c r="AG986" s="152"/>
    </row>
    <row r="987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  <c r="AA987" s="152"/>
      <c r="AB987" s="152"/>
      <c r="AC987" s="152"/>
      <c r="AD987" s="152"/>
      <c r="AE987" s="152"/>
      <c r="AF987" s="152"/>
      <c r="AG987" s="152"/>
    </row>
    <row r="988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  <c r="AA988" s="152"/>
      <c r="AB988" s="152"/>
      <c r="AC988" s="152"/>
      <c r="AD988" s="152"/>
      <c r="AE988" s="152"/>
      <c r="AF988" s="152"/>
      <c r="AG988" s="152"/>
    </row>
    <row r="989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  <c r="AA989" s="152"/>
      <c r="AB989" s="152"/>
      <c r="AC989" s="152"/>
      <c r="AD989" s="152"/>
      <c r="AE989" s="152"/>
      <c r="AF989" s="152"/>
      <c r="AG989" s="152"/>
    </row>
    <row r="990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  <c r="AA990" s="152"/>
      <c r="AB990" s="152"/>
      <c r="AC990" s="152"/>
      <c r="AD990" s="152"/>
      <c r="AE990" s="152"/>
      <c r="AF990" s="152"/>
      <c r="AG990" s="152"/>
    </row>
    <row r="99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  <c r="AA991" s="152"/>
      <c r="AB991" s="152"/>
      <c r="AC991" s="152"/>
      <c r="AD991" s="152"/>
      <c r="AE991" s="152"/>
      <c r="AF991" s="152"/>
      <c r="AG991" s="152"/>
    </row>
    <row r="992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  <c r="AA992" s="152"/>
      <c r="AB992" s="152"/>
      <c r="AC992" s="152"/>
      <c r="AD992" s="152"/>
      <c r="AE992" s="152"/>
      <c r="AF992" s="152"/>
      <c r="AG992" s="152"/>
    </row>
    <row r="993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  <c r="AA993" s="152"/>
      <c r="AB993" s="152"/>
      <c r="AC993" s="152"/>
      <c r="AD993" s="152"/>
      <c r="AE993" s="152"/>
      <c r="AF993" s="152"/>
      <c r="AG993" s="152"/>
    </row>
    <row r="994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  <c r="AA994" s="152"/>
      <c r="AB994" s="152"/>
      <c r="AC994" s="152"/>
      <c r="AD994" s="152"/>
      <c r="AE994" s="152"/>
      <c r="AF994" s="152"/>
      <c r="AG994" s="152"/>
    </row>
    <row r="995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  <c r="AA995" s="152"/>
      <c r="AB995" s="152"/>
      <c r="AC995" s="152"/>
      <c r="AD995" s="152"/>
      <c r="AE995" s="152"/>
      <c r="AF995" s="152"/>
      <c r="AG995" s="152"/>
    </row>
    <row r="996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  <c r="AA996" s="152"/>
      <c r="AB996" s="152"/>
      <c r="AC996" s="152"/>
      <c r="AD996" s="152"/>
      <c r="AE996" s="152"/>
      <c r="AF996" s="152"/>
      <c r="AG996" s="152"/>
    </row>
    <row r="997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  <c r="AA997" s="152"/>
      <c r="AB997" s="152"/>
      <c r="AC997" s="152"/>
      <c r="AD997" s="152"/>
      <c r="AE997" s="152"/>
      <c r="AF997" s="152"/>
      <c r="AG997" s="152"/>
    </row>
    <row r="998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  <c r="AA998" s="152"/>
      <c r="AB998" s="152"/>
      <c r="AC998" s="152"/>
      <c r="AD998" s="152"/>
      <c r="AE998" s="152"/>
      <c r="AF998" s="152"/>
      <c r="AG998" s="152"/>
    </row>
    <row r="999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  <c r="AA999" s="152"/>
      <c r="AB999" s="152"/>
      <c r="AC999" s="152"/>
      <c r="AD999" s="152"/>
      <c r="AE999" s="152"/>
      <c r="AF999" s="152"/>
      <c r="AG999" s="152"/>
    </row>
    <row r="1000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  <c r="AA1000" s="152"/>
      <c r="AB1000" s="152"/>
      <c r="AC1000" s="152"/>
      <c r="AD1000" s="152"/>
      <c r="AE1000" s="152"/>
      <c r="AF1000" s="152"/>
      <c r="AG1000" s="152"/>
    </row>
  </sheetData>
  <mergeCells count="11">
    <mergeCell ref="M6:N6"/>
    <mergeCell ref="O6:P6"/>
    <mergeCell ref="G12:H12"/>
    <mergeCell ref="A41:B41"/>
    <mergeCell ref="A1:M1"/>
    <mergeCell ref="A5:B5"/>
    <mergeCell ref="D5:E5"/>
    <mergeCell ref="G5:H5"/>
    <mergeCell ref="J5:K5"/>
    <mergeCell ref="N5:O5"/>
    <mergeCell ref="G6:H6"/>
  </mergeCells>
  <dataValidations>
    <dataValidation type="list" allowBlank="1" showErrorMessage="1" sqref="E8">
      <formula1>"0%,1%,2%,3%,4%,5%"</formula1>
    </dataValidation>
    <dataValidation type="list" allowBlank="1" showErrorMessage="1" sqref="B7">
      <formula1>"0.5%,1.0%,1.5%,2.0%,2.5%,3.0%,3.5%,4.0%,4.5%,5.0%"</formula1>
    </dataValidation>
    <dataValidation type="list" allowBlank="1" showErrorMessage="1" sqref="H7">
      <formula1>"$2.70 ,$2.78 ,$2.86,$2.93,$3.01 ,$3.09"</formula1>
    </dataValidation>
    <dataValidation type="list" allowBlank="1" showErrorMessage="1" sqref="E12">
      <formula1>" $ 0.00 , $ 5.00 , $ 10.00 , $ 15.00 , $ 20.00 , $ 25.00 , $ 30.00 , $ 35.00 , $ 40.00 "</formula1>
    </dataValidation>
  </dataValidations>
  <hyperlinks>
    <hyperlink r:id="rId1" ref="A7"/>
    <hyperlink r:id="rId2" ref="D7"/>
    <hyperlink r:id="rId3" ref="G8"/>
    <hyperlink r:id="rId4" ref="D12"/>
    <hyperlink r:id="rId5" ref="G13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338" t="s">
        <v>303</v>
      </c>
    </row>
    <row r="2">
      <c r="A2" s="45" t="s">
        <v>304</v>
      </c>
      <c r="B2" s="339" t="s">
        <v>305</v>
      </c>
      <c r="C2" s="339" t="s">
        <v>44</v>
      </c>
      <c r="D2" s="339" t="s">
        <v>306</v>
      </c>
      <c r="E2" s="340" t="s">
        <v>307</v>
      </c>
    </row>
    <row r="3">
      <c r="A3" s="22" t="s">
        <v>308</v>
      </c>
      <c r="B3" s="341">
        <f>'Electricity Data'!D9</f>
        <v>304300</v>
      </c>
      <c r="C3" s="9">
        <f>B3*0.003412</f>
        <v>1038.2716</v>
      </c>
      <c r="D3" s="233">
        <v>0.429</v>
      </c>
      <c r="E3" s="342"/>
    </row>
    <row r="4">
      <c r="A4" s="45" t="s">
        <v>309</v>
      </c>
      <c r="B4" s="341">
        <f>'Heating Fuel Data'!H9</f>
        <v>5513</v>
      </c>
      <c r="C4" s="9">
        <f>B4*0.1385</f>
        <v>763.5505</v>
      </c>
      <c r="D4" s="233">
        <v>0.315</v>
      </c>
    </row>
    <row r="5">
      <c r="A5" s="22" t="s">
        <v>101</v>
      </c>
      <c r="B5" s="341">
        <f>'Heating Fuel Data'!K9</f>
        <v>4459</v>
      </c>
      <c r="C5" s="9">
        <f>B5*0.09133</f>
        <v>407.24047</v>
      </c>
      <c r="D5" s="233">
        <v>0.168</v>
      </c>
    </row>
    <row r="6">
      <c r="A6" s="45" t="s">
        <v>106</v>
      </c>
      <c r="B6" s="341">
        <f>'Heating Fuel Data'!N9</f>
        <v>13</v>
      </c>
      <c r="C6" s="9">
        <f>B6*16.4</f>
        <v>213.2</v>
      </c>
      <c r="D6" s="233">
        <v>0.088</v>
      </c>
    </row>
    <row r="7">
      <c r="A7" s="22" t="s">
        <v>310</v>
      </c>
      <c r="C7" s="341">
        <f t="shared" ref="C7:D7" si="1">SUM(C4:C6)</f>
        <v>1383.99097</v>
      </c>
      <c r="D7" s="88">
        <f t="shared" si="1"/>
        <v>0.571</v>
      </c>
    </row>
    <row r="8">
      <c r="A8" s="22" t="s">
        <v>311</v>
      </c>
      <c r="C8" s="343">
        <f t="shared" ref="C8:D8" si="2">C3</f>
        <v>1038.2716</v>
      </c>
      <c r="D8" s="88">
        <f t="shared" si="2"/>
        <v>0.429</v>
      </c>
    </row>
    <row r="10">
      <c r="C10" s="343">
        <f>C6+C5+C4+C3</f>
        <v>2422.26257</v>
      </c>
    </row>
    <row r="14">
      <c r="A14" s="344" t="s">
        <v>312</v>
      </c>
      <c r="B14" s="155"/>
      <c r="C14" s="152"/>
      <c r="D14" s="152"/>
      <c r="E14" s="152"/>
      <c r="F14" s="152"/>
      <c r="G14" s="152"/>
      <c r="H14" s="152"/>
    </row>
    <row r="15">
      <c r="A15" s="345" t="s">
        <v>313</v>
      </c>
      <c r="B15" s="345" t="s">
        <v>314</v>
      </c>
      <c r="C15" s="346" t="s">
        <v>315</v>
      </c>
      <c r="D15" s="347" t="s">
        <v>316</v>
      </c>
      <c r="E15" s="348" t="s">
        <v>57</v>
      </c>
      <c r="F15" s="349" t="s">
        <v>317</v>
      </c>
      <c r="G15" s="348" t="s">
        <v>318</v>
      </c>
      <c r="H15" s="349" t="s">
        <v>319</v>
      </c>
      <c r="I15" s="350" t="s">
        <v>320</v>
      </c>
      <c r="J15" s="351" t="s">
        <v>321</v>
      </c>
    </row>
    <row r="16">
      <c r="A16" s="352">
        <v>5.0</v>
      </c>
      <c r="B16" s="353">
        <v>0.005</v>
      </c>
      <c r="C16" s="354">
        <v>0.0</v>
      </c>
      <c r="D16" s="355">
        <v>2.7</v>
      </c>
      <c r="E16" s="356">
        <v>-2100309.49329549</v>
      </c>
      <c r="F16" s="357">
        <v>-2123943.47633562</v>
      </c>
      <c r="G16" s="356">
        <v>-1175507.42535063</v>
      </c>
      <c r="H16" s="357">
        <v>-1201284.10877068</v>
      </c>
      <c r="I16" s="358">
        <v>1424563.3085342264</v>
      </c>
      <c r="J16" s="359">
        <v>1424572.468123294</v>
      </c>
    </row>
    <row r="17">
      <c r="A17" s="360">
        <v>25.0</v>
      </c>
      <c r="B17" s="361">
        <v>0.03</v>
      </c>
      <c r="C17" s="362">
        <v>0.02</v>
      </c>
      <c r="D17" s="363">
        <v>2.93</v>
      </c>
      <c r="E17" s="356">
        <v>-1968613.97128599</v>
      </c>
      <c r="F17" s="357">
        <v>-2036230.35193108</v>
      </c>
      <c r="G17" s="356">
        <v>-1104152.27296622</v>
      </c>
      <c r="H17" s="357">
        <v>-1225212.26363061</v>
      </c>
      <c r="I17" s="358">
        <v>1052482.1330868837</v>
      </c>
      <c r="J17" s="359">
        <v>1052516.3629103207</v>
      </c>
    </row>
    <row r="18">
      <c r="A18" s="364">
        <v>40.0</v>
      </c>
      <c r="B18" s="365">
        <v>0.05</v>
      </c>
      <c r="C18" s="366">
        <v>0.05</v>
      </c>
      <c r="D18" s="355">
        <v>3.09</v>
      </c>
      <c r="E18" s="367">
        <v>-2250515.05996848</v>
      </c>
      <c r="F18" s="357">
        <v>-2365696.99435182</v>
      </c>
      <c r="G18" s="356">
        <v>-1256784.35790052</v>
      </c>
      <c r="H18" s="357">
        <v>-1477255.83649594</v>
      </c>
      <c r="I18" s="358">
        <v>856656.6767063511</v>
      </c>
      <c r="J18" s="359">
        <v>856701.2158359899</v>
      </c>
    </row>
    <row r="19">
      <c r="A19" s="152"/>
      <c r="B19" s="152"/>
      <c r="C19" s="152"/>
      <c r="D19" s="152"/>
      <c r="E19" s="152"/>
      <c r="F19" s="152"/>
      <c r="I19" s="152"/>
      <c r="J19" s="152"/>
    </row>
    <row r="20">
      <c r="A20" s="344" t="s">
        <v>322</v>
      </c>
      <c r="B20" s="155"/>
      <c r="C20" s="152"/>
      <c r="D20" s="152"/>
      <c r="E20" s="152"/>
      <c r="F20" s="152"/>
      <c r="I20" s="152"/>
      <c r="J20" s="152"/>
      <c r="L20" s="72"/>
    </row>
    <row r="21">
      <c r="A21" s="345" t="s">
        <v>313</v>
      </c>
      <c r="B21" s="345" t="s">
        <v>314</v>
      </c>
      <c r="C21" s="346" t="s">
        <v>315</v>
      </c>
      <c r="D21" s="347" t="s">
        <v>316</v>
      </c>
      <c r="E21" s="348" t="s">
        <v>57</v>
      </c>
      <c r="F21" s="349" t="s">
        <v>317</v>
      </c>
      <c r="G21" s="348" t="s">
        <v>318</v>
      </c>
      <c r="H21" s="349" t="s">
        <v>319</v>
      </c>
      <c r="I21" s="350" t="s">
        <v>320</v>
      </c>
      <c r="J21" s="351" t="s">
        <v>321</v>
      </c>
    </row>
    <row r="22">
      <c r="A22" s="352">
        <v>5.0</v>
      </c>
      <c r="B22" s="353">
        <v>0.005</v>
      </c>
      <c r="C22" s="354">
        <v>0.0</v>
      </c>
      <c r="D22" s="355">
        <v>2.7</v>
      </c>
      <c r="E22" s="368" t="s">
        <v>268</v>
      </c>
      <c r="F22" s="368" t="s">
        <v>268</v>
      </c>
      <c r="G22" s="368" t="s">
        <v>268</v>
      </c>
      <c r="H22" s="368" t="s">
        <v>268</v>
      </c>
      <c r="I22" s="369">
        <v>0.66</v>
      </c>
      <c r="J22" s="370">
        <v>0.66</v>
      </c>
    </row>
    <row r="23">
      <c r="A23" s="360">
        <v>25.0</v>
      </c>
      <c r="B23" s="361">
        <v>0.03</v>
      </c>
      <c r="C23" s="362">
        <v>0.02</v>
      </c>
      <c r="D23" s="363">
        <v>2.93</v>
      </c>
      <c r="E23" s="368" t="s">
        <v>268</v>
      </c>
      <c r="F23" s="368" t="s">
        <v>268</v>
      </c>
      <c r="G23" s="368" t="s">
        <v>268</v>
      </c>
      <c r="H23" s="368" t="s">
        <v>268</v>
      </c>
      <c r="I23" s="369">
        <v>0.62</v>
      </c>
      <c r="J23" s="370">
        <v>0.62</v>
      </c>
    </row>
    <row r="24">
      <c r="A24" s="364">
        <v>40.0</v>
      </c>
      <c r="B24" s="365">
        <v>0.05</v>
      </c>
      <c r="C24" s="366">
        <v>0.05</v>
      </c>
      <c r="D24" s="355">
        <v>3.09</v>
      </c>
      <c r="E24" s="368" t="s">
        <v>268</v>
      </c>
      <c r="F24" s="368" t="s">
        <v>268</v>
      </c>
      <c r="G24" s="368" t="s">
        <v>268</v>
      </c>
      <c r="H24" s="368" t="s">
        <v>268</v>
      </c>
      <c r="I24" s="369">
        <v>0.6</v>
      </c>
      <c r="J24" s="370">
        <v>0.6</v>
      </c>
    </row>
    <row r="25">
      <c r="A25" s="152"/>
      <c r="B25" s="152"/>
      <c r="C25" s="152"/>
      <c r="D25" s="152"/>
      <c r="E25" s="152"/>
      <c r="F25" s="152"/>
      <c r="I25" s="152"/>
      <c r="J25" s="152"/>
    </row>
    <row r="26">
      <c r="A26" s="344" t="s">
        <v>323</v>
      </c>
      <c r="B26" s="155"/>
      <c r="C26" s="155"/>
      <c r="D26" s="155"/>
      <c r="E26" s="155"/>
      <c r="F26" s="155"/>
      <c r="I26" s="155"/>
      <c r="J26" s="155"/>
      <c r="M26" s="72"/>
    </row>
    <row r="27">
      <c r="A27" s="345" t="s">
        <v>313</v>
      </c>
      <c r="B27" s="345" t="s">
        <v>314</v>
      </c>
      <c r="C27" s="346" t="s">
        <v>315</v>
      </c>
      <c r="D27" s="347" t="s">
        <v>316</v>
      </c>
      <c r="E27" s="348" t="s">
        <v>57</v>
      </c>
      <c r="F27" s="349" t="s">
        <v>317</v>
      </c>
      <c r="G27" s="348" t="s">
        <v>318</v>
      </c>
      <c r="H27" s="349" t="s">
        <v>319</v>
      </c>
      <c r="I27" s="350" t="s">
        <v>320</v>
      </c>
      <c r="J27" s="351" t="s">
        <v>321</v>
      </c>
    </row>
    <row r="28">
      <c r="A28" s="352">
        <v>5.0</v>
      </c>
      <c r="B28" s="353">
        <v>0.005</v>
      </c>
      <c r="C28" s="354">
        <v>0.0</v>
      </c>
      <c r="D28" s="355">
        <v>2.7</v>
      </c>
      <c r="E28" s="368" t="s">
        <v>268</v>
      </c>
      <c r="F28" s="368" t="s">
        <v>268</v>
      </c>
      <c r="G28" s="368" t="s">
        <v>268</v>
      </c>
      <c r="H28" s="368" t="s">
        <v>268</v>
      </c>
      <c r="I28" s="371">
        <v>0.015</v>
      </c>
      <c r="J28" s="372">
        <v>0.0</v>
      </c>
    </row>
    <row r="29">
      <c r="A29" s="360">
        <v>25.0</v>
      </c>
      <c r="B29" s="361">
        <v>0.03</v>
      </c>
      <c r="C29" s="362">
        <v>0.02</v>
      </c>
      <c r="D29" s="363">
        <v>2.93</v>
      </c>
      <c r="E29" s="368" t="s">
        <v>268</v>
      </c>
      <c r="F29" s="368" t="s">
        <v>268</v>
      </c>
      <c r="G29" s="368" t="s">
        <v>268</v>
      </c>
      <c r="H29" s="368" t="s">
        <v>268</v>
      </c>
      <c r="I29" s="371">
        <v>0.021</v>
      </c>
      <c r="J29" s="372">
        <v>0.0</v>
      </c>
    </row>
    <row r="30">
      <c r="A30" s="364">
        <v>40.0</v>
      </c>
      <c r="B30" s="365">
        <v>0.05</v>
      </c>
      <c r="C30" s="366">
        <v>0.05</v>
      </c>
      <c r="D30" s="355">
        <v>3.09</v>
      </c>
      <c r="E30" s="368" t="s">
        <v>268</v>
      </c>
      <c r="F30" s="368" t="s">
        <v>268</v>
      </c>
      <c r="G30" s="368" t="s">
        <v>268</v>
      </c>
      <c r="H30" s="368" t="s">
        <v>268</v>
      </c>
      <c r="I30" s="371">
        <v>0.027</v>
      </c>
      <c r="J30" s="372">
        <v>0.0</v>
      </c>
    </row>
    <row r="31">
      <c r="A31" s="152"/>
      <c r="B31" s="152"/>
      <c r="C31" s="152"/>
      <c r="D31" s="152"/>
      <c r="E31" s="152"/>
      <c r="F31" s="152"/>
      <c r="I31" s="152"/>
      <c r="J31" s="373"/>
    </row>
    <row r="32">
      <c r="A32" s="374" t="s">
        <v>324</v>
      </c>
      <c r="B32" s="152"/>
      <c r="C32" s="155"/>
      <c r="D32" s="155"/>
      <c r="E32" s="155"/>
      <c r="F32" s="155"/>
      <c r="I32" s="155"/>
      <c r="J32" s="155"/>
    </row>
    <row r="33">
      <c r="A33" s="345" t="s">
        <v>313</v>
      </c>
      <c r="B33" s="345" t="s">
        <v>314</v>
      </c>
      <c r="C33" s="346" t="s">
        <v>315</v>
      </c>
      <c r="D33" s="347" t="s">
        <v>316</v>
      </c>
      <c r="E33" s="348" t="s">
        <v>57</v>
      </c>
      <c r="F33" s="349" t="s">
        <v>317</v>
      </c>
      <c r="G33" s="348" t="s">
        <v>318</v>
      </c>
      <c r="H33" s="349" t="s">
        <v>319</v>
      </c>
      <c r="I33" s="350" t="s">
        <v>320</v>
      </c>
      <c r="J33" s="351" t="s">
        <v>321</v>
      </c>
    </row>
    <row r="34">
      <c r="A34" s="352">
        <v>5.0</v>
      </c>
      <c r="B34" s="353">
        <v>0.005</v>
      </c>
      <c r="C34" s="354">
        <v>0.0</v>
      </c>
      <c r="D34" s="355">
        <v>2.7</v>
      </c>
      <c r="E34" s="368" t="s">
        <v>268</v>
      </c>
      <c r="F34" s="368" t="s">
        <v>268</v>
      </c>
      <c r="G34" s="368" t="s">
        <v>268</v>
      </c>
      <c r="H34" s="368" t="s">
        <v>268</v>
      </c>
      <c r="I34" s="375">
        <v>2.0</v>
      </c>
      <c r="J34" s="376">
        <v>2.0</v>
      </c>
    </row>
    <row r="35">
      <c r="A35" s="360">
        <v>25.0</v>
      </c>
      <c r="B35" s="361">
        <v>0.03</v>
      </c>
      <c r="C35" s="362">
        <v>0.02</v>
      </c>
      <c r="D35" s="363">
        <v>2.93</v>
      </c>
      <c r="E35" s="368" t="s">
        <v>268</v>
      </c>
      <c r="F35" s="368" t="s">
        <v>268</v>
      </c>
      <c r="G35" s="368" t="s">
        <v>268</v>
      </c>
      <c r="H35" s="368" t="s">
        <v>268</v>
      </c>
      <c r="I35" s="375">
        <v>2.0</v>
      </c>
      <c r="J35" s="376">
        <v>2.0</v>
      </c>
    </row>
    <row r="36">
      <c r="A36" s="364">
        <v>40.0</v>
      </c>
      <c r="B36" s="365">
        <v>0.05</v>
      </c>
      <c r="C36" s="366">
        <v>0.05</v>
      </c>
      <c r="D36" s="355">
        <v>3.09</v>
      </c>
      <c r="E36" s="368" t="s">
        <v>268</v>
      </c>
      <c r="F36" s="368" t="s">
        <v>268</v>
      </c>
      <c r="G36" s="368" t="s">
        <v>268</v>
      </c>
      <c r="H36" s="368" t="s">
        <v>268</v>
      </c>
      <c r="I36" s="375">
        <v>2.0</v>
      </c>
      <c r="J36" s="376">
        <v>2.0</v>
      </c>
    </row>
    <row r="37">
      <c r="A37" s="152"/>
      <c r="B37" s="152"/>
      <c r="C37" s="152"/>
      <c r="D37" s="152"/>
      <c r="E37" s="152"/>
      <c r="F37" s="152"/>
      <c r="I37" s="152"/>
      <c r="J37" s="152"/>
    </row>
    <row r="38">
      <c r="A38" s="377" t="s">
        <v>325</v>
      </c>
      <c r="B38" s="152"/>
      <c r="C38" s="155"/>
      <c r="D38" s="155"/>
      <c r="E38" s="155"/>
      <c r="F38" s="155"/>
      <c r="I38" s="155"/>
      <c r="J38" s="155"/>
    </row>
    <row r="39">
      <c r="A39" s="345" t="s">
        <v>313</v>
      </c>
      <c r="B39" s="345" t="s">
        <v>314</v>
      </c>
      <c r="C39" s="346" t="s">
        <v>315</v>
      </c>
      <c r="D39" s="347" t="s">
        <v>316</v>
      </c>
      <c r="E39" s="348" t="s">
        <v>57</v>
      </c>
      <c r="F39" s="349" t="s">
        <v>317</v>
      </c>
      <c r="G39" s="348" t="s">
        <v>318</v>
      </c>
      <c r="H39" s="349" t="s">
        <v>319</v>
      </c>
      <c r="I39" s="350" t="s">
        <v>320</v>
      </c>
      <c r="J39" s="351" t="s">
        <v>321</v>
      </c>
    </row>
    <row r="40">
      <c r="A40" s="352">
        <v>5.0</v>
      </c>
      <c r="B40" s="353">
        <v>0.005</v>
      </c>
      <c r="C40" s="354">
        <v>0.0</v>
      </c>
      <c r="D40" s="355">
        <v>2.7</v>
      </c>
      <c r="E40" s="368" t="s">
        <v>268</v>
      </c>
      <c r="F40" s="368" t="s">
        <v>268</v>
      </c>
      <c r="G40" s="368" t="s">
        <v>268</v>
      </c>
      <c r="H40" s="368" t="s">
        <v>268</v>
      </c>
      <c r="I40" s="375">
        <v>2.0</v>
      </c>
      <c r="J40" s="376">
        <v>2.0</v>
      </c>
    </row>
    <row r="41">
      <c r="A41" s="360">
        <v>25.0</v>
      </c>
      <c r="B41" s="361">
        <v>0.03</v>
      </c>
      <c r="C41" s="362">
        <v>0.02</v>
      </c>
      <c r="D41" s="363">
        <v>2.93</v>
      </c>
      <c r="E41" s="368" t="s">
        <v>268</v>
      </c>
      <c r="F41" s="368" t="s">
        <v>268</v>
      </c>
      <c r="G41" s="368" t="s">
        <v>268</v>
      </c>
      <c r="H41" s="368" t="s">
        <v>268</v>
      </c>
      <c r="I41" s="375">
        <v>2.0</v>
      </c>
      <c r="J41" s="376">
        <v>2.0</v>
      </c>
    </row>
    <row r="42">
      <c r="A42" s="364">
        <v>40.0</v>
      </c>
      <c r="B42" s="365">
        <v>0.05</v>
      </c>
      <c r="C42" s="366">
        <v>0.05</v>
      </c>
      <c r="D42" s="355">
        <v>3.09</v>
      </c>
      <c r="E42" s="368" t="s">
        <v>268</v>
      </c>
      <c r="F42" s="368" t="s">
        <v>268</v>
      </c>
      <c r="G42" s="368" t="s">
        <v>268</v>
      </c>
      <c r="H42" s="368" t="s">
        <v>268</v>
      </c>
      <c r="I42" s="375">
        <v>2.0</v>
      </c>
      <c r="J42" s="376">
        <v>2.0</v>
      </c>
    </row>
    <row r="43">
      <c r="A43" s="152"/>
      <c r="B43" s="152"/>
      <c r="C43" s="152"/>
      <c r="D43" s="152"/>
      <c r="E43" s="152"/>
      <c r="F43" s="152"/>
      <c r="I43" s="152"/>
      <c r="J43" s="152"/>
    </row>
    <row r="44">
      <c r="A44" s="344" t="s">
        <v>326</v>
      </c>
      <c r="B44" s="155"/>
      <c r="C44" s="152"/>
      <c r="D44" s="152"/>
      <c r="E44" s="152"/>
      <c r="F44" s="152"/>
      <c r="I44" s="152"/>
      <c r="J44" s="152"/>
    </row>
    <row r="45">
      <c r="A45" s="345" t="s">
        <v>313</v>
      </c>
      <c r="B45" s="345" t="s">
        <v>314</v>
      </c>
      <c r="C45" s="346" t="s">
        <v>315</v>
      </c>
      <c r="D45" s="347" t="s">
        <v>316</v>
      </c>
      <c r="E45" s="348" t="s">
        <v>57</v>
      </c>
      <c r="F45" s="349" t="s">
        <v>317</v>
      </c>
      <c r="G45" s="348" t="s">
        <v>318</v>
      </c>
      <c r="H45" s="349" t="s">
        <v>319</v>
      </c>
      <c r="I45" s="350" t="s">
        <v>320</v>
      </c>
      <c r="J45" s="351" t="s">
        <v>321</v>
      </c>
    </row>
    <row r="46">
      <c r="A46" s="352">
        <v>5.0</v>
      </c>
      <c r="B46" s="353">
        <v>0.005</v>
      </c>
      <c r="C46" s="354">
        <v>0.0</v>
      </c>
      <c r="D46" s="355">
        <v>2.7</v>
      </c>
      <c r="E46" s="368" t="s">
        <v>268</v>
      </c>
      <c r="F46" s="368" t="s">
        <v>268</v>
      </c>
      <c r="G46" s="368" t="s">
        <v>268</v>
      </c>
      <c r="H46" s="368" t="s">
        <v>268</v>
      </c>
      <c r="I46" s="375">
        <v>13.034</v>
      </c>
      <c r="J46" s="376">
        <v>13.034</v>
      </c>
    </row>
    <row r="47">
      <c r="A47" s="360">
        <v>25.0</v>
      </c>
      <c r="B47" s="361">
        <v>0.03</v>
      </c>
      <c r="C47" s="362">
        <v>0.02</v>
      </c>
      <c r="D47" s="363">
        <v>2.93</v>
      </c>
      <c r="E47" s="368" t="s">
        <v>268</v>
      </c>
      <c r="F47" s="368" t="s">
        <v>268</v>
      </c>
      <c r="G47" s="368" t="s">
        <v>268</v>
      </c>
      <c r="H47" s="368" t="s">
        <v>268</v>
      </c>
      <c r="I47" s="375">
        <v>9.502</v>
      </c>
      <c r="J47" s="376">
        <v>9.502</v>
      </c>
    </row>
    <row r="48">
      <c r="A48" s="364">
        <v>40.0</v>
      </c>
      <c r="B48" s="365">
        <v>0.05</v>
      </c>
      <c r="C48" s="366">
        <v>0.05</v>
      </c>
      <c r="D48" s="355">
        <v>3.09</v>
      </c>
      <c r="E48" s="368" t="s">
        <v>268</v>
      </c>
      <c r="F48" s="368" t="s">
        <v>268</v>
      </c>
      <c r="G48" s="368" t="s">
        <v>268</v>
      </c>
      <c r="H48" s="368" t="s">
        <v>268</v>
      </c>
      <c r="I48" s="375">
        <v>7.689</v>
      </c>
      <c r="J48" s="376">
        <v>7.689</v>
      </c>
    </row>
    <row r="53">
      <c r="A53" s="378" t="s">
        <v>61</v>
      </c>
      <c r="B53" s="74" t="s">
        <v>327</v>
      </c>
      <c r="C53" s="74" t="s">
        <v>328</v>
      </c>
      <c r="D53" s="74" t="s">
        <v>329</v>
      </c>
      <c r="G53" s="21"/>
      <c r="H53" s="21"/>
    </row>
    <row r="54">
      <c r="A54" s="379" t="s">
        <v>5</v>
      </c>
      <c r="B54" s="380">
        <v>13217.0</v>
      </c>
      <c r="C54" s="380">
        <v>11410.0</v>
      </c>
      <c r="D54" s="380">
        <v>16833.0</v>
      </c>
    </row>
    <row r="55">
      <c r="A55" s="379" t="s">
        <v>12</v>
      </c>
      <c r="B55" s="380">
        <v>10965.0</v>
      </c>
      <c r="C55" s="380">
        <v>13560.0</v>
      </c>
      <c r="D55" s="380">
        <v>13750.0</v>
      </c>
    </row>
    <row r="56">
      <c r="A56" s="379" t="s">
        <v>330</v>
      </c>
      <c r="B56" s="380">
        <v>17113.0</v>
      </c>
      <c r="C56" s="380">
        <v>21500.0</v>
      </c>
      <c r="D56" s="380">
        <v>21250.0</v>
      </c>
    </row>
    <row r="57">
      <c r="A57" s="379" t="s">
        <v>26</v>
      </c>
      <c r="B57" s="380">
        <v>18646.0</v>
      </c>
      <c r="C57" s="380">
        <v>19900.0</v>
      </c>
      <c r="D57" s="380">
        <v>22083.0</v>
      </c>
    </row>
    <row r="58">
      <c r="A58" s="379" t="s">
        <v>33</v>
      </c>
      <c r="B58" s="380">
        <v>8930.0</v>
      </c>
      <c r="C58" s="380">
        <v>8240.0</v>
      </c>
      <c r="D58" s="380">
        <v>12500.0</v>
      </c>
    </row>
    <row r="59">
      <c r="A59" s="379" t="s">
        <v>38</v>
      </c>
      <c r="B59" s="380">
        <v>195561.0</v>
      </c>
      <c r="C59" s="380">
        <v>229690.0</v>
      </c>
      <c r="D59" s="380">
        <v>187500.0</v>
      </c>
    </row>
    <row r="60">
      <c r="A60" s="381" t="s">
        <v>112</v>
      </c>
      <c r="B60" s="382">
        <f t="shared" ref="B60:D60" si="3">SUM(B54:B59)</f>
        <v>264432</v>
      </c>
      <c r="C60" s="382">
        <f t="shared" si="3"/>
        <v>304300</v>
      </c>
      <c r="D60" s="382">
        <f t="shared" si="3"/>
        <v>273916</v>
      </c>
    </row>
    <row r="65">
      <c r="B65" s="23" t="s">
        <v>331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4"/>
    </row>
    <row r="66">
      <c r="A66" s="383" t="s">
        <v>61</v>
      </c>
      <c r="B66" s="384" t="s">
        <v>332</v>
      </c>
      <c r="C66" s="384" t="s">
        <v>333</v>
      </c>
      <c r="D66" s="384" t="s">
        <v>334</v>
      </c>
      <c r="E66" s="384" t="s">
        <v>335</v>
      </c>
      <c r="F66" s="384" t="s">
        <v>336</v>
      </c>
      <c r="G66" s="384" t="s">
        <v>337</v>
      </c>
      <c r="H66" s="384" t="s">
        <v>338</v>
      </c>
      <c r="I66" s="384" t="s">
        <v>339</v>
      </c>
      <c r="J66" s="384" t="s">
        <v>340</v>
      </c>
      <c r="K66" s="384" t="s">
        <v>341</v>
      </c>
      <c r="L66" s="384" t="s">
        <v>342</v>
      </c>
      <c r="M66" s="385" t="s">
        <v>343</v>
      </c>
    </row>
    <row r="67">
      <c r="A67" s="386" t="s">
        <v>5</v>
      </c>
      <c r="B67" s="130">
        <v>3219.78</v>
      </c>
      <c r="C67" s="130">
        <v>5711.87</v>
      </c>
      <c r="D67" s="387">
        <f t="shared" ref="D67:D72" si="4">H67</f>
        <v>48925</v>
      </c>
      <c r="E67" s="388">
        <f t="shared" ref="E67:E73" si="5">(B67+C67)/D67</f>
        <v>0.1825579969</v>
      </c>
      <c r="F67" s="69">
        <v>3040.0</v>
      </c>
      <c r="G67" s="389">
        <v>5104.0</v>
      </c>
      <c r="H67" s="130">
        <v>48925.0</v>
      </c>
      <c r="I67" s="388">
        <f t="shared" ref="I67:I73" si="6">(F67+G67)/H67</f>
        <v>0.1664588656</v>
      </c>
      <c r="J67" s="69">
        <v>4040.0</v>
      </c>
      <c r="K67" s="389">
        <v>6500.0</v>
      </c>
      <c r="L67" s="130">
        <f t="shared" ref="L67:L72" si="7">H67</f>
        <v>48925</v>
      </c>
      <c r="M67" s="390">
        <f t="shared" ref="M67:M73" si="8">(J67+K67)/L67</f>
        <v>0.2154317833</v>
      </c>
    </row>
    <row r="68">
      <c r="A68" s="386" t="s">
        <v>12</v>
      </c>
      <c r="B68" s="130">
        <v>2765.92</v>
      </c>
      <c r="C68" s="130">
        <v>13726.14</v>
      </c>
      <c r="D68" s="387">
        <f t="shared" si="4"/>
        <v>30415</v>
      </c>
      <c r="E68" s="388">
        <f t="shared" si="5"/>
        <v>0.5422344238</v>
      </c>
      <c r="F68" s="69">
        <v>2522.0</v>
      </c>
      <c r="G68" s="389">
        <v>9643.0</v>
      </c>
      <c r="H68" s="130">
        <v>30415.0</v>
      </c>
      <c r="I68" s="388">
        <f t="shared" si="6"/>
        <v>0.3999671215</v>
      </c>
      <c r="J68" s="69">
        <v>3300.0</v>
      </c>
      <c r="K68" s="389">
        <v>16000.0</v>
      </c>
      <c r="L68" s="130">
        <f t="shared" si="7"/>
        <v>30415</v>
      </c>
      <c r="M68" s="390">
        <f t="shared" si="8"/>
        <v>0.6345553181</v>
      </c>
    </row>
    <row r="69">
      <c r="A69" s="386" t="s">
        <v>19</v>
      </c>
      <c r="B69" s="391">
        <v>4603.61</v>
      </c>
      <c r="C69" s="130">
        <v>12858.0</v>
      </c>
      <c r="D69" s="387">
        <f t="shared" si="4"/>
        <v>20565</v>
      </c>
      <c r="E69" s="388">
        <f t="shared" si="5"/>
        <v>0.8490936056</v>
      </c>
      <c r="F69" s="69">
        <v>3936.0</v>
      </c>
      <c r="G69" s="389">
        <v>12049.0</v>
      </c>
      <c r="H69" s="130">
        <v>20565.0</v>
      </c>
      <c r="I69" s="388">
        <f t="shared" si="6"/>
        <v>0.7772915147</v>
      </c>
      <c r="J69" s="69">
        <v>5100.0</v>
      </c>
      <c r="K69" s="389">
        <v>8000.0</v>
      </c>
      <c r="L69" s="130">
        <f t="shared" si="7"/>
        <v>20565</v>
      </c>
      <c r="M69" s="390">
        <f t="shared" si="8"/>
        <v>0.6370046195</v>
      </c>
    </row>
    <row r="70">
      <c r="A70" s="386" t="s">
        <v>26</v>
      </c>
      <c r="B70" s="130">
        <v>3926.39</v>
      </c>
      <c r="C70" s="130">
        <v>3121.83</v>
      </c>
      <c r="D70" s="387">
        <f t="shared" si="4"/>
        <v>26200</v>
      </c>
      <c r="E70" s="388">
        <f t="shared" si="5"/>
        <v>0.2690160305</v>
      </c>
      <c r="F70" s="69">
        <v>4288.51</v>
      </c>
      <c r="G70" s="69">
        <v>2186.0</v>
      </c>
      <c r="H70" s="130">
        <v>26200.0</v>
      </c>
      <c r="I70" s="388">
        <f t="shared" si="6"/>
        <v>0.2471187023</v>
      </c>
      <c r="J70" s="69">
        <v>5300.0</v>
      </c>
      <c r="K70" s="389">
        <v>1425.0</v>
      </c>
      <c r="L70" s="130">
        <f t="shared" si="7"/>
        <v>26200</v>
      </c>
      <c r="M70" s="390">
        <f t="shared" si="8"/>
        <v>0.2566793893</v>
      </c>
    </row>
    <row r="71">
      <c r="A71" s="386" t="s">
        <v>33</v>
      </c>
      <c r="B71" s="130">
        <v>1665.14</v>
      </c>
      <c r="C71" s="130">
        <v>3508.64</v>
      </c>
      <c r="D71" s="387">
        <f t="shared" si="4"/>
        <v>31110</v>
      </c>
      <c r="E71" s="388">
        <f t="shared" si="5"/>
        <v>0.1663060109</v>
      </c>
      <c r="F71" s="69">
        <v>2054.0</v>
      </c>
      <c r="G71" s="389">
        <v>3128.0</v>
      </c>
      <c r="H71" s="130">
        <v>31110.0</v>
      </c>
      <c r="I71" s="388">
        <f t="shared" si="6"/>
        <v>0.1665702347</v>
      </c>
      <c r="J71" s="69">
        <v>3000.0</v>
      </c>
      <c r="K71" s="389">
        <v>4500.0</v>
      </c>
      <c r="L71" s="130">
        <f t="shared" si="7"/>
        <v>31110</v>
      </c>
      <c r="M71" s="390">
        <f t="shared" si="8"/>
        <v>0.2410800386</v>
      </c>
    </row>
    <row r="72">
      <c r="A72" s="386" t="s">
        <v>38</v>
      </c>
      <c r="B72" s="130">
        <v>35768.67</v>
      </c>
      <c r="C72" s="130">
        <v>2686.42</v>
      </c>
      <c r="D72" s="387">
        <f t="shared" si="4"/>
        <v>84700</v>
      </c>
      <c r="E72" s="388">
        <f t="shared" si="5"/>
        <v>0.4540152302</v>
      </c>
      <c r="F72" s="69">
        <v>44978.97</v>
      </c>
      <c r="G72" s="389">
        <v>11571.52</v>
      </c>
      <c r="H72" s="130">
        <v>84700.0</v>
      </c>
      <c r="I72" s="388">
        <f t="shared" si="6"/>
        <v>0.6676563164</v>
      </c>
      <c r="J72" s="69">
        <v>45000.0</v>
      </c>
      <c r="K72" s="389">
        <v>7000.0</v>
      </c>
      <c r="L72" s="130">
        <f t="shared" si="7"/>
        <v>84700</v>
      </c>
      <c r="M72" s="390">
        <f t="shared" si="8"/>
        <v>0.613931523</v>
      </c>
    </row>
    <row r="73">
      <c r="A73" s="392" t="s">
        <v>112</v>
      </c>
      <c r="B73" s="393">
        <f>SUM(C67:C72)</f>
        <v>41612.9</v>
      </c>
      <c r="C73" s="393">
        <f t="shared" ref="C73:D73" si="9">SUM(C67:C72)</f>
        <v>41612.9</v>
      </c>
      <c r="D73" s="393">
        <f t="shared" si="9"/>
        <v>241915</v>
      </c>
      <c r="E73" s="394">
        <f t="shared" si="5"/>
        <v>0.3440291011</v>
      </c>
      <c r="F73" s="393">
        <f>SUM(G67:G72)</f>
        <v>43681.52</v>
      </c>
      <c r="G73" s="393">
        <f t="shared" ref="G73:H73" si="10">SUM(G67:G72)</f>
        <v>43681.52</v>
      </c>
      <c r="H73" s="393">
        <f t="shared" si="10"/>
        <v>241915</v>
      </c>
      <c r="I73" s="394">
        <f t="shared" si="6"/>
        <v>0.3611311411</v>
      </c>
      <c r="J73" s="393">
        <f>SUM(K67:K72)</f>
        <v>43425</v>
      </c>
      <c r="K73" s="393">
        <f t="shared" ref="K73:L73" si="11">SUM(K67:K72)</f>
        <v>43425</v>
      </c>
      <c r="L73" s="393">
        <f t="shared" si="11"/>
        <v>241915</v>
      </c>
      <c r="M73" s="395">
        <f t="shared" si="8"/>
        <v>0.3590103962</v>
      </c>
    </row>
    <row r="75">
      <c r="N75" s="130">
        <v>36885.0</v>
      </c>
    </row>
    <row r="76">
      <c r="N76" s="130">
        <v>31365.0</v>
      </c>
    </row>
    <row r="77">
      <c r="N77" s="130">
        <v>33600.0</v>
      </c>
    </row>
    <row r="78">
      <c r="N78" s="130">
        <v>26312.0</v>
      </c>
    </row>
    <row r="79">
      <c r="N79" s="130">
        <v>21695.0</v>
      </c>
    </row>
    <row r="80">
      <c r="N80" s="130">
        <v>88200.0</v>
      </c>
    </row>
    <row r="94">
      <c r="B94" s="9" t="s">
        <v>57</v>
      </c>
      <c r="C94" s="9" t="s">
        <v>317</v>
      </c>
      <c r="D94" s="9" t="s">
        <v>152</v>
      </c>
      <c r="E94" s="9" t="s">
        <v>344</v>
      </c>
      <c r="F94" s="9" t="s">
        <v>345</v>
      </c>
      <c r="G94" s="9" t="s">
        <v>346</v>
      </c>
    </row>
    <row r="95">
      <c r="B95" s="69">
        <v>-349559.0</v>
      </c>
      <c r="C95" s="69">
        <v>-370039.0</v>
      </c>
      <c r="D95" s="69">
        <v>-213766.0</v>
      </c>
      <c r="E95" s="69">
        <v>-246578.0</v>
      </c>
      <c r="F95" s="69">
        <v>196007.0</v>
      </c>
      <c r="G95" s="69">
        <v>196020.0</v>
      </c>
    </row>
  </sheetData>
  <mergeCells count="1">
    <mergeCell ref="B65:O65"/>
  </mergeCells>
  <dataValidations>
    <dataValidation type="list" allowBlank="1" showErrorMessage="1" sqref="B17 B23 B29 B35 B41 B47">
      <formula1>"1.0%,1.5%,2.0%,2.5%,3.0%,3.5%,4.0%,4.5%"</formula1>
    </dataValidation>
    <dataValidation type="list" allowBlank="1" showErrorMessage="1" sqref="D17 D23 D29 D35 D41 D47">
      <formula1>"$2.78,$2.86,$2.93,$3.01"</formula1>
    </dataValidation>
    <dataValidation type="list" allowBlank="1" showErrorMessage="1" sqref="A17 A23 A29 A35 A41 A47">
      <formula1>"$10,$15,$20,$25,$30,$35"</formula1>
    </dataValidation>
    <dataValidation type="list" allowBlank="1" showErrorMessage="1" sqref="C17 C23 C29 C35 C41 C47">
      <formula1>"1%,2%,3%,4%"</formula1>
    </dataValidation>
  </dataValidations>
  <hyperlinks>
    <hyperlink r:id="rId2" ref="E2"/>
  </hyperlinks>
  <drawing r:id="rId3"/>
  <legacyDrawing r:id="rId4"/>
</worksheet>
</file>