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rafaelktistakis/Repositories/C.CPT/results/"/>
    </mc:Choice>
  </mc:AlternateContent>
  <xr:revisionPtr revIDLastSave="0" documentId="13_ncr:1_{3EC82396-2AC7-A34F-90FB-FE30C2421F4B}" xr6:coauthVersionLast="36" xr6:coauthVersionMax="36" xr10:uidLastSave="{00000000-0000-0000-0000-000000000000}"/>
  <bookViews>
    <workbookView xWindow="51200" yWindow="460" windowWidth="38400" windowHeight="2114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B3" i="1"/>
  <c r="AB4" i="1"/>
  <c r="AB5" i="1"/>
  <c r="AB6" i="1"/>
  <c r="AB7" i="1"/>
  <c r="AB8" i="1"/>
  <c r="AB9" i="1"/>
  <c r="AB10" i="1"/>
  <c r="AB11" i="1"/>
  <c r="AJ2" i="1"/>
  <c r="AJ3" i="1"/>
  <c r="AJ4" i="1"/>
  <c r="AJ5" i="1"/>
  <c r="AJ6" i="1"/>
  <c r="AJ7" i="1"/>
  <c r="AJ8" i="1"/>
  <c r="AJ9" i="1"/>
  <c r="AJ10" i="1"/>
  <c r="AJ11" i="1"/>
  <c r="AH2" i="1"/>
  <c r="AH3" i="1"/>
  <c r="AL3" i="1" s="1"/>
  <c r="AH4" i="1"/>
  <c r="AL4" i="1" s="1"/>
  <c r="AH5" i="1"/>
  <c r="AH6" i="1"/>
  <c r="AH7" i="1"/>
  <c r="AH8" i="1"/>
  <c r="AH9" i="1"/>
  <c r="AH10" i="1"/>
  <c r="AH11" i="1"/>
  <c r="AL11" i="1" s="1"/>
  <c r="AB2" i="1"/>
  <c r="AD2" i="1" s="1"/>
  <c r="X3" i="1"/>
  <c r="X4" i="1"/>
  <c r="X5" i="1"/>
  <c r="X6" i="1"/>
  <c r="X7" i="1"/>
  <c r="X8" i="1"/>
  <c r="X9" i="1"/>
  <c r="X10" i="1"/>
  <c r="X11" i="1"/>
  <c r="X2" i="1"/>
  <c r="M20" i="1"/>
  <c r="M21" i="1"/>
  <c r="M22" i="1"/>
  <c r="M23" i="1"/>
  <c r="M24" i="1"/>
  <c r="M25" i="1"/>
  <c r="M26" i="1"/>
  <c r="M27" i="1"/>
  <c r="M28" i="1"/>
  <c r="M19" i="1"/>
  <c r="AF3" i="1"/>
  <c r="AF4" i="1"/>
  <c r="AF5" i="1"/>
  <c r="AF6" i="1"/>
  <c r="AF7" i="1"/>
  <c r="AF8" i="1"/>
  <c r="AF9" i="1"/>
  <c r="AF10" i="1"/>
  <c r="AF11" i="1"/>
  <c r="AF2" i="1"/>
  <c r="Z2" i="1"/>
  <c r="L19" i="1" s="1"/>
  <c r="Z3" i="1"/>
  <c r="L20" i="1" s="1"/>
  <c r="Z4" i="1"/>
  <c r="L21" i="1" s="1"/>
  <c r="Z5" i="1"/>
  <c r="L22" i="1" s="1"/>
  <c r="Z6" i="1"/>
  <c r="L23" i="1" s="1"/>
  <c r="Z7" i="1"/>
  <c r="Z8" i="1"/>
  <c r="L25" i="1" s="1"/>
  <c r="Z9" i="1"/>
  <c r="L26" i="1" s="1"/>
  <c r="Z10" i="1"/>
  <c r="L27" i="1" s="1"/>
  <c r="Z11" i="1"/>
  <c r="L28" i="1" s="1"/>
  <c r="N11" i="1"/>
  <c r="N10" i="1"/>
  <c r="N9" i="1"/>
  <c r="N8" i="1"/>
  <c r="N7" i="1"/>
  <c r="N6" i="1"/>
  <c r="N5" i="1"/>
  <c r="N4" i="1"/>
  <c r="N3" i="1"/>
  <c r="N2" i="1"/>
  <c r="M11" i="1"/>
  <c r="M10" i="1"/>
  <c r="M9" i="1"/>
  <c r="M8" i="1"/>
  <c r="M7" i="1"/>
  <c r="M6" i="1"/>
  <c r="M5" i="1"/>
  <c r="M4" i="1"/>
  <c r="M3" i="1"/>
  <c r="M2" i="1"/>
  <c r="AK10" i="1" l="1"/>
  <c r="AL2" i="1"/>
  <c r="AK8" i="1"/>
  <c r="AK2" i="1"/>
  <c r="AK4" i="1"/>
  <c r="AK7" i="1"/>
  <c r="AK11" i="1"/>
  <c r="AK3" i="1"/>
  <c r="AL8" i="1"/>
  <c r="AK9" i="1"/>
  <c r="AL5" i="1"/>
  <c r="AL6" i="1"/>
  <c r="AL7" i="1"/>
  <c r="AK6" i="1"/>
  <c r="AL10" i="1"/>
  <c r="AK5" i="1"/>
  <c r="AL9" i="1"/>
  <c r="L24" i="1"/>
  <c r="I3" i="1"/>
  <c r="G20" i="1" s="1"/>
  <c r="I4" i="1"/>
  <c r="G21" i="1" s="1"/>
  <c r="I5" i="1"/>
  <c r="G22" i="1" s="1"/>
  <c r="I6" i="1"/>
  <c r="G23" i="1" s="1"/>
  <c r="I7" i="1"/>
  <c r="E24" i="1" s="1"/>
  <c r="I8" i="1"/>
  <c r="G25" i="1" s="1"/>
  <c r="I9" i="1"/>
  <c r="E26" i="1" s="1"/>
  <c r="I10" i="1"/>
  <c r="E27" i="1" s="1"/>
  <c r="I11" i="1"/>
  <c r="G28" i="1" s="1"/>
  <c r="I2" i="1"/>
  <c r="E19" i="1" s="1"/>
  <c r="E20" i="1" l="1"/>
  <c r="E23" i="1"/>
  <c r="E25" i="1"/>
  <c r="E28" i="1"/>
  <c r="G26" i="1"/>
  <c r="E22" i="1"/>
  <c r="E21" i="1"/>
  <c r="G19" i="1"/>
  <c r="G24" i="1"/>
  <c r="G27" i="1"/>
  <c r="J19" i="1"/>
  <c r="K20" i="1"/>
  <c r="K21" i="1"/>
  <c r="K22" i="1"/>
  <c r="K23" i="1"/>
  <c r="K24" i="1"/>
  <c r="K25" i="1"/>
  <c r="K26" i="1"/>
  <c r="K27" i="1"/>
  <c r="K28" i="1"/>
  <c r="K19" i="1"/>
  <c r="J20" i="1"/>
  <c r="J21" i="1"/>
  <c r="J22" i="1"/>
  <c r="J23" i="1"/>
  <c r="J24" i="1"/>
  <c r="J25" i="1"/>
  <c r="J26" i="1"/>
  <c r="J27" i="1"/>
  <c r="J28" i="1"/>
  <c r="F20" i="1"/>
  <c r="H20" i="1" s="1"/>
  <c r="F21" i="1"/>
  <c r="H21" i="1" s="1"/>
  <c r="F22" i="1"/>
  <c r="F23" i="1"/>
  <c r="H23" i="1" s="1"/>
  <c r="F24" i="1"/>
  <c r="H24" i="1" s="1"/>
  <c r="F25" i="1"/>
  <c r="H25" i="1" s="1"/>
  <c r="F26" i="1"/>
  <c r="H26" i="1" s="1"/>
  <c r="F27" i="1"/>
  <c r="F28" i="1"/>
  <c r="F19" i="1"/>
  <c r="H19" i="1" s="1"/>
  <c r="H22" i="1" l="1"/>
  <c r="H28" i="1"/>
  <c r="H27" i="1"/>
</calcChain>
</file>

<file path=xl/sharedStrings.xml><?xml version="1.0" encoding="utf-8"?>
<sst xmlns="http://schemas.openxmlformats.org/spreadsheetml/2006/main" count="70" uniqueCount="67">
  <si>
    <t>Trie Node Number</t>
  </si>
  <si>
    <t>Dataset</t>
  </si>
  <si>
    <t>BMS1</t>
  </si>
  <si>
    <t>BMS2</t>
  </si>
  <si>
    <t>SIGN</t>
  </si>
  <si>
    <t>MSNB</t>
  </si>
  <si>
    <t>FIFA</t>
  </si>
  <si>
    <t>BIBLE</t>
  </si>
  <si>
    <t>LEVIATHAN</t>
  </si>
  <si>
    <t>NASA_08</t>
  </si>
  <si>
    <t>NASA_07</t>
  </si>
  <si>
    <t>II (RAW) MB</t>
  </si>
  <si>
    <t>LT (RAW) MB</t>
  </si>
  <si>
    <t>SD_Tree MB</t>
  </si>
  <si>
    <t>Trie MB</t>
  </si>
  <si>
    <t>Total CPT MB</t>
  </si>
  <si>
    <t>Kosarak</t>
  </si>
  <si>
    <t>Sequence Number</t>
  </si>
  <si>
    <t>Alphabet Size</t>
  </si>
  <si>
    <t>CDS MB</t>
  </si>
  <si>
    <t>SD/CDS space</t>
  </si>
  <si>
    <t>CPT/CDS space</t>
  </si>
  <si>
    <t>Trie Node Number with Dictionary</t>
  </si>
  <si>
    <t>Trie with Dict MB</t>
  </si>
  <si>
    <t>Dictionary MB</t>
  </si>
  <si>
    <t>CPT+/CDS space</t>
  </si>
  <si>
    <t>II /CDS</t>
  </si>
  <si>
    <t>SD_II / CDS</t>
  </si>
  <si>
    <t>Dataset Length</t>
  </si>
  <si>
    <t>EF::II (on nodeNumber) MB</t>
  </si>
  <si>
    <t>EF::II MB</t>
  </si>
  <si>
    <t>CPT time (s)</t>
  </si>
  <si>
    <t>CPT+ time (s)</t>
  </si>
  <si>
    <t>SD_CPT Time (s) with **</t>
  </si>
  <si>
    <t>SD_CPT Time (s) with *</t>
  </si>
  <si>
    <t>** sdsl::rank_support_v</t>
  </si>
  <si>
    <t>** sdsl::select_support_mcl</t>
  </si>
  <si>
    <t>rank dict. MB**</t>
  </si>
  <si>
    <t>select dict. MB**</t>
  </si>
  <si>
    <t>Trie (pathCollapsed) with Dict MB</t>
  </si>
  <si>
    <t>Trie Node Number + Dict +pathCollapse</t>
  </si>
  <si>
    <t xml:space="preserve">Trie Node Number + Dict </t>
  </si>
  <si>
    <t>Dictionary (pathCollapsed) MB</t>
  </si>
  <si>
    <t>Total CPT+ MB</t>
  </si>
  <si>
    <t>II/CPT+</t>
  </si>
  <si>
    <t>Time is for 1000 queries</t>
  </si>
  <si>
    <t>CPT+ time (ms)</t>
  </si>
  <si>
    <t>CPT time (ms)</t>
  </si>
  <si>
    <t>SD_CPT Time (ms) with **</t>
  </si>
  <si>
    <t>* sdsl::rank_support_scan</t>
  </si>
  <si>
    <t>* sdsl::select_support_scan</t>
  </si>
  <si>
    <t>SD_CPT** / CPT+ Time</t>
  </si>
  <si>
    <t>SD_CPT Time (ms) with *</t>
  </si>
  <si>
    <t>SD_CPT* / CPT+ Time</t>
  </si>
  <si>
    <t>EF::II + LT</t>
  </si>
  <si>
    <t>Total SD_CPT** MB</t>
  </si>
  <si>
    <t>Total SD_CPT HYBRID MB</t>
  </si>
  <si>
    <t>SD_CPT Time (s) HYBRID</t>
  </si>
  <si>
    <t>SD_CPT Time (ms) HYBRID</t>
  </si>
  <si>
    <t>HYBRID is a mix of * and **</t>
  </si>
  <si>
    <t>Total SD_CPT* MB</t>
  </si>
  <si>
    <t>CPT+ Train Time (s)</t>
  </si>
  <si>
    <t>CPT Train Time (s)</t>
  </si>
  <si>
    <t>SD_CPT Train Time (s)</t>
  </si>
  <si>
    <t xml:space="preserve">run again </t>
  </si>
  <si>
    <t xml:space="preserve">run again without reporting the auxiliary structure, since data is not mapped </t>
  </si>
  <si>
    <t>add ii_cardinalities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</si>
</sst>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 applyFont="1"/>
    <xf numFmtId="165" fontId="0" fillId="0" borderId="0" xfId="0" applyNumberFormat="1" applyFont="1"/>
    <xf numFmtId="0" fontId="0" fillId="0" borderId="0" xfId="0" applyFont="1"/>
    <xf numFmtId="2" fontId="0" fillId="0" borderId="0" xfId="0" applyNumberFormat="1"/>
    <xf numFmtId="9" fontId="0" fillId="0" borderId="0" xfId="0" applyNumberFormat="1"/>
    <xf numFmtId="166" fontId="0" fillId="0" borderId="0" xfId="0" applyNumberFormat="1"/>
    <xf numFmtId="166" fontId="0" fillId="0" borderId="0" xfId="0" applyNumberFormat="1" applyFont="1"/>
    <xf numFmtId="11" fontId="0" fillId="0" borderId="0" xfId="0" applyNumberFormat="1"/>
    <xf numFmtId="164" fontId="0" fillId="0" borderId="0" xfId="0" applyNumberFormat="1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4"/>
  <sheetViews>
    <sheetView tabSelected="1" topLeftCell="R1" workbookViewId="0">
      <selection activeCell="U23" sqref="U23"/>
    </sheetView>
  </sheetViews>
  <sheetFormatPr baseColWidth="10" defaultRowHeight="16" x14ac:dyDescent="0.2"/>
  <cols>
    <col min="2" max="4" width="24.1640625" customWidth="1"/>
    <col min="5" max="6" width="27.1640625" customWidth="1"/>
    <col min="7" max="7" width="51.6640625" customWidth="1"/>
    <col min="8" max="8" width="34.6640625" customWidth="1"/>
    <col min="9" max="9" width="17.5" customWidth="1"/>
    <col min="11" max="11" width="20.5" customWidth="1"/>
    <col min="12" max="12" width="29.1640625" customWidth="1"/>
    <col min="13" max="13" width="43.1640625" customWidth="1"/>
    <col min="14" max="14" width="55.83203125" customWidth="1"/>
    <col min="15" max="15" width="31.6640625" customWidth="1"/>
    <col min="16" max="16" width="14.83203125" customWidth="1"/>
    <col min="18" max="19" width="40.1640625" customWidth="1"/>
    <col min="20" max="20" width="35.1640625" customWidth="1"/>
    <col min="21" max="21" width="17.6640625" customWidth="1"/>
    <col min="22" max="22" width="15" customWidth="1"/>
    <col min="23" max="24" width="17.83203125" customWidth="1"/>
    <col min="25" max="25" width="37.6640625" customWidth="1"/>
    <col min="26" max="26" width="17.83203125" customWidth="1"/>
    <col min="27" max="27" width="11.1640625" hidden="1" customWidth="1"/>
    <col min="28" max="28" width="12.83203125" bestFit="1" customWidth="1"/>
    <col min="29" max="29" width="22.33203125" hidden="1" customWidth="1"/>
    <col min="30" max="30" width="13.83203125" bestFit="1" customWidth="1"/>
    <col min="31" max="31" width="21.6640625" hidden="1" customWidth="1"/>
    <col min="32" max="32" width="45.6640625" customWidth="1"/>
    <col min="33" max="33" width="20.5" hidden="1" customWidth="1"/>
    <col min="34" max="34" width="48.5" customWidth="1"/>
    <col min="35" max="35" width="21.6640625" hidden="1" customWidth="1"/>
    <col min="36" max="36" width="48.5" customWidth="1"/>
    <col min="37" max="37" width="23.5" customWidth="1"/>
    <col min="38" max="38" width="33.83203125" customWidth="1"/>
    <col min="40" max="40" width="17.33203125" bestFit="1" customWidth="1"/>
    <col min="41" max="41" width="16.33203125" bestFit="1" customWidth="1"/>
    <col min="42" max="42" width="19.5" bestFit="1" customWidth="1"/>
  </cols>
  <sheetData>
    <row r="1" spans="1:42" x14ac:dyDescent="0.2">
      <c r="A1" s="1" t="s">
        <v>1</v>
      </c>
      <c r="B1" s="2" t="s">
        <v>17</v>
      </c>
      <c r="C1" s="2" t="s">
        <v>28</v>
      </c>
      <c r="D1" s="2" t="s">
        <v>18</v>
      </c>
      <c r="E1" s="1" t="s">
        <v>0</v>
      </c>
      <c r="F1" s="1" t="s">
        <v>41</v>
      </c>
      <c r="G1" s="1" t="s">
        <v>40</v>
      </c>
      <c r="H1" s="1" t="s">
        <v>22</v>
      </c>
      <c r="I1" t="s">
        <v>19</v>
      </c>
      <c r="J1" t="s">
        <v>11</v>
      </c>
      <c r="K1" t="s">
        <v>30</v>
      </c>
      <c r="L1" t="s">
        <v>29</v>
      </c>
      <c r="M1" t="s">
        <v>37</v>
      </c>
      <c r="N1" t="s">
        <v>38</v>
      </c>
      <c r="O1" t="s">
        <v>12</v>
      </c>
      <c r="P1" t="s">
        <v>13</v>
      </c>
      <c r="Q1" t="s">
        <v>14</v>
      </c>
      <c r="R1" t="s">
        <v>23</v>
      </c>
      <c r="S1" t="s">
        <v>39</v>
      </c>
      <c r="T1" t="s">
        <v>42</v>
      </c>
      <c r="U1" t="s">
        <v>24</v>
      </c>
      <c r="V1" t="s">
        <v>15</v>
      </c>
      <c r="W1" t="s">
        <v>55</v>
      </c>
      <c r="X1" t="s">
        <v>60</v>
      </c>
      <c r="Y1" t="s">
        <v>56</v>
      </c>
      <c r="Z1" t="s">
        <v>43</v>
      </c>
      <c r="AA1" t="s">
        <v>31</v>
      </c>
      <c r="AB1" t="s">
        <v>47</v>
      </c>
      <c r="AC1" t="s">
        <v>32</v>
      </c>
      <c r="AD1" t="s">
        <v>46</v>
      </c>
      <c r="AE1" t="s">
        <v>33</v>
      </c>
      <c r="AF1" t="s">
        <v>48</v>
      </c>
      <c r="AG1" t="s">
        <v>34</v>
      </c>
      <c r="AH1" t="s">
        <v>52</v>
      </c>
      <c r="AI1" t="s">
        <v>57</v>
      </c>
      <c r="AJ1" t="s">
        <v>58</v>
      </c>
      <c r="AK1" t="s">
        <v>51</v>
      </c>
      <c r="AL1" t="s">
        <v>53</v>
      </c>
      <c r="AN1" t="s">
        <v>61</v>
      </c>
      <c r="AO1" t="s">
        <v>62</v>
      </c>
      <c r="AP1" t="s">
        <v>63</v>
      </c>
    </row>
    <row r="2" spans="1:42" x14ac:dyDescent="0.2">
      <c r="A2" s="1" t="s">
        <v>2</v>
      </c>
      <c r="B2" s="6">
        <v>59601</v>
      </c>
      <c r="C2" s="6">
        <v>149638</v>
      </c>
      <c r="D2" s="6">
        <v>497</v>
      </c>
      <c r="E2" s="6">
        <v>59088</v>
      </c>
      <c r="F2" s="6">
        <v>33464</v>
      </c>
      <c r="G2" s="6">
        <v>19671</v>
      </c>
      <c r="H2" s="6">
        <v>33464</v>
      </c>
      <c r="I2" s="4">
        <f>CEILING(LOG(D2+1,2),1)*(C2+B2)*0.00000013</f>
        <v>0.24480963</v>
      </c>
      <c r="J2" s="5">
        <v>3.7136</v>
      </c>
      <c r="K2" s="5">
        <v>0.16261</v>
      </c>
      <c r="L2" s="5">
        <v>0.16256000000000001</v>
      </c>
      <c r="M2" s="5">
        <f>0.18184-L2</f>
        <v>1.9279999999999992E-2</v>
      </c>
      <c r="N2" s="5">
        <f>0.21355-L2</f>
        <v>5.098999999999998E-2</v>
      </c>
      <c r="O2" s="5">
        <v>0.47681600000000002</v>
      </c>
      <c r="P2" s="5">
        <v>9.4036599999999998E-2</v>
      </c>
      <c r="Q2" s="5">
        <v>2.3635199999999998</v>
      </c>
      <c r="R2" s="5">
        <v>1.33856</v>
      </c>
      <c r="S2" s="5">
        <v>0.78683999999999998</v>
      </c>
      <c r="T2" s="5">
        <v>0.96299999999999997</v>
      </c>
      <c r="U2" s="5">
        <v>0.54470600000000002</v>
      </c>
      <c r="V2" s="5">
        <v>6.5539399999999999</v>
      </c>
      <c r="W2" s="3">
        <v>0.32686599999999999</v>
      </c>
      <c r="X2" s="3">
        <f>P2+L2</f>
        <v>0.25659660000000001</v>
      </c>
      <c r="Y2" s="3">
        <v>0.26355899999999999</v>
      </c>
      <c r="Z2" s="12">
        <f t="shared" ref="Z2:Z10" si="0">T2+O2+S2+J2</f>
        <v>5.9402559999999998</v>
      </c>
      <c r="AA2" s="14">
        <v>0.213283</v>
      </c>
      <c r="AB2" s="7">
        <f t="shared" ref="AB2:AB11" si="1">1000*AA2</f>
        <v>213.28299999999999</v>
      </c>
      <c r="AC2">
        <v>0.21671599999999999</v>
      </c>
      <c r="AD2" s="7">
        <f>1000*AC2</f>
        <v>216.71599999999998</v>
      </c>
      <c r="AE2" s="5">
        <v>0.21761</v>
      </c>
      <c r="AF2" s="7">
        <f>1000*AE2</f>
        <v>217.60999999999999</v>
      </c>
      <c r="AG2" s="5">
        <v>0.27395999999999998</v>
      </c>
      <c r="AH2" s="7">
        <f t="shared" ref="AH2:AH11" si="2">1000*AG2</f>
        <v>273.95999999999998</v>
      </c>
      <c r="AI2" s="5">
        <v>0.21867</v>
      </c>
      <c r="AJ2" s="7">
        <f>1000*AI2</f>
        <v>218.67000000000002</v>
      </c>
      <c r="AK2" s="5">
        <f t="shared" ref="AK2:AK11" si="3">AF2/AD2</f>
        <v>1.0041252145665296</v>
      </c>
      <c r="AL2" s="12">
        <f t="shared" ref="AL2:AL11" si="4">AH2/AD2</f>
        <v>1.2641429336089629</v>
      </c>
      <c r="AN2" s="3">
        <v>4.0334599999999998</v>
      </c>
      <c r="AO2" s="3">
        <v>0.14577200000000001</v>
      </c>
      <c r="AP2" s="3">
        <v>0.17785500000000001</v>
      </c>
    </row>
    <row r="3" spans="1:42" x14ac:dyDescent="0.2">
      <c r="A3" s="1" t="s">
        <v>3</v>
      </c>
      <c r="B3" s="6">
        <v>77511</v>
      </c>
      <c r="C3" s="6">
        <v>358278</v>
      </c>
      <c r="D3" s="6">
        <v>3340</v>
      </c>
      <c r="E3" s="6">
        <v>231942</v>
      </c>
      <c r="F3" s="6">
        <v>134957</v>
      </c>
      <c r="G3" s="6">
        <v>52598</v>
      </c>
      <c r="H3" s="6">
        <v>134957</v>
      </c>
      <c r="I3" s="4">
        <f t="shared" ref="I3:I11" si="5">CEILING(LOG(D3+1,2),1)*(C3+B3)*0.00000013</f>
        <v>0.67983084000000005</v>
      </c>
      <c r="J3" s="5">
        <v>32.438099999999999</v>
      </c>
      <c r="K3" s="5">
        <v>0.51053999999999999</v>
      </c>
      <c r="L3" s="5">
        <v>0.58145999999999998</v>
      </c>
      <c r="M3" s="5">
        <f>0.66967-L3</f>
        <v>8.8210000000000011E-2</v>
      </c>
      <c r="N3" s="5">
        <f>0.89558-L3</f>
        <v>0.31412000000000007</v>
      </c>
      <c r="O3" s="5">
        <v>0.62010399999999999</v>
      </c>
      <c r="P3" s="5">
        <v>0.44035999999999997</v>
      </c>
      <c r="Q3" s="5">
        <v>9.2776800000000001</v>
      </c>
      <c r="R3" s="5">
        <v>5.3982799999999997</v>
      </c>
      <c r="S3" s="5">
        <v>2.10392</v>
      </c>
      <c r="T3" s="5">
        <v>3.601</v>
      </c>
      <c r="U3" s="5">
        <v>1.7113499999999999</v>
      </c>
      <c r="V3" s="5">
        <v>42.335900000000002</v>
      </c>
      <c r="W3" s="3">
        <v>1.42415</v>
      </c>
      <c r="X3" s="3">
        <f t="shared" ref="X3:X11" si="6">P3+L3</f>
        <v>1.02182</v>
      </c>
      <c r="Y3" s="3">
        <v>1.03057</v>
      </c>
      <c r="Z3" s="12">
        <f t="shared" si="0"/>
        <v>38.763123999999998</v>
      </c>
      <c r="AA3" s="14">
        <v>0.244252</v>
      </c>
      <c r="AB3" s="7">
        <f t="shared" si="1"/>
        <v>244.25200000000001</v>
      </c>
      <c r="AC3" s="12">
        <v>0.24426</v>
      </c>
      <c r="AD3" s="7">
        <f t="shared" ref="AD3:AD11" si="7">1000*AC3</f>
        <v>244.26</v>
      </c>
      <c r="AE3" s="5">
        <v>0.17918999999999999</v>
      </c>
      <c r="AF3" s="7">
        <f t="shared" ref="AF3:AF11" si="8">1000*AE3</f>
        <v>179.19</v>
      </c>
      <c r="AG3" s="5">
        <v>0.26718999999999998</v>
      </c>
      <c r="AH3" s="7">
        <f t="shared" si="2"/>
        <v>267.19</v>
      </c>
      <c r="AI3" s="5">
        <v>0.18373</v>
      </c>
      <c r="AJ3" s="7">
        <f t="shared" ref="AJ3:AJ11" si="9">1000*AI3</f>
        <v>183.73000000000002</v>
      </c>
      <c r="AK3" s="5">
        <f t="shared" si="3"/>
        <v>0.7336035372144436</v>
      </c>
      <c r="AL3" s="12">
        <f t="shared" si="4"/>
        <v>1.0938753786948334</v>
      </c>
      <c r="AN3" s="3">
        <v>18.540900000000001</v>
      </c>
      <c r="AO3" s="3">
        <v>0.53732999999999997</v>
      </c>
      <c r="AP3" s="3">
        <v>0.80908999999999998</v>
      </c>
    </row>
    <row r="4" spans="1:42" x14ac:dyDescent="0.2">
      <c r="A4" s="1" t="s">
        <v>16</v>
      </c>
      <c r="B4" s="6">
        <v>69999</v>
      </c>
      <c r="C4" s="6">
        <v>558373</v>
      </c>
      <c r="D4" s="6">
        <v>21144</v>
      </c>
      <c r="E4" s="6">
        <v>460435</v>
      </c>
      <c r="F4" s="6">
        <v>227473</v>
      </c>
      <c r="G4" s="6">
        <v>53171</v>
      </c>
      <c r="H4" s="6">
        <v>240517</v>
      </c>
      <c r="I4" s="4">
        <f t="shared" si="5"/>
        <v>1.2253254</v>
      </c>
      <c r="J4" s="5">
        <v>185.399</v>
      </c>
      <c r="K4" s="5">
        <v>1.19672</v>
      </c>
      <c r="L4" s="5">
        <v>1.3414900000000001</v>
      </c>
      <c r="M4" s="5">
        <f>1.8452-L4</f>
        <v>0.50370999999999988</v>
      </c>
      <c r="N4" s="5">
        <f>2.71807-L4</f>
        <v>1.3765799999999999</v>
      </c>
      <c r="O4" s="5">
        <v>0.56000000000000005</v>
      </c>
      <c r="P4" s="5">
        <v>1.1467700000000001</v>
      </c>
      <c r="Q4" s="5">
        <v>18.417400000000001</v>
      </c>
      <c r="R4" s="5">
        <v>9.0989199999999997</v>
      </c>
      <c r="S4" s="5">
        <v>2.1268400000000001</v>
      </c>
      <c r="T4" s="5">
        <v>6.7039999999999997</v>
      </c>
      <c r="U4" s="10">
        <v>3.70669</v>
      </c>
      <c r="V4" s="5">
        <v>204.37700000000001</v>
      </c>
      <c r="W4" s="3">
        <v>4.4428200000000002</v>
      </c>
      <c r="X4" s="3">
        <f t="shared" si="6"/>
        <v>2.4882600000000004</v>
      </c>
      <c r="Y4" s="3">
        <v>2.4087399999999999</v>
      </c>
      <c r="Z4" s="12">
        <f t="shared" si="0"/>
        <v>194.78984</v>
      </c>
      <c r="AA4" s="14">
        <v>0.46522000000000002</v>
      </c>
      <c r="AB4" s="7">
        <f t="shared" si="1"/>
        <v>465.22</v>
      </c>
      <c r="AC4" s="12">
        <v>0.47705599999999998</v>
      </c>
      <c r="AD4" s="7">
        <f t="shared" si="7"/>
        <v>477.05599999999998</v>
      </c>
      <c r="AE4" s="5">
        <v>0.52105000000000001</v>
      </c>
      <c r="AF4" s="7">
        <f t="shared" si="8"/>
        <v>521.05000000000007</v>
      </c>
      <c r="AG4" s="5">
        <v>1.4073599999999999</v>
      </c>
      <c r="AH4" s="7">
        <f t="shared" si="2"/>
        <v>1407.36</v>
      </c>
      <c r="AI4" s="5">
        <v>0.53049999999999997</v>
      </c>
      <c r="AJ4" s="7">
        <f t="shared" si="9"/>
        <v>530.5</v>
      </c>
      <c r="AK4" s="5">
        <f t="shared" si="3"/>
        <v>1.092219781325463</v>
      </c>
      <c r="AL4" s="12">
        <f t="shared" si="4"/>
        <v>2.950093909310437</v>
      </c>
      <c r="AN4" s="3">
        <v>30.8811</v>
      </c>
      <c r="AO4" s="3">
        <v>1.1552100000000001</v>
      </c>
      <c r="AP4" s="3">
        <v>3.0717300000000001</v>
      </c>
    </row>
    <row r="5" spans="1:42" x14ac:dyDescent="0.2">
      <c r="A5" s="1" t="s">
        <v>4</v>
      </c>
      <c r="B5" s="6">
        <v>730</v>
      </c>
      <c r="C5" s="6">
        <v>37958</v>
      </c>
      <c r="D5" s="6">
        <v>267</v>
      </c>
      <c r="E5" s="6">
        <v>36839</v>
      </c>
      <c r="F5" s="6">
        <v>18872</v>
      </c>
      <c r="G5" s="6">
        <v>895</v>
      </c>
      <c r="H5" s="6">
        <v>18872</v>
      </c>
      <c r="I5" s="4">
        <f t="shared" si="5"/>
        <v>4.526496E-2</v>
      </c>
      <c r="J5" s="5">
        <v>2.9919999999999999E-2</v>
      </c>
      <c r="K5" s="5">
        <v>2.205E-2</v>
      </c>
      <c r="L5" s="5">
        <v>4.6969999999999998E-2</v>
      </c>
      <c r="M5" s="5">
        <f>0.05502-L5</f>
        <v>8.0500000000000016E-3</v>
      </c>
      <c r="N5" s="5">
        <f>0.07157-L5</f>
        <v>2.4599999999999997E-2</v>
      </c>
      <c r="O5" s="5">
        <v>5.8479999999999999E-3</v>
      </c>
      <c r="P5" s="5">
        <v>5.2380700000000002E-2</v>
      </c>
      <c r="Q5" s="5">
        <v>1.47356</v>
      </c>
      <c r="R5" s="5">
        <v>0.75488</v>
      </c>
      <c r="S5" s="5">
        <v>3.5799999999999998E-2</v>
      </c>
      <c r="T5" s="5">
        <v>0.58299999999999996</v>
      </c>
      <c r="U5" s="5">
        <v>0.28207500000000002</v>
      </c>
      <c r="V5" s="5">
        <v>1.5093300000000001</v>
      </c>
      <c r="W5" s="3">
        <v>0.13200200000000001</v>
      </c>
      <c r="X5" s="3">
        <f t="shared" si="6"/>
        <v>9.93507E-2</v>
      </c>
      <c r="Y5" s="3">
        <v>9.9746000000000001E-2</v>
      </c>
      <c r="Z5" s="12">
        <f t="shared" si="0"/>
        <v>0.65456799999999982</v>
      </c>
      <c r="AA5" s="14">
        <v>0.16161800000000001</v>
      </c>
      <c r="AB5" s="7">
        <f t="shared" si="1"/>
        <v>161.61800000000002</v>
      </c>
      <c r="AC5" s="12">
        <v>0.20355400000000001</v>
      </c>
      <c r="AD5" s="7">
        <f t="shared" si="7"/>
        <v>203.554</v>
      </c>
      <c r="AE5" s="5">
        <v>0.31065999999999999</v>
      </c>
      <c r="AF5" s="7">
        <f t="shared" si="8"/>
        <v>310.65999999999997</v>
      </c>
      <c r="AG5" s="5">
        <v>0.32585999999999998</v>
      </c>
      <c r="AH5" s="7">
        <f t="shared" si="2"/>
        <v>325.85999999999996</v>
      </c>
      <c r="AI5" s="5">
        <v>0.31697999999999998</v>
      </c>
      <c r="AJ5" s="7">
        <f t="shared" si="9"/>
        <v>316.97999999999996</v>
      </c>
      <c r="AK5" s="5">
        <f t="shared" si="3"/>
        <v>1.5261797852166992</v>
      </c>
      <c r="AL5" s="12">
        <f t="shared" si="4"/>
        <v>1.6008528449453214</v>
      </c>
      <c r="AN5" s="3">
        <v>0.77232000000000001</v>
      </c>
      <c r="AO5" s="3">
        <v>1.338E-2</v>
      </c>
      <c r="AP5" s="3">
        <v>2.5908E-2</v>
      </c>
    </row>
    <row r="6" spans="1:42" x14ac:dyDescent="0.2">
      <c r="A6" s="1" t="s">
        <v>7</v>
      </c>
      <c r="B6" s="6">
        <v>36369</v>
      </c>
      <c r="C6" s="6">
        <v>787066</v>
      </c>
      <c r="D6" s="6">
        <v>13905</v>
      </c>
      <c r="E6" s="6">
        <v>659811</v>
      </c>
      <c r="F6" s="6">
        <v>283527</v>
      </c>
      <c r="G6" s="6">
        <v>44208</v>
      </c>
      <c r="H6" s="9">
        <v>283527</v>
      </c>
      <c r="I6" s="4">
        <f t="shared" si="5"/>
        <v>1.4986516999999999</v>
      </c>
      <c r="J6" s="5">
        <v>63.522599999999997</v>
      </c>
      <c r="K6" s="5">
        <v>0.91413999999999995</v>
      </c>
      <c r="L6" s="5">
        <v>1.2390099999999999</v>
      </c>
      <c r="M6" s="5">
        <f>1.59382-L6</f>
        <v>0.35481000000000007</v>
      </c>
      <c r="N6" s="5">
        <f>2.15563-L6</f>
        <v>0.91661999999999999</v>
      </c>
      <c r="O6" s="5">
        <v>0.29096</v>
      </c>
      <c r="P6" s="5">
        <v>1.4735100000000001</v>
      </c>
      <c r="Q6" s="5">
        <v>26.392399999999999</v>
      </c>
      <c r="R6" s="5">
        <v>11.341100000000001</v>
      </c>
      <c r="S6" s="5">
        <v>1.7683199999999999</v>
      </c>
      <c r="T6" s="5">
        <v>12.38</v>
      </c>
      <c r="U6" s="5">
        <v>6.8092499999999996</v>
      </c>
      <c r="V6" s="5">
        <v>90.206000000000003</v>
      </c>
      <c r="W6" s="3">
        <v>3.9839600000000002</v>
      </c>
      <c r="X6" s="3">
        <f t="shared" si="6"/>
        <v>2.71252</v>
      </c>
      <c r="Y6" s="3">
        <v>2.7448199999999998</v>
      </c>
      <c r="Z6" s="12">
        <f t="shared" si="0"/>
        <v>77.961879999999994</v>
      </c>
      <c r="AA6" s="14">
        <v>0.271787</v>
      </c>
      <c r="AB6" s="7">
        <f t="shared" si="1"/>
        <v>271.78699999999998</v>
      </c>
      <c r="AC6" s="12">
        <v>0.34389399999999998</v>
      </c>
      <c r="AD6" s="7">
        <f t="shared" si="7"/>
        <v>343.89400000000001</v>
      </c>
      <c r="AE6" s="5">
        <v>0.41846</v>
      </c>
      <c r="AF6" s="7">
        <f t="shared" si="8"/>
        <v>418.46</v>
      </c>
      <c r="AG6" s="5">
        <v>2.1104400000000001</v>
      </c>
      <c r="AH6" s="7">
        <f t="shared" si="2"/>
        <v>2110.44</v>
      </c>
      <c r="AI6" s="5">
        <v>0.40916000000000002</v>
      </c>
      <c r="AJ6" s="7">
        <f t="shared" si="9"/>
        <v>409.16</v>
      </c>
      <c r="AK6" s="5">
        <f t="shared" si="3"/>
        <v>1.2168284413220352</v>
      </c>
      <c r="AL6" s="12">
        <f t="shared" si="4"/>
        <v>6.1368910187441479</v>
      </c>
      <c r="AN6" s="3">
        <v>21.082799999999999</v>
      </c>
      <c r="AO6" s="3">
        <v>1.2007000000000001</v>
      </c>
      <c r="AP6" s="3">
        <v>3.2590499999999998</v>
      </c>
    </row>
    <row r="7" spans="1:42" x14ac:dyDescent="0.2">
      <c r="A7" s="1" t="s">
        <v>8</v>
      </c>
      <c r="B7" s="6">
        <v>5834</v>
      </c>
      <c r="C7" s="6">
        <v>197251</v>
      </c>
      <c r="D7" s="6">
        <v>9025</v>
      </c>
      <c r="E7" s="7">
        <v>183206</v>
      </c>
      <c r="F7" s="7">
        <v>94388</v>
      </c>
      <c r="G7" s="7">
        <v>7016</v>
      </c>
      <c r="H7" s="7">
        <v>94388</v>
      </c>
      <c r="I7" s="4">
        <f t="shared" si="5"/>
        <v>0.36961470000000002</v>
      </c>
      <c r="J7" s="5">
        <v>6.7868199999999996</v>
      </c>
      <c r="K7" s="5">
        <v>0.37228</v>
      </c>
      <c r="L7" s="5">
        <v>0.46009</v>
      </c>
      <c r="M7" s="5">
        <f>0.67252-L7</f>
        <v>0.21243000000000001</v>
      </c>
      <c r="N7" s="5">
        <f>1.01119-L7</f>
        <v>0.55110000000000003</v>
      </c>
      <c r="O7" s="5">
        <v>4.6679999999999999E-2</v>
      </c>
      <c r="P7" s="5">
        <v>0.430813</v>
      </c>
      <c r="Q7" s="5">
        <v>7.3282400000000001</v>
      </c>
      <c r="R7" s="5">
        <v>3.7755200000000002</v>
      </c>
      <c r="S7" s="5">
        <v>0.28064</v>
      </c>
      <c r="T7" s="5">
        <v>2.9849999999999999</v>
      </c>
      <c r="U7" s="5">
        <v>1.4720800000000001</v>
      </c>
      <c r="V7" s="5">
        <v>14.1617</v>
      </c>
      <c r="W7" s="3">
        <v>1.65442</v>
      </c>
      <c r="X7" s="3">
        <f t="shared" si="6"/>
        <v>0.890903</v>
      </c>
      <c r="Y7" s="3">
        <v>0.89632199999999995</v>
      </c>
      <c r="Z7" s="12">
        <f t="shared" si="0"/>
        <v>10.099139999999998</v>
      </c>
      <c r="AA7" s="14">
        <v>8.5619000000000001E-2</v>
      </c>
      <c r="AB7" s="7">
        <f t="shared" si="1"/>
        <v>85.619</v>
      </c>
      <c r="AC7" s="12">
        <v>0.100912</v>
      </c>
      <c r="AD7" s="7">
        <f t="shared" si="7"/>
        <v>100.91200000000001</v>
      </c>
      <c r="AE7" s="5">
        <v>0.12305000000000001</v>
      </c>
      <c r="AF7" s="7">
        <f t="shared" si="8"/>
        <v>123.05000000000001</v>
      </c>
      <c r="AG7" s="5">
        <v>0.13725000000000001</v>
      </c>
      <c r="AH7" s="7">
        <f t="shared" si="2"/>
        <v>137.25</v>
      </c>
      <c r="AI7" s="5">
        <v>0.12254</v>
      </c>
      <c r="AJ7" s="7">
        <f t="shared" si="9"/>
        <v>122.53999999999999</v>
      </c>
      <c r="AK7" s="5">
        <f t="shared" si="3"/>
        <v>1.2193792611384178</v>
      </c>
      <c r="AL7" s="12">
        <f t="shared" si="4"/>
        <v>1.3600959251625178</v>
      </c>
      <c r="AN7" s="3">
        <v>3.9022399999999999</v>
      </c>
      <c r="AO7" s="3">
        <v>0.128326</v>
      </c>
      <c r="AP7" s="3">
        <v>0.56225599999999998</v>
      </c>
    </row>
    <row r="8" spans="1:42" s="11" customFormat="1" x14ac:dyDescent="0.2">
      <c r="A8" s="2" t="s">
        <v>5</v>
      </c>
      <c r="B8" s="8">
        <v>31790</v>
      </c>
      <c r="C8" s="8">
        <v>423776</v>
      </c>
      <c r="D8" s="8">
        <v>17</v>
      </c>
      <c r="E8" s="9">
        <v>236799</v>
      </c>
      <c r="F8" s="9">
        <v>85184</v>
      </c>
      <c r="G8" s="9">
        <v>35465</v>
      </c>
      <c r="H8" s="9">
        <v>85184</v>
      </c>
      <c r="I8" s="4">
        <f t="shared" si="5"/>
        <v>0.29611789999999999</v>
      </c>
      <c r="J8" s="10">
        <v>6.7879999999999996E-2</v>
      </c>
      <c r="K8" s="10">
        <v>6.8650000000000003E-2</v>
      </c>
      <c r="L8" s="5">
        <v>0.12561</v>
      </c>
      <c r="M8" s="10">
        <f>0.13825-L8</f>
        <v>1.2640000000000012E-2</v>
      </c>
      <c r="N8" s="10">
        <f>0.13332-L8</f>
        <v>7.7099999999999946E-3</v>
      </c>
      <c r="O8" s="10">
        <v>0.254328</v>
      </c>
      <c r="P8" s="5">
        <v>0.19563</v>
      </c>
      <c r="Q8" s="10">
        <v>9.4719599999999993</v>
      </c>
      <c r="R8" s="10">
        <v>3.4073600000000002</v>
      </c>
      <c r="S8" s="10">
        <v>1.4186000000000001</v>
      </c>
      <c r="T8" s="10">
        <v>2.867</v>
      </c>
      <c r="U8" s="5">
        <v>0.769123</v>
      </c>
      <c r="V8" s="10">
        <v>9.7941699999999994</v>
      </c>
      <c r="W8" s="3">
        <v>0.34159299999999998</v>
      </c>
      <c r="X8" s="3">
        <f t="shared" si="6"/>
        <v>0.32123999999999997</v>
      </c>
      <c r="Y8" s="3">
        <v>0.33217600000000003</v>
      </c>
      <c r="Z8" s="12">
        <f t="shared" si="0"/>
        <v>4.6078079999999995</v>
      </c>
      <c r="AA8" s="15">
        <v>6.5943500000000004</v>
      </c>
      <c r="AB8" s="7">
        <f t="shared" si="1"/>
        <v>6594.35</v>
      </c>
      <c r="AC8" s="12">
        <v>11.638400000000001</v>
      </c>
      <c r="AD8" s="7">
        <f t="shared" si="7"/>
        <v>11638.400000000001</v>
      </c>
      <c r="AE8" s="10">
        <v>11.8131</v>
      </c>
      <c r="AF8" s="7">
        <f t="shared" si="8"/>
        <v>11813.1</v>
      </c>
      <c r="AG8" s="10">
        <v>47.792200000000001</v>
      </c>
      <c r="AH8" s="7">
        <f t="shared" si="2"/>
        <v>47792.200000000004</v>
      </c>
      <c r="AI8" s="5">
        <v>11.2453</v>
      </c>
      <c r="AJ8" s="7">
        <f t="shared" si="9"/>
        <v>11245.300000000001</v>
      </c>
      <c r="AK8" s="5">
        <f t="shared" si="3"/>
        <v>1.0150106543854824</v>
      </c>
      <c r="AL8" s="12">
        <f t="shared" si="4"/>
        <v>4.106423563376409</v>
      </c>
      <c r="AN8" s="17">
        <v>6.31088</v>
      </c>
      <c r="AO8" s="17">
        <v>1.07114</v>
      </c>
      <c r="AP8" s="17">
        <v>1.1564300000000001</v>
      </c>
    </row>
    <row r="9" spans="1:42" x14ac:dyDescent="0.2">
      <c r="A9" s="1" t="s">
        <v>6</v>
      </c>
      <c r="B9" s="6">
        <v>20450</v>
      </c>
      <c r="C9" s="6">
        <v>741092</v>
      </c>
      <c r="D9" s="6">
        <v>2990</v>
      </c>
      <c r="E9" s="7">
        <v>675229</v>
      </c>
      <c r="F9" s="7">
        <v>253903</v>
      </c>
      <c r="G9" s="7">
        <v>23314</v>
      </c>
      <c r="H9">
        <v>253903</v>
      </c>
      <c r="I9" s="4">
        <f t="shared" si="5"/>
        <v>1.1880055199999999</v>
      </c>
      <c r="J9" s="5">
        <v>7.7022599999999999</v>
      </c>
      <c r="K9" s="5">
        <v>0.52495000000000003</v>
      </c>
      <c r="L9" s="5">
        <v>0.95254000000000005</v>
      </c>
      <c r="M9" s="5">
        <f>1.0663-L9</f>
        <v>0.11375999999999997</v>
      </c>
      <c r="N9" s="5">
        <f>1.20981-L9</f>
        <v>0.25727</v>
      </c>
      <c r="O9" s="5">
        <v>0.163608</v>
      </c>
      <c r="P9" s="5">
        <v>1.1728000000000001</v>
      </c>
      <c r="Q9" s="5">
        <v>27.0092</v>
      </c>
      <c r="R9" s="5">
        <v>10.1561</v>
      </c>
      <c r="S9" s="5">
        <v>0.93255999999999994</v>
      </c>
      <c r="T9" s="5">
        <v>11.43</v>
      </c>
      <c r="U9" s="5">
        <v>5.7599499999999999</v>
      </c>
      <c r="V9" s="5">
        <v>34.875</v>
      </c>
      <c r="W9" s="3">
        <v>2.4963600000000001</v>
      </c>
      <c r="X9" s="3">
        <f t="shared" si="6"/>
        <v>2.12534</v>
      </c>
      <c r="Y9" s="3">
        <v>2.1714000000000002</v>
      </c>
      <c r="Z9" s="12">
        <f t="shared" si="0"/>
        <v>20.228428000000001</v>
      </c>
      <c r="AA9" s="14">
        <v>10.074</v>
      </c>
      <c r="AB9" s="7">
        <f t="shared" si="1"/>
        <v>10074</v>
      </c>
      <c r="AC9" s="12">
        <v>13.6942</v>
      </c>
      <c r="AD9" s="7">
        <f t="shared" si="7"/>
        <v>13694.2</v>
      </c>
      <c r="AE9" s="5">
        <v>17.8782</v>
      </c>
      <c r="AF9" s="7">
        <f t="shared" si="8"/>
        <v>17878.2</v>
      </c>
      <c r="AG9" s="5">
        <v>24.385200000000001</v>
      </c>
      <c r="AH9" s="7">
        <f t="shared" si="2"/>
        <v>24385.200000000001</v>
      </c>
      <c r="AI9" s="5">
        <v>17.973400000000002</v>
      </c>
      <c r="AJ9" s="7">
        <f t="shared" si="9"/>
        <v>17973.400000000001</v>
      </c>
      <c r="AK9" s="5">
        <f t="shared" si="3"/>
        <v>1.3055308086635218</v>
      </c>
      <c r="AL9" s="12">
        <f t="shared" si="4"/>
        <v>1.780695476917235</v>
      </c>
      <c r="AN9" s="3">
        <v>17.220300000000002</v>
      </c>
      <c r="AO9" s="3">
        <v>0.74445099999999997</v>
      </c>
      <c r="AP9" s="3">
        <v>1.3640399999999999</v>
      </c>
    </row>
    <row r="10" spans="1:42" s="11" customFormat="1" x14ac:dyDescent="0.2">
      <c r="A10" s="2" t="s">
        <v>9</v>
      </c>
      <c r="B10" s="8">
        <v>70729</v>
      </c>
      <c r="C10" s="8">
        <v>419621</v>
      </c>
      <c r="D10" s="8">
        <v>4018</v>
      </c>
      <c r="E10" s="9">
        <v>210891</v>
      </c>
      <c r="F10" s="9">
        <v>102044</v>
      </c>
      <c r="G10" s="9">
        <v>43999</v>
      </c>
      <c r="H10">
        <v>102044</v>
      </c>
      <c r="I10" s="4">
        <f t="shared" si="5"/>
        <v>0.76494600000000001</v>
      </c>
      <c r="J10" s="10">
        <v>35.615600000000001</v>
      </c>
      <c r="K10" s="10">
        <v>0.42069000000000001</v>
      </c>
      <c r="L10" s="5">
        <v>0.48945</v>
      </c>
      <c r="M10" s="10">
        <f>0.6043-L10</f>
        <v>0.11484999999999995</v>
      </c>
      <c r="N10" s="10">
        <f>0.7534-L10</f>
        <v>0.26394999999999996</v>
      </c>
      <c r="O10" s="10">
        <v>0.56584800000000002</v>
      </c>
      <c r="P10" s="5">
        <v>0.412607</v>
      </c>
      <c r="Q10" s="10">
        <v>8.4356399999999994</v>
      </c>
      <c r="R10" s="10">
        <v>4.0817600000000001</v>
      </c>
      <c r="S10" s="10">
        <v>1.75996</v>
      </c>
      <c r="T10" s="10">
        <v>3.617</v>
      </c>
      <c r="U10" s="5">
        <v>1.9416800000000001</v>
      </c>
      <c r="V10" s="10">
        <v>44.617100000000001</v>
      </c>
      <c r="W10" s="3">
        <v>1.28087</v>
      </c>
      <c r="X10" s="3">
        <f t="shared" si="6"/>
        <v>0.902057</v>
      </c>
      <c r="Y10" s="3">
        <v>0.92410400000000004</v>
      </c>
      <c r="Z10" s="12">
        <f t="shared" si="0"/>
        <v>41.558408</v>
      </c>
      <c r="AA10" s="15">
        <v>0.62742600000000004</v>
      </c>
      <c r="AB10" s="7">
        <f t="shared" si="1"/>
        <v>627.42600000000004</v>
      </c>
      <c r="AC10" s="12">
        <v>0.98205900000000002</v>
      </c>
      <c r="AD10" s="7">
        <f t="shared" si="7"/>
        <v>982.05899999999997</v>
      </c>
      <c r="AE10" s="10">
        <v>1.0914999999999999</v>
      </c>
      <c r="AF10" s="7">
        <f t="shared" si="8"/>
        <v>1091.5</v>
      </c>
      <c r="AG10" s="10">
        <v>3.4292199999999999</v>
      </c>
      <c r="AH10" s="7">
        <f t="shared" si="2"/>
        <v>3429.22</v>
      </c>
      <c r="AI10" s="5">
        <v>1.0933900000000001</v>
      </c>
      <c r="AJ10" s="7">
        <f t="shared" si="9"/>
        <v>1093.3900000000001</v>
      </c>
      <c r="AK10" s="5">
        <f t="shared" si="3"/>
        <v>1.111440351343453</v>
      </c>
      <c r="AL10" s="12">
        <f t="shared" si="4"/>
        <v>3.4918675965496981</v>
      </c>
      <c r="AN10" s="17">
        <v>13.514900000000001</v>
      </c>
      <c r="AO10" s="17">
        <v>0.59297100000000003</v>
      </c>
      <c r="AP10" s="17">
        <v>0.83881300000000003</v>
      </c>
    </row>
    <row r="11" spans="1:42" s="11" customFormat="1" x14ac:dyDescent="0.2">
      <c r="A11" s="11" t="s">
        <v>10</v>
      </c>
      <c r="B11" s="8">
        <v>87748</v>
      </c>
      <c r="C11" s="8">
        <v>569493</v>
      </c>
      <c r="D11" s="8">
        <v>4719</v>
      </c>
      <c r="E11" s="9">
        <v>306281</v>
      </c>
      <c r="F11" s="9">
        <v>139398</v>
      </c>
      <c r="G11" s="9">
        <v>55625</v>
      </c>
      <c r="H11">
        <v>139398</v>
      </c>
      <c r="I11" s="4">
        <f t="shared" si="5"/>
        <v>1.1107372900000001</v>
      </c>
      <c r="J11" s="10">
        <v>51.860300000000002</v>
      </c>
      <c r="K11" s="10">
        <v>0.53468000000000004</v>
      </c>
      <c r="L11" s="5">
        <v>0.63880000000000003</v>
      </c>
      <c r="M11" s="10">
        <f>0.77918-L11</f>
        <v>0.14037999999999995</v>
      </c>
      <c r="N11" s="10">
        <f>0.94281-L11</f>
        <v>0.30401</v>
      </c>
      <c r="O11" s="10">
        <v>0.70199999999999996</v>
      </c>
      <c r="P11" s="5">
        <v>0.60755199999999998</v>
      </c>
      <c r="Q11" s="10">
        <v>12.251200000000001</v>
      </c>
      <c r="R11" s="10">
        <v>5.57592</v>
      </c>
      <c r="S11" s="10">
        <v>2.2250000000000001</v>
      </c>
      <c r="T11" s="10">
        <v>5.15</v>
      </c>
      <c r="U11" s="5">
        <v>2.6741999999999999</v>
      </c>
      <c r="V11" s="10">
        <v>64.813500000000005</v>
      </c>
      <c r="W11" s="3">
        <v>1.69075</v>
      </c>
      <c r="X11" s="3">
        <f t="shared" si="6"/>
        <v>1.2463519999999999</v>
      </c>
      <c r="Y11" s="3">
        <v>1.2761400000000001</v>
      </c>
      <c r="Z11" s="12">
        <f>T11+O11+S11+J11</f>
        <v>59.9373</v>
      </c>
      <c r="AA11" s="15">
        <v>0.83109500000000003</v>
      </c>
      <c r="AB11" s="7">
        <f t="shared" si="1"/>
        <v>831.09500000000003</v>
      </c>
      <c r="AC11" s="12">
        <v>1.1633</v>
      </c>
      <c r="AD11" s="7">
        <f t="shared" si="7"/>
        <v>1163.3</v>
      </c>
      <c r="AE11" s="10">
        <v>1.4539</v>
      </c>
      <c r="AF11" s="7">
        <f t="shared" si="8"/>
        <v>1453.8999999999999</v>
      </c>
      <c r="AG11" s="10">
        <v>4.7567199999999996</v>
      </c>
      <c r="AH11" s="7">
        <f t="shared" si="2"/>
        <v>4756.7199999999993</v>
      </c>
      <c r="AI11" s="5">
        <v>1.44573</v>
      </c>
      <c r="AJ11" s="7">
        <f t="shared" si="9"/>
        <v>1445.73</v>
      </c>
      <c r="AK11" s="5">
        <f t="shared" si="3"/>
        <v>1.2498065847158943</v>
      </c>
      <c r="AL11" s="12">
        <f t="shared" si="4"/>
        <v>4.0889882231582559</v>
      </c>
      <c r="AN11" s="17">
        <v>22.862400000000001</v>
      </c>
      <c r="AO11" s="17">
        <v>0.94706000000000001</v>
      </c>
      <c r="AP11" s="17">
        <v>1.34745</v>
      </c>
    </row>
    <row r="12" spans="1:42" x14ac:dyDescent="0.2">
      <c r="W12" s="3"/>
      <c r="X12" s="3"/>
      <c r="Y12" s="3"/>
      <c r="AO12" s="3"/>
      <c r="AP12" s="3"/>
    </row>
    <row r="13" spans="1:42" x14ac:dyDescent="0.2">
      <c r="P13" t="s">
        <v>65</v>
      </c>
      <c r="V13" t="s">
        <v>66</v>
      </c>
      <c r="Z13" t="s">
        <v>66</v>
      </c>
    </row>
    <row r="14" spans="1:42" x14ac:dyDescent="0.2">
      <c r="AN14" t="s">
        <v>64</v>
      </c>
      <c r="AO14" t="s">
        <v>64</v>
      </c>
      <c r="AP14" t="s">
        <v>64</v>
      </c>
    </row>
    <row r="15" spans="1:42" x14ac:dyDescent="0.2">
      <c r="W15" s="5"/>
      <c r="X15" s="5"/>
      <c r="Y15" s="5"/>
      <c r="Z15" s="5"/>
    </row>
    <row r="16" spans="1:42" x14ac:dyDescent="0.2">
      <c r="W16" s="5"/>
      <c r="X16" s="5"/>
      <c r="Y16" s="5"/>
      <c r="Z16" s="5"/>
    </row>
    <row r="17" spans="4:32" x14ac:dyDescent="0.2">
      <c r="W17" s="5"/>
      <c r="X17" s="5"/>
      <c r="Y17" s="5"/>
      <c r="Z17" s="5"/>
    </row>
    <row r="18" spans="4:32" x14ac:dyDescent="0.2">
      <c r="E18" t="s">
        <v>20</v>
      </c>
      <c r="F18" t="s">
        <v>21</v>
      </c>
      <c r="G18" t="s">
        <v>25</v>
      </c>
      <c r="J18" t="s">
        <v>26</v>
      </c>
      <c r="K18" t="s">
        <v>27</v>
      </c>
      <c r="L18" t="s">
        <v>44</v>
      </c>
      <c r="M18" t="s">
        <v>54</v>
      </c>
      <c r="W18" s="5"/>
      <c r="X18" s="5"/>
      <c r="Y18" s="5"/>
      <c r="Z18" s="5"/>
      <c r="AD18" s="16"/>
    </row>
    <row r="19" spans="4:32" x14ac:dyDescent="0.2">
      <c r="E19" s="3">
        <f t="shared" ref="E19:E28" si="10">W2/I2</f>
        <v>1.3351844043063175</v>
      </c>
      <c r="F19" s="3">
        <f t="shared" ref="F19:F28" si="11">V2/I2</f>
        <v>26.771577572336511</v>
      </c>
      <c r="G19" s="3">
        <f t="shared" ref="G19:G28" si="12">Z2/I2</f>
        <v>24.264797099689254</v>
      </c>
      <c r="H19" s="3">
        <f t="shared" ref="H19:H28" si="13">F19/E19</f>
        <v>20.050846524263765</v>
      </c>
      <c r="J19" s="3">
        <f t="shared" ref="J19:J28" si="14">J2/I2</f>
        <v>15.169337905539091</v>
      </c>
      <c r="K19" s="3">
        <f t="shared" ref="K19:K28" si="15">L2/I2</f>
        <v>0.66402616596414121</v>
      </c>
      <c r="L19" s="13">
        <f t="shared" ref="L19:L28" si="16">J2/Z2</f>
        <v>0.62515824233837736</v>
      </c>
      <c r="M19" s="5">
        <f>L2+O2</f>
        <v>0.63937600000000006</v>
      </c>
      <c r="V19" s="5"/>
      <c r="W19" s="5"/>
      <c r="X19" s="5"/>
      <c r="Y19" s="5"/>
      <c r="Z19" s="5"/>
    </row>
    <row r="20" spans="4:32" x14ac:dyDescent="0.2">
      <c r="E20" s="3">
        <f t="shared" si="10"/>
        <v>2.0948593623672616</v>
      </c>
      <c r="F20" s="3">
        <f t="shared" si="11"/>
        <v>62.274168085696139</v>
      </c>
      <c r="G20" s="3">
        <f t="shared" si="12"/>
        <v>57.018778377279844</v>
      </c>
      <c r="H20" s="3">
        <f t="shared" si="13"/>
        <v>29.727135484323984</v>
      </c>
      <c r="J20" s="3">
        <f t="shared" si="14"/>
        <v>47.71495803279533</v>
      </c>
      <c r="K20" s="3">
        <f t="shared" si="15"/>
        <v>0.85530100399681774</v>
      </c>
      <c r="L20" s="13">
        <f t="shared" si="16"/>
        <v>0.83682883763444871</v>
      </c>
      <c r="M20" s="5">
        <f t="shared" ref="M20:M28" si="17">L3+O3</f>
        <v>1.2015639999999999</v>
      </c>
      <c r="V20" s="5"/>
      <c r="W20" s="5"/>
      <c r="X20" s="5"/>
      <c r="Y20" s="5"/>
      <c r="Z20" s="5"/>
    </row>
    <row r="21" spans="4:32" x14ac:dyDescent="0.2">
      <c r="E21" s="3">
        <f t="shared" si="10"/>
        <v>3.6258286982380357</v>
      </c>
      <c r="F21" s="3">
        <f t="shared" si="11"/>
        <v>166.79406139789481</v>
      </c>
      <c r="G21" s="3">
        <f t="shared" si="12"/>
        <v>158.96988669295519</v>
      </c>
      <c r="H21" s="3">
        <f t="shared" si="13"/>
        <v>46.001638598907903</v>
      </c>
      <c r="J21" s="3">
        <f t="shared" si="14"/>
        <v>151.3059306531963</v>
      </c>
      <c r="K21" s="3">
        <f t="shared" si="15"/>
        <v>1.094803062109053</v>
      </c>
      <c r="L21" s="13">
        <f t="shared" si="16"/>
        <v>0.95178988801469322</v>
      </c>
      <c r="M21" s="5">
        <f t="shared" si="17"/>
        <v>1.9014900000000001</v>
      </c>
      <c r="V21" s="5"/>
      <c r="W21" s="5"/>
      <c r="X21" s="5"/>
      <c r="Y21" s="5"/>
      <c r="Z21" s="5"/>
      <c r="AD21" s="16"/>
    </row>
    <row r="22" spans="4:32" x14ac:dyDescent="0.2">
      <c r="E22" s="3">
        <f t="shared" si="10"/>
        <v>2.9162071500781179</v>
      </c>
      <c r="F22" s="3">
        <f t="shared" si="11"/>
        <v>33.344335220886087</v>
      </c>
      <c r="G22" s="3">
        <f t="shared" si="12"/>
        <v>14.460810304482758</v>
      </c>
      <c r="H22" s="3">
        <f t="shared" si="13"/>
        <v>11.434144937197921</v>
      </c>
      <c r="J22" s="3">
        <f t="shared" si="14"/>
        <v>0.66099693891257161</v>
      </c>
      <c r="K22" s="3">
        <f t="shared" si="15"/>
        <v>1.0376679886605444</v>
      </c>
      <c r="L22" s="13">
        <f t="shared" si="16"/>
        <v>4.5709536671514658E-2</v>
      </c>
      <c r="M22" s="5">
        <f t="shared" si="17"/>
        <v>5.2817999999999997E-2</v>
      </c>
      <c r="V22" s="5"/>
      <c r="W22" s="5"/>
      <c r="X22" s="5"/>
      <c r="Y22" s="5"/>
      <c r="Z22" s="5"/>
    </row>
    <row r="23" spans="4:32" x14ac:dyDescent="0.2">
      <c r="E23" s="3">
        <f t="shared" si="10"/>
        <v>2.6583628470844829</v>
      </c>
      <c r="F23" s="3">
        <f t="shared" si="11"/>
        <v>60.191437410039974</v>
      </c>
      <c r="G23" s="3">
        <f t="shared" si="12"/>
        <v>52.021346921369386</v>
      </c>
      <c r="H23" s="3">
        <f t="shared" si="13"/>
        <v>22.642295605377562</v>
      </c>
      <c r="J23" s="3">
        <f t="shared" si="14"/>
        <v>42.386499811797499</v>
      </c>
      <c r="K23" s="3">
        <f t="shared" si="15"/>
        <v>0.82674980450761171</v>
      </c>
      <c r="L23" s="13">
        <f t="shared" si="16"/>
        <v>0.81479051043920447</v>
      </c>
      <c r="M23" s="5">
        <f t="shared" si="17"/>
        <v>1.5299700000000001</v>
      </c>
      <c r="V23" s="5"/>
      <c r="W23" s="5"/>
      <c r="X23" s="5"/>
      <c r="Y23" s="5"/>
      <c r="Z23" s="5"/>
      <c r="AF23" t="s">
        <v>45</v>
      </c>
    </row>
    <row r="24" spans="4:32" x14ac:dyDescent="0.2">
      <c r="E24" s="3">
        <f t="shared" si="10"/>
        <v>4.4760665633699093</v>
      </c>
      <c r="F24" s="3">
        <f t="shared" si="11"/>
        <v>38.314763996128939</v>
      </c>
      <c r="G24" s="3">
        <f t="shared" si="12"/>
        <v>27.323426259832193</v>
      </c>
      <c r="H24" s="3">
        <f t="shared" si="13"/>
        <v>8.5599182795178965</v>
      </c>
      <c r="J24" s="3">
        <f t="shared" si="14"/>
        <v>18.361877923145371</v>
      </c>
      <c r="K24" s="3">
        <f t="shared" si="15"/>
        <v>1.2447827426777127</v>
      </c>
      <c r="L24" s="13">
        <f t="shared" si="16"/>
        <v>0.67201959770831976</v>
      </c>
      <c r="M24" s="5">
        <f t="shared" si="17"/>
        <v>0.50676999999999994</v>
      </c>
      <c r="V24" s="5"/>
      <c r="W24" s="5"/>
      <c r="X24" s="5"/>
      <c r="Y24" s="5"/>
      <c r="Z24" s="5"/>
    </row>
    <row r="25" spans="4:32" x14ac:dyDescent="0.2">
      <c r="E25" s="3">
        <f t="shared" si="10"/>
        <v>1.153570925634688</v>
      </c>
      <c r="F25" s="3">
        <f t="shared" si="11"/>
        <v>33.075237937321589</v>
      </c>
      <c r="G25" s="3">
        <f t="shared" si="12"/>
        <v>15.560720915554242</v>
      </c>
      <c r="H25" s="3">
        <f t="shared" si="13"/>
        <v>28.672045387346934</v>
      </c>
      <c r="J25" s="3">
        <f t="shared" si="14"/>
        <v>0.22923301833492674</v>
      </c>
      <c r="K25" s="3">
        <f t="shared" si="15"/>
        <v>0.42418914898423904</v>
      </c>
      <c r="L25" s="13">
        <f t="shared" si="16"/>
        <v>1.4731516590969069E-2</v>
      </c>
      <c r="M25" s="5">
        <f t="shared" si="17"/>
        <v>0.379938</v>
      </c>
      <c r="V25" s="5"/>
      <c r="W25" s="5"/>
      <c r="X25" s="5"/>
      <c r="Y25" s="5"/>
      <c r="Z25" s="5"/>
    </row>
    <row r="26" spans="4:32" x14ac:dyDescent="0.2">
      <c r="E26" s="3">
        <f t="shared" si="10"/>
        <v>2.101303367681322</v>
      </c>
      <c r="F26" s="3">
        <f t="shared" si="11"/>
        <v>29.355924204796626</v>
      </c>
      <c r="G26" s="3">
        <f t="shared" si="12"/>
        <v>17.027217179933643</v>
      </c>
      <c r="H26" s="3">
        <f t="shared" si="13"/>
        <v>13.970340816228429</v>
      </c>
      <c r="J26" s="3">
        <f t="shared" si="14"/>
        <v>6.4833537137100175</v>
      </c>
      <c r="K26" s="3">
        <f t="shared" si="15"/>
        <v>0.80179762127704601</v>
      </c>
      <c r="L26" s="13">
        <f t="shared" si="16"/>
        <v>0.38076414044630652</v>
      </c>
      <c r="M26" s="5">
        <f t="shared" si="17"/>
        <v>1.1161480000000001</v>
      </c>
      <c r="V26" s="5"/>
      <c r="W26" s="5"/>
      <c r="X26" s="5"/>
      <c r="Y26" s="5"/>
      <c r="Z26" s="5"/>
      <c r="AD26" s="16"/>
    </row>
    <row r="27" spans="4:32" x14ac:dyDescent="0.2">
      <c r="E27" s="3">
        <f t="shared" si="10"/>
        <v>1.6744580663210213</v>
      </c>
      <c r="F27" s="3">
        <f t="shared" si="11"/>
        <v>58.327123744682631</v>
      </c>
      <c r="G27" s="3">
        <f t="shared" si="12"/>
        <v>54.328551296431378</v>
      </c>
      <c r="H27" s="3">
        <f t="shared" si="13"/>
        <v>34.833433525650534</v>
      </c>
      <c r="J27" s="3">
        <f t="shared" si="14"/>
        <v>46.559626431146775</v>
      </c>
      <c r="K27" s="3">
        <f t="shared" si="15"/>
        <v>0.63984908738656066</v>
      </c>
      <c r="L27" s="13">
        <f t="shared" si="16"/>
        <v>0.85700106702836165</v>
      </c>
      <c r="M27" s="5">
        <f t="shared" si="17"/>
        <v>1.0552980000000001</v>
      </c>
      <c r="V27" s="5"/>
      <c r="W27" s="5"/>
      <c r="X27" s="5"/>
      <c r="Y27" s="5"/>
      <c r="Z27" s="5"/>
    </row>
    <row r="28" spans="4:32" x14ac:dyDescent="0.2">
      <c r="D28" t="s">
        <v>49</v>
      </c>
      <c r="E28" s="3">
        <f t="shared" si="10"/>
        <v>1.5221871231135131</v>
      </c>
      <c r="F28" s="3">
        <f t="shared" si="11"/>
        <v>58.351781815122095</v>
      </c>
      <c r="G28" s="3">
        <f t="shared" si="12"/>
        <v>53.961724828739655</v>
      </c>
      <c r="H28" s="3">
        <f t="shared" si="13"/>
        <v>38.334171225787372</v>
      </c>
      <c r="J28" s="3">
        <f t="shared" si="14"/>
        <v>46.689978329619237</v>
      </c>
      <c r="K28" s="3">
        <f t="shared" si="15"/>
        <v>0.57511349060766648</v>
      </c>
      <c r="L28" s="13">
        <f t="shared" si="16"/>
        <v>0.86524251175812061</v>
      </c>
      <c r="M28" s="5">
        <f t="shared" si="17"/>
        <v>1.3408</v>
      </c>
      <c r="V28" s="5"/>
      <c r="W28" s="5"/>
      <c r="X28" s="5"/>
      <c r="Y28" s="5"/>
      <c r="Z28" s="5"/>
    </row>
    <row r="29" spans="4:32" x14ac:dyDescent="0.2">
      <c r="D29" t="s">
        <v>50</v>
      </c>
      <c r="V29" s="5"/>
      <c r="W29" s="5"/>
      <c r="X29" s="5"/>
      <c r="Y29" s="5"/>
      <c r="Z29" s="5"/>
    </row>
    <row r="30" spans="4:32" x14ac:dyDescent="0.2">
      <c r="W30" s="5"/>
      <c r="X30" s="5"/>
      <c r="Y30" s="5"/>
      <c r="Z30" s="5"/>
    </row>
    <row r="31" spans="4:32" x14ac:dyDescent="0.2">
      <c r="D31" t="s">
        <v>35</v>
      </c>
    </row>
    <row r="32" spans="4:32" x14ac:dyDescent="0.2">
      <c r="D32" t="s">
        <v>36</v>
      </c>
    </row>
    <row r="34" spans="4:4" x14ac:dyDescent="0.2">
      <c r="D34" t="s">
        <v>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Rafael Ktistakis</cp:lastModifiedBy>
  <dcterms:created xsi:type="dcterms:W3CDTF">2017-01-11T11:58:08Z</dcterms:created>
  <dcterms:modified xsi:type="dcterms:W3CDTF">2019-07-03T15:54:37Z</dcterms:modified>
</cp:coreProperties>
</file>