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xr:revisionPtr revIDLastSave="0" documentId="13_ncr:1_{05DCC875-23B0-884B-8715-A039070A8602}" xr6:coauthVersionLast="36" xr6:coauthVersionMax="36" xr10:uidLastSave="{00000000-0000-0000-0000-000000000000}"/>
  <bookViews>
    <workbookView xWindow="0" yWindow="0" windowWidth="51200" windowHeight="28800" tabRatio="500" activeTab="6" xr2:uid="{00000000-000D-0000-FFFF-FFFF00000000}"/>
  </bookViews>
  <sheets>
    <sheet name="All RAW Data" sheetId="1" r:id="rId1"/>
    <sheet name="Datasets Attributes, Notes" sheetId="2" r:id="rId2"/>
    <sheet name="Scalability CPT+" sheetId="3" r:id="rId3"/>
    <sheet name="Scalability sCPT  HYBRID" sheetId="4" r:id="rId4"/>
    <sheet name="Scalability CPT" sheetId="6" r:id="rId5"/>
    <sheet name="Scalability Charts" sheetId="5" r:id="rId6"/>
    <sheet name="Charts" sheetId="7" r:id="rId7"/>
    <sheet name="Scalability LATEX" sheetId="8" r:id="rId8"/>
  </sheets>
  <definedNames>
    <definedName name="_xlnm.Print_Area" localSheetId="6">Charts!$B$7:$M$38</definedName>
    <definedName name="_xlnm.Print_Area" localSheetId="5">'Scalability Charts'!$L$92:$V$119</definedName>
    <definedName name="_xlnm.Print_Area" localSheetId="7">'Scalability LATEX'!$L$92:$V$119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2" l="1"/>
  <c r="H14" i="2"/>
  <c r="H15" i="2"/>
  <c r="H16" i="2"/>
  <c r="H17" i="2"/>
  <c r="H18" i="2"/>
  <c r="J62" i="1" l="1"/>
  <c r="J63" i="1"/>
  <c r="J64" i="1"/>
  <c r="J65" i="1"/>
  <c r="J66" i="1"/>
  <c r="J67" i="1"/>
  <c r="J68" i="1"/>
  <c r="J69" i="1"/>
  <c r="J70" i="1"/>
  <c r="J61" i="1"/>
  <c r="I62" i="1"/>
  <c r="I63" i="1"/>
  <c r="I64" i="1"/>
  <c r="I65" i="1"/>
  <c r="I66" i="1"/>
  <c r="I67" i="1"/>
  <c r="I68" i="1"/>
  <c r="I69" i="1"/>
  <c r="I70" i="1"/>
  <c r="I61" i="1"/>
  <c r="H62" i="1"/>
  <c r="H63" i="1"/>
  <c r="H64" i="1"/>
  <c r="H65" i="1"/>
  <c r="H66" i="1"/>
  <c r="H67" i="1"/>
  <c r="H68" i="1"/>
  <c r="H69" i="1"/>
  <c r="H70" i="1"/>
  <c r="H61" i="1"/>
  <c r="H26" i="2" l="1"/>
  <c r="H27" i="2"/>
  <c r="H28" i="2"/>
  <c r="H29" i="2"/>
  <c r="H25" i="2"/>
  <c r="V3" i="1"/>
  <c r="V4" i="1"/>
  <c r="V5" i="1"/>
  <c r="V6" i="1"/>
  <c r="V7" i="1"/>
  <c r="V8" i="1"/>
  <c r="V9" i="1"/>
  <c r="V10" i="1"/>
  <c r="V11" i="1"/>
  <c r="V2" i="1"/>
  <c r="I2" i="1"/>
  <c r="I3" i="1"/>
  <c r="I4" i="1"/>
  <c r="I5" i="1"/>
  <c r="I6" i="1"/>
  <c r="I7" i="1"/>
  <c r="I8" i="1"/>
  <c r="I9" i="1"/>
  <c r="I10" i="1"/>
  <c r="I11" i="1"/>
  <c r="H3" i="2"/>
  <c r="H4" i="2"/>
  <c r="H5" i="2"/>
  <c r="H6" i="2"/>
  <c r="H7" i="2"/>
  <c r="H8" i="2"/>
  <c r="H9" i="2"/>
  <c r="H10" i="2"/>
  <c r="H11" i="2"/>
  <c r="H2" i="2"/>
  <c r="H20" i="2"/>
  <c r="H21" i="2"/>
  <c r="H22" i="2"/>
  <c r="H23" i="2"/>
  <c r="AD3" i="1" l="1"/>
  <c r="AD4" i="1"/>
  <c r="AD5" i="1"/>
  <c r="AD6" i="1"/>
  <c r="AD7" i="1"/>
  <c r="AD8" i="1"/>
  <c r="AD9" i="1"/>
  <c r="AD10" i="1"/>
  <c r="AD11" i="1"/>
  <c r="AB3" i="1"/>
  <c r="AB4" i="1"/>
  <c r="AB5" i="1"/>
  <c r="AB6" i="1"/>
  <c r="AB7" i="1"/>
  <c r="AB8" i="1"/>
  <c r="AB9" i="1"/>
  <c r="AB10" i="1"/>
  <c r="AB11" i="1"/>
  <c r="AJ2" i="1"/>
  <c r="AJ3" i="1"/>
  <c r="AJ4" i="1"/>
  <c r="AJ5" i="1"/>
  <c r="AJ6" i="1"/>
  <c r="AJ7" i="1"/>
  <c r="AJ8" i="1"/>
  <c r="AJ9" i="1"/>
  <c r="AJ10" i="1"/>
  <c r="AJ11" i="1"/>
  <c r="AH2" i="1"/>
  <c r="AH3" i="1"/>
  <c r="AL3" i="1" s="1"/>
  <c r="AH4" i="1"/>
  <c r="AL4" i="1" s="1"/>
  <c r="AH5" i="1"/>
  <c r="AH6" i="1"/>
  <c r="AH7" i="1"/>
  <c r="AH8" i="1"/>
  <c r="AH9" i="1"/>
  <c r="AH10" i="1"/>
  <c r="AH11" i="1"/>
  <c r="AL11" i="1" s="1"/>
  <c r="AB2" i="1"/>
  <c r="AD2" i="1" s="1"/>
  <c r="M20" i="1"/>
  <c r="M21" i="1"/>
  <c r="M22" i="1"/>
  <c r="M23" i="1"/>
  <c r="M24" i="1"/>
  <c r="M25" i="1"/>
  <c r="M26" i="1"/>
  <c r="M27" i="1"/>
  <c r="M28" i="1"/>
  <c r="M19" i="1"/>
  <c r="AF3" i="1"/>
  <c r="AF4" i="1"/>
  <c r="AF5" i="1"/>
  <c r="AF6" i="1"/>
  <c r="AF7" i="1"/>
  <c r="AF8" i="1"/>
  <c r="AF9" i="1"/>
  <c r="AF10" i="1"/>
  <c r="AF11" i="1"/>
  <c r="AF2" i="1"/>
  <c r="Z2" i="1"/>
  <c r="L19" i="1" s="1"/>
  <c r="Z3" i="1"/>
  <c r="L20" i="1" s="1"/>
  <c r="Z4" i="1"/>
  <c r="L21" i="1" s="1"/>
  <c r="Z5" i="1"/>
  <c r="L22" i="1" s="1"/>
  <c r="Z6" i="1"/>
  <c r="L23" i="1" s="1"/>
  <c r="Z7" i="1"/>
  <c r="Z8" i="1"/>
  <c r="L25" i="1" s="1"/>
  <c r="Z9" i="1"/>
  <c r="L26" i="1" s="1"/>
  <c r="Z10" i="1"/>
  <c r="L27" i="1" s="1"/>
  <c r="Z11" i="1"/>
  <c r="L28" i="1" s="1"/>
  <c r="N11" i="1"/>
  <c r="N10" i="1"/>
  <c r="N9" i="1"/>
  <c r="N8" i="1"/>
  <c r="N7" i="1"/>
  <c r="N6" i="1"/>
  <c r="N5" i="1"/>
  <c r="N4" i="1"/>
  <c r="N3" i="1"/>
  <c r="N2" i="1"/>
  <c r="M11" i="1"/>
  <c r="M10" i="1"/>
  <c r="M9" i="1"/>
  <c r="M8" i="1"/>
  <c r="M7" i="1"/>
  <c r="M6" i="1"/>
  <c r="M5" i="1"/>
  <c r="M4" i="1"/>
  <c r="M3" i="1"/>
  <c r="M2" i="1"/>
  <c r="AK10" i="1" l="1"/>
  <c r="AL2" i="1"/>
  <c r="AK8" i="1"/>
  <c r="AK2" i="1"/>
  <c r="AK4" i="1"/>
  <c r="AK7" i="1"/>
  <c r="AK11" i="1"/>
  <c r="AK3" i="1"/>
  <c r="AL8" i="1"/>
  <c r="AK9" i="1"/>
  <c r="AL5" i="1"/>
  <c r="AL6" i="1"/>
  <c r="AL7" i="1"/>
  <c r="AK6" i="1"/>
  <c r="AL10" i="1"/>
  <c r="AK5" i="1"/>
  <c r="AL9" i="1"/>
  <c r="L24" i="1"/>
  <c r="G20" i="1"/>
  <c r="G21" i="1"/>
  <c r="G22" i="1"/>
  <c r="G23" i="1"/>
  <c r="E24" i="1"/>
  <c r="G25" i="1"/>
  <c r="E26" i="1"/>
  <c r="E27" i="1"/>
  <c r="G28" i="1"/>
  <c r="E19" i="1"/>
  <c r="E20" i="1" l="1"/>
  <c r="E23" i="1"/>
  <c r="E25" i="1"/>
  <c r="E28" i="1"/>
  <c r="G26" i="1"/>
  <c r="E22" i="1"/>
  <c r="E21" i="1"/>
  <c r="G19" i="1"/>
  <c r="G24" i="1"/>
  <c r="G27" i="1"/>
  <c r="J19" i="1"/>
  <c r="K20" i="1"/>
  <c r="K21" i="1"/>
  <c r="K22" i="1"/>
  <c r="K23" i="1"/>
  <c r="K24" i="1"/>
  <c r="K25" i="1"/>
  <c r="K26" i="1"/>
  <c r="K27" i="1"/>
  <c r="K28" i="1"/>
  <c r="K19" i="1"/>
  <c r="J20" i="1"/>
  <c r="J21" i="1"/>
  <c r="J22" i="1"/>
  <c r="J23" i="1"/>
  <c r="J24" i="1"/>
  <c r="J25" i="1"/>
  <c r="J26" i="1"/>
  <c r="J27" i="1"/>
  <c r="J28" i="1"/>
  <c r="F20" i="1"/>
  <c r="F21" i="1"/>
  <c r="F22" i="1"/>
  <c r="F23" i="1"/>
  <c r="F24" i="1"/>
  <c r="H24" i="1" s="1"/>
  <c r="F25" i="1"/>
  <c r="F26" i="1"/>
  <c r="H26" i="1" s="1"/>
  <c r="F27" i="1"/>
  <c r="F28" i="1"/>
  <c r="F19" i="1"/>
  <c r="H19" i="1" s="1"/>
  <c r="H21" i="1" l="1"/>
  <c r="H20" i="1"/>
  <c r="H25" i="1"/>
  <c r="H23" i="1"/>
  <c r="H22" i="1"/>
  <c r="H28" i="1"/>
  <c r="H27" i="1"/>
</calcChain>
</file>

<file path=xl/sharedStrings.xml><?xml version="1.0" encoding="utf-8"?>
<sst xmlns="http://schemas.openxmlformats.org/spreadsheetml/2006/main" count="219" uniqueCount="106">
  <si>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</si>
  <si>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</si>
  <si>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</si>
  <si>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</si>
  <si>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</si>
  <si>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</si>
  <si>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</si>
  <si>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</si>
  <si>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</si>
  <si>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</si>
  <si>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</si>
  <si>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</si>
  <si>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LT (RAW) MB</t>
  </si>
  <si>
    <t>SD_Tree MB</t>
  </si>
  <si>
    <t>Trie MB</t>
  </si>
  <si>
    <t>Total CPT MB</t>
  </si>
  <si>
    <t>Kosarak</t>
  </si>
  <si>
    <t>Sequence Number</t>
  </si>
  <si>
    <t>Alphabet Size</t>
  </si>
  <si>
    <t>CDS MB</t>
  </si>
  <si>
    <t>SD/CDS space</t>
  </si>
  <si>
    <t>CPT/CDS space</t>
  </si>
  <si>
    <t>Trie Node Number with Dictionary</t>
  </si>
  <si>
    <t>Trie with Dict MB</t>
  </si>
  <si>
    <t>Dictionary MB</t>
  </si>
  <si>
    <t>CPT+/CDS space</t>
  </si>
  <si>
    <t>II /CDS</t>
  </si>
  <si>
    <t>SD_II / CDS</t>
  </si>
  <si>
    <t>Dataset Length</t>
  </si>
  <si>
    <t>EF::II (on nodeNumber) MB</t>
  </si>
  <si>
    <t>EF::II MB</t>
  </si>
  <si>
    <t>CPT time (s)</t>
  </si>
  <si>
    <t>CPT+ time (s)</t>
  </si>
  <si>
    <t>SD_CPT Time (s) with **</t>
  </si>
  <si>
    <t>SD_CPT Time (s) with *</t>
  </si>
  <si>
    <t>** sdsl::rank_support_v</t>
  </si>
  <si>
    <t>** sdsl::select_support_mcl</t>
  </si>
  <si>
    <t>rank dict. MB**</t>
  </si>
  <si>
    <t>select dict. MB**</t>
  </si>
  <si>
    <t>Trie (pathCollapsed) with Dict MB</t>
  </si>
  <si>
    <t>Trie Node Number + Dict +pathCollapse</t>
  </si>
  <si>
    <t xml:space="preserve">Trie Node Number + Dict </t>
  </si>
  <si>
    <t>Dictionary (pathCollapsed) MB</t>
  </si>
  <si>
    <t>Total CPT+ MB</t>
  </si>
  <si>
    <t>II/CPT+</t>
  </si>
  <si>
    <t>Time is for 1000 queries</t>
  </si>
  <si>
    <t>CPT+ time (ms)</t>
  </si>
  <si>
    <t>CPT time (ms)</t>
  </si>
  <si>
    <t>SD_CPT Time (ms) with **</t>
  </si>
  <si>
    <t>* sdsl::rank_support_scan</t>
  </si>
  <si>
    <t>* sdsl::select_support_scan</t>
  </si>
  <si>
    <t>SD_CPT** / CPT+ Time</t>
  </si>
  <si>
    <t>SD_CPT Time (ms) with *</t>
  </si>
  <si>
    <t>SD_CPT* / CPT+ Time</t>
  </si>
  <si>
    <t>EF::II + LT</t>
  </si>
  <si>
    <t>Total SD_CPT** MB</t>
  </si>
  <si>
    <t>Total SD_CPT HYBRID MB</t>
  </si>
  <si>
    <t>SD_CPT Time (s) HYBRID</t>
  </si>
  <si>
    <t>SD_CPT Time (ms) HYBRID</t>
  </si>
  <si>
    <t>HYBRID is a mix of * and **</t>
  </si>
  <si>
    <t>Total SD_CPT* MB</t>
  </si>
  <si>
    <t>CPT+ Train Time (s)</t>
  </si>
  <si>
    <t>CPT Train Time (s)</t>
  </si>
  <si>
    <t>SD_CPT Train Time (s)</t>
  </si>
  <si>
    <t xml:space="preserve">run again without reporting the auxiliary structure, since data is not mapped </t>
  </si>
  <si>
    <t>Average Sequence Length</t>
  </si>
  <si>
    <t>Number of Sequencies</t>
  </si>
  <si>
    <t>Number of Queries</t>
  </si>
  <si>
    <t>Average Query Length</t>
  </si>
  <si>
    <t>Binary Size for training data (MB)</t>
  </si>
  <si>
    <t>QUEST_05</t>
  </si>
  <si>
    <t>QUEST_1</t>
  </si>
  <si>
    <t>QUEST_15</t>
  </si>
  <si>
    <t>QUEST_2</t>
  </si>
  <si>
    <t>QUEST_25</t>
  </si>
  <si>
    <t>QUEST_3</t>
  </si>
  <si>
    <t>QUEST_40_150</t>
  </si>
  <si>
    <t>QUEST_20_300</t>
  </si>
  <si>
    <t>QUEST_10_600</t>
  </si>
  <si>
    <t>QUEST_5_1200</t>
  </si>
  <si>
    <t>QUEST100K</t>
  </si>
  <si>
    <t>QUEST200K</t>
  </si>
  <si>
    <t>QUEST400K</t>
  </si>
  <si>
    <t>QUEST800K</t>
  </si>
  <si>
    <t>variable Sigma</t>
  </si>
  <si>
    <t>Train time (s)</t>
  </si>
  <si>
    <t>Test time (s)</t>
  </si>
  <si>
    <t>Memory (MB)</t>
  </si>
  <si>
    <t>variable Seq. Length</t>
  </si>
  <si>
    <t>variable #Sequences</t>
  </si>
  <si>
    <t>variable query Length</t>
  </si>
  <si>
    <t>Test Time (s)</t>
  </si>
  <si>
    <t>CPT/+ implementation uses an extra int per Sigma symbol within II to count the set-bits (cardinality)</t>
  </si>
  <si>
    <t>CPT/+ does, originally, does not have a quick way to implement cardinality rather than storing the value</t>
  </si>
  <si>
    <t>Or in O(n) time calculate it; At least in its ADMA and PAKDD version</t>
  </si>
  <si>
    <t>This memory report for II contains a further array Sigma x uint64_t for CPT/+ implementation</t>
  </si>
  <si>
    <t>QUEST1600K</t>
  </si>
  <si>
    <t>CPT+</t>
  </si>
  <si>
    <t>CPT</t>
  </si>
  <si>
    <t>sCPT_Fast</t>
  </si>
  <si>
    <t>scPT_slow</t>
  </si>
  <si>
    <t>sCPT_Hybrid</t>
  </si>
  <si>
    <t>sCPT-H to CPT+</t>
  </si>
  <si>
    <t>sCPT-F to CPT+</t>
  </si>
  <si>
    <t>sCPT-S to CPT+</t>
  </si>
  <si>
    <t>Draft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</si>
</sst>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1" fontId="0" fillId="0" borderId="0" xfId="0" applyNumberFormat="1"/>
    <xf numFmtId="164" fontId="0" fillId="0" borderId="0" xfId="0" applyNumberFormat="1" applyFont="1"/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2" fontId="1" fillId="0" borderId="0" xfId="0" applyNumberFormat="1" applyFont="1"/>
    <xf numFmtId="0" fontId="0" fillId="0" borderId="0" xfId="0" applyFill="1"/>
    <xf numFmtId="164" fontId="0" fillId="0" borderId="0" xfId="0" applyNumberFormat="1" applyFill="1"/>
    <xf numFmtId="0" fontId="0" fillId="2" borderId="2" xfId="0" applyFill="1" applyBorder="1"/>
    <xf numFmtId="0" fontId="2" fillId="2" borderId="2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1" fontId="0" fillId="2" borderId="2" xfId="0" applyNumberFormat="1" applyFill="1" applyBorder="1"/>
    <xf numFmtId="1" fontId="6" fillId="2" borderId="2" xfId="0" applyNumberFormat="1" applyFont="1" applyFill="1" applyBorder="1"/>
    <xf numFmtId="0" fontId="0" fillId="2" borderId="2" xfId="0" applyFont="1" applyFill="1" applyBorder="1"/>
    <xf numFmtId="2" fontId="1" fillId="2" borderId="2" xfId="0" applyNumberFormat="1" applyFont="1" applyFill="1" applyBorder="1"/>
    <xf numFmtId="2" fontId="0" fillId="2" borderId="2" xfId="0" applyNumberFormat="1" applyFill="1" applyBorder="1"/>
    <xf numFmtId="1" fontId="0" fillId="0" borderId="0" xfId="0" applyNumberFormat="1" applyFill="1"/>
    <xf numFmtId="0" fontId="5" fillId="0" borderId="1" xfId="0" applyFont="1" applyFill="1" applyBorder="1"/>
    <xf numFmtId="1" fontId="1" fillId="0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/>
    <xf numFmtId="1" fontId="0" fillId="0" borderId="0" xfId="0" applyNumberFormat="1" applyBorder="1"/>
    <xf numFmtId="0" fontId="5" fillId="0" borderId="0" xfId="0" applyFont="1" applyFill="1" applyBorder="1"/>
    <xf numFmtId="0" fontId="6" fillId="0" borderId="0" xfId="0" applyFont="1" applyBorder="1"/>
    <xf numFmtId="164" fontId="0" fillId="0" borderId="0" xfId="0" applyNumberFormat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</c:v>
                </c:pt>
                <c:pt idx="3">
                  <c:v>3158.4</c:v>
                </c:pt>
                <c:pt idx="4">
                  <c:v>2834.5</c:v>
                </c:pt>
                <c:pt idx="5">
                  <c:v>2536.1999999999998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0-7940-B6E7-390A1160FA2C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23.474599999999999</c:v>
                </c:pt>
                <c:pt idx="1">
                  <c:v>15.491199999999999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0-7940-B6E7-390A1160FA2C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9.2959999999999994</c:v>
                </c:pt>
                <c:pt idx="4">
                  <c:v>8.73</c:v>
                </c:pt>
                <c:pt idx="5">
                  <c:v>8.1449999999999996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0-7940-B6E7-390A1160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Query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14362591472214E-2"/>
                  <c:y val="-6.1581670590216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9F-6341-8837-5B0DE9299CD8}"/>
                </c:ext>
              </c:extLst>
            </c:dLbl>
            <c:dLbl>
              <c:idx val="1"/>
              <c:layout>
                <c:manualLayout>
                  <c:x val="2.1851192281471227E-2"/>
                  <c:y val="2.360837532185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9F-6341-8837-5B0DE9299CD8}"/>
                </c:ext>
              </c:extLst>
            </c:dLbl>
            <c:dLbl>
              <c:idx val="2"/>
              <c:layout>
                <c:manualLayout>
                  <c:x val="-9.9956191853758564E-2"/>
                  <c:y val="-4.241391026000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9F-6341-8837-5B0DE9299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F-6341-8837-5B0DE9299CD8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849688806629808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9F-6341-8837-5B0DE9299CD8}"/>
                </c:ext>
              </c:extLst>
            </c:dLbl>
            <c:dLbl>
              <c:idx val="1"/>
              <c:layout>
                <c:manualLayout>
                  <c:x val="-7.0327368685729696E-2"/>
                  <c:y val="-4.88031637034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9F-6341-8837-5B0DE9299CD8}"/>
                </c:ext>
              </c:extLst>
            </c:dLbl>
            <c:dLbl>
              <c:idx val="2"/>
              <c:layout>
                <c:manualLayout>
                  <c:x val="3.3373512402371346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9F-6341-8837-5B0DE9299CD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0.72785299999999997</c:v>
                </c:pt>
                <c:pt idx="1">
                  <c:v>0.394067</c:v>
                </c:pt>
                <c:pt idx="2">
                  <c:v>0.27705099999999999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9F-6341-8837-5B0DE9299CD8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CPT'!$B$19:$D$19</c:f>
              <c:numCache>
                <c:formatCode>0.0</c:formatCode>
                <c:ptCount val="3"/>
                <c:pt idx="0">
                  <c:v>0.29499999999999998</c:v>
                </c:pt>
                <c:pt idx="1">
                  <c:v>0.23699999999999999</c:v>
                </c:pt>
                <c:pt idx="2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9F-6341-8837-5B0DE929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CPT+</c:v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3173770648371807E-3"/>
                  <c:y val="-3.78942217445200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11-BD49-B087-B03F0D55FF8A}"/>
                </c:ext>
              </c:extLst>
            </c:dLbl>
            <c:dLbl>
              <c:idx val="2"/>
              <c:layout>
                <c:manualLayout>
                  <c:x val="-4.7380327986278857E-3"/>
                  <c:y val="-2.52628144963466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11-BD49-B087-B03F0D55FF8A}"/>
                </c:ext>
              </c:extLst>
            </c:dLbl>
            <c:dLbl>
              <c:idx val="3"/>
              <c:layout>
                <c:manualLayout>
                  <c:x val="-9.4760655972558287E-3"/>
                  <c:y val="-4.2104690827244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11-BD49-B087-B03F0D55FF8A}"/>
                </c:ext>
              </c:extLst>
            </c:dLbl>
            <c:dLbl>
              <c:idx val="4"/>
              <c:layout>
                <c:manualLayout>
                  <c:x val="0"/>
                  <c:y val="-2.73680490377088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11-BD49-B087-B03F0D55FF8A}"/>
                </c:ext>
              </c:extLst>
            </c:dLbl>
            <c:dLbl>
              <c:idx val="6"/>
              <c:layout>
                <c:manualLayout>
                  <c:x val="-5.2118360784906802E-2"/>
                  <c:y val="4.2104690827244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11-BD49-B087-B03F0D55FF8A}"/>
                </c:ext>
              </c:extLst>
            </c:dLbl>
            <c:dLbl>
              <c:idx val="8"/>
              <c:layout>
                <c:manualLayout>
                  <c:x val="-6.3173770648372969E-3"/>
                  <c:y val="-2.3157579954984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11-BD49-B087-B03F0D55FF8A}"/>
                </c:ext>
              </c:extLst>
            </c:dLbl>
            <c:dLbl>
              <c:idx val="9"/>
              <c:layout>
                <c:manualLayout>
                  <c:x val="-7.8967213310464756E-3"/>
                  <c:y val="-4.63151599099689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11-BD49-B087-B03F0D55FF8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Data'!$AD$2:$AD$11</c:f>
              <c:numCache>
                <c:formatCode>0</c:formatCode>
                <c:ptCount val="10"/>
                <c:pt idx="0">
                  <c:v>216.71599999999998</c:v>
                </c:pt>
                <c:pt idx="1">
                  <c:v>244.26</c:v>
                </c:pt>
                <c:pt idx="2">
                  <c:v>477.05599999999998</c:v>
                </c:pt>
                <c:pt idx="3">
                  <c:v>203.554</c:v>
                </c:pt>
                <c:pt idx="4">
                  <c:v>343.89400000000001</c:v>
                </c:pt>
                <c:pt idx="5">
                  <c:v>100.91200000000001</c:v>
                </c:pt>
                <c:pt idx="6">
                  <c:v>11638.400000000001</c:v>
                </c:pt>
                <c:pt idx="7">
                  <c:v>13694.2</c:v>
                </c:pt>
                <c:pt idx="8">
                  <c:v>982.05899999999997</c:v>
                </c:pt>
                <c:pt idx="9">
                  <c:v>1163.3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11-BD49-B087-B03F0D55FF8A}"/>
            </c:ext>
          </c:extLst>
        </c:ser>
        <c:ser>
          <c:idx val="1"/>
          <c:order val="1"/>
          <c:tx>
            <c:v>sCPT-F</c:v>
          </c:tx>
          <c:spPr>
            <a:pattFill prst="openDmnd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Data'!$AF$2:$AF$11</c:f>
              <c:numCache>
                <c:formatCode>0</c:formatCode>
                <c:ptCount val="10"/>
                <c:pt idx="0">
                  <c:v>217.60999999999999</c:v>
                </c:pt>
                <c:pt idx="1">
                  <c:v>179.19</c:v>
                </c:pt>
                <c:pt idx="2">
                  <c:v>521.05000000000007</c:v>
                </c:pt>
                <c:pt idx="3">
                  <c:v>310.65999999999997</c:v>
                </c:pt>
                <c:pt idx="4">
                  <c:v>418.46</c:v>
                </c:pt>
                <c:pt idx="5">
                  <c:v>123.05000000000001</c:v>
                </c:pt>
                <c:pt idx="6">
                  <c:v>11813.1</c:v>
                </c:pt>
                <c:pt idx="7">
                  <c:v>17878.2</c:v>
                </c:pt>
                <c:pt idx="8">
                  <c:v>1091.5</c:v>
                </c:pt>
                <c:pt idx="9">
                  <c:v>1453.8999999999999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11-BD49-B087-B03F0D55FF8A}"/>
            </c:ext>
          </c:extLst>
        </c:ser>
        <c:ser>
          <c:idx val="2"/>
          <c:order val="2"/>
          <c:tx>
            <c:v>sCPT-H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055409863465038E-2"/>
                  <c:y val="-2.52628144963467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11-BD49-B087-B03F0D55FF8A}"/>
                </c:ext>
              </c:extLst>
            </c:dLbl>
            <c:dLbl>
              <c:idx val="1"/>
              <c:layout>
                <c:manualLayout>
                  <c:x val="1.1055409863465067E-2"/>
                  <c:y val="-2.1052345413622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11-BD49-B087-B03F0D55FF8A}"/>
                </c:ext>
              </c:extLst>
            </c:dLbl>
            <c:dLbl>
              <c:idx val="2"/>
              <c:layout>
                <c:manualLayout>
                  <c:x val="3.1586885324185903E-3"/>
                  <c:y val="-5.26308635340555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11-BD49-B087-B03F0D55FF8A}"/>
                </c:ext>
              </c:extLst>
            </c:dLbl>
            <c:dLbl>
              <c:idx val="6"/>
              <c:layout>
                <c:manualLayout>
                  <c:x val="-3.3166229590395196E-2"/>
                  <c:y val="-4.63151599099689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11-BD49-B087-B03F0D55FF8A}"/>
                </c:ext>
              </c:extLst>
            </c:dLbl>
            <c:dLbl>
              <c:idx val="7"/>
              <c:layout>
                <c:manualLayout>
                  <c:x val="3.6324918122813674E-2"/>
                  <c:y val="-2.94732835790711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11-BD49-B087-B03F0D55FF8A}"/>
                </c:ext>
              </c:extLst>
            </c:dLbl>
            <c:dLbl>
              <c:idx val="8"/>
              <c:layout>
                <c:manualLayout>
                  <c:x val="-1.1055409863465067E-2"/>
                  <c:y val="-8.21041471131266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611-BD49-B087-B03F0D55FF8A}"/>
                </c:ext>
              </c:extLst>
            </c:dLbl>
            <c:dLbl>
              <c:idx val="9"/>
              <c:layout>
                <c:manualLayout>
                  <c:x val="4.7380327986278857E-3"/>
                  <c:y val="-8.42093816544889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611-BD49-B087-B03F0D55F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 RAW Data'!$AJ$2:$AJ$11</c:f>
              <c:numCache>
                <c:formatCode>0</c:formatCode>
                <c:ptCount val="10"/>
                <c:pt idx="0">
                  <c:v>218.67000000000002</c:v>
                </c:pt>
                <c:pt idx="1">
                  <c:v>183.73000000000002</c:v>
                </c:pt>
                <c:pt idx="2">
                  <c:v>530.5</c:v>
                </c:pt>
                <c:pt idx="3">
                  <c:v>316.97999999999996</c:v>
                </c:pt>
                <c:pt idx="4">
                  <c:v>409.16</c:v>
                </c:pt>
                <c:pt idx="5">
                  <c:v>122.53999999999999</c:v>
                </c:pt>
                <c:pt idx="6">
                  <c:v>11245.300000000001</c:v>
                </c:pt>
                <c:pt idx="7">
                  <c:v>17973.400000000001</c:v>
                </c:pt>
                <c:pt idx="8">
                  <c:v>1093.3900000000001</c:v>
                </c:pt>
                <c:pt idx="9">
                  <c:v>1445.73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11-BD49-B087-B03F0D55FF8A}"/>
            </c:ext>
          </c:extLst>
        </c:ser>
        <c:ser>
          <c:idx val="3"/>
          <c:order val="3"/>
          <c:tx>
            <c:v>sCPT-S</c:v>
          </c:tx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4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'All RAW Data'!$AH$2:$AH$11</c:f>
              <c:numCache>
                <c:formatCode>0</c:formatCode>
                <c:ptCount val="10"/>
                <c:pt idx="0">
                  <c:v>273.95999999999998</c:v>
                </c:pt>
                <c:pt idx="1">
                  <c:v>267.19</c:v>
                </c:pt>
                <c:pt idx="2">
                  <c:v>1407.36</c:v>
                </c:pt>
                <c:pt idx="3">
                  <c:v>325.85999999999996</c:v>
                </c:pt>
                <c:pt idx="4">
                  <c:v>2110.44</c:v>
                </c:pt>
                <c:pt idx="5">
                  <c:v>137.25</c:v>
                </c:pt>
                <c:pt idx="6">
                  <c:v>47792.200000000004</c:v>
                </c:pt>
                <c:pt idx="7">
                  <c:v>24385.200000000001</c:v>
                </c:pt>
                <c:pt idx="8">
                  <c:v>3429.22</c:v>
                </c:pt>
                <c:pt idx="9">
                  <c:v>4756.7199999999993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11-BD49-B087-B03F0D55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49711"/>
        <c:axId val="1021367279"/>
      </c:barChart>
      <c:catAx>
        <c:axId val="10878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021367279"/>
        <c:crosses val="autoZero"/>
        <c:auto val="1"/>
        <c:lblAlgn val="ctr"/>
        <c:lblOffset val="100"/>
        <c:noMultiLvlLbl val="0"/>
      </c:catAx>
      <c:valAx>
        <c:axId val="1021367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8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0878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</c:v>
                </c:pt>
                <c:pt idx="3">
                  <c:v>3158.4</c:v>
                </c:pt>
                <c:pt idx="4">
                  <c:v>2834.5</c:v>
                </c:pt>
                <c:pt idx="5">
                  <c:v>2536.1999999999998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23.474599999999999</c:v>
                </c:pt>
                <c:pt idx="1">
                  <c:v>15.491199999999999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B-9D44-96E1-A2A525CE862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9.2959999999999994</c:v>
                </c:pt>
                <c:pt idx="4">
                  <c:v>8.73</c:v>
                </c:pt>
                <c:pt idx="5">
                  <c:v>8.1449999999999996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162320206550576E-3"/>
                  <c:y val="-2.5737958772713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D7-0A4B-B57A-C85E738D3E45}"/>
                </c:ext>
              </c:extLst>
            </c:dLbl>
            <c:dLbl>
              <c:idx val="1"/>
              <c:layout>
                <c:manualLayout>
                  <c:x val="1.0702203253703151E-2"/>
                  <c:y val="-4.064621680732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D7-0A4B-B57A-C85E738D3E45}"/>
                </c:ext>
              </c:extLst>
            </c:dLbl>
            <c:dLbl>
              <c:idx val="2"/>
              <c:layout>
                <c:manualLayout>
                  <c:x val="-5.7627248289170811E-3"/>
                  <c:y val="6.5841340582760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D7-0A4B-B57A-C85E738D3E45}"/>
                </c:ext>
              </c:extLst>
            </c:dLbl>
            <c:dLbl>
              <c:idx val="3"/>
              <c:layout>
                <c:manualLayout>
                  <c:x val="-1.3995188870227196E-2"/>
                  <c:y val="4.4543829104743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D7-0A4B-B57A-C85E738D3E45}"/>
                </c:ext>
              </c:extLst>
            </c:dLbl>
            <c:dLbl>
              <c:idx val="4"/>
              <c:layout>
                <c:manualLayout>
                  <c:x val="-7.4092176371791038E-3"/>
                  <c:y val="4.6673580252544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D7-0A4B-B57A-C85E738D3E45}"/>
                </c:ext>
              </c:extLst>
            </c:dLbl>
            <c:dLbl>
              <c:idx val="5"/>
              <c:layout>
                <c:manualLayout>
                  <c:x val="-1.0702203253703271E-2"/>
                  <c:y val="4.0284326809139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D7-0A4B-B57A-C85E738D3E4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1.1839999999999999</c:v>
                </c:pt>
                <c:pt idx="1">
                  <c:v>1.179</c:v>
                </c:pt>
                <c:pt idx="2">
                  <c:v>1.2230000000000001</c:v>
                </c:pt>
                <c:pt idx="3">
                  <c:v>1.2829999999999999</c:v>
                </c:pt>
                <c:pt idx="4">
                  <c:v>1.3089999999999999</c:v>
                </c:pt>
                <c:pt idx="5">
                  <c:v>1.3839999999999999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D7-0A4B-B57A-C85E738D3E4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5401125189849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D7-0A4B-B57A-C85E738D3E45}"/>
                </c:ext>
              </c:extLst>
            </c:dLbl>
            <c:dLbl>
              <c:idx val="1"/>
              <c:layout>
                <c:manualLayout>
                  <c:x val="-7.812608375203299E-2"/>
                  <c:y val="-3.1946267217025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D7-0A4B-B57A-C85E738D3E45}"/>
                </c:ext>
              </c:extLst>
            </c:dLbl>
            <c:dLbl>
              <c:idx val="2"/>
              <c:layout>
                <c:manualLayout>
                  <c:x val="-3.696376354548242E-2"/>
                  <c:y val="-4.2595022956034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D7-0A4B-B57A-C85E738D3E45}"/>
                </c:ext>
              </c:extLst>
            </c:dLbl>
            <c:dLbl>
              <c:idx val="3"/>
              <c:layout>
                <c:manualLayout>
                  <c:x val="-5.8368170052888781E-2"/>
                  <c:y val="-5.537352984284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D7-0A4B-B57A-C85E738D3E45}"/>
                </c:ext>
              </c:extLst>
            </c:dLbl>
            <c:dLbl>
              <c:idx val="4"/>
              <c:layout>
                <c:manualLayout>
                  <c:x val="-6.9893619710722998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D7-0A4B-B57A-C85E738D3E45}"/>
                </c:ext>
              </c:extLst>
            </c:dLbl>
            <c:dLbl>
              <c:idx val="5"/>
              <c:layout>
                <c:manualLayout>
                  <c:x val="-3.3670777928958374E-2"/>
                  <c:y val="-5.537352984284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D7-0A4B-B57A-C85E738D3E4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0.93300000000000005</c:v>
                </c:pt>
                <c:pt idx="3">
                  <c:v>0.67700000000000005</c:v>
                </c:pt>
                <c:pt idx="4">
                  <c:v>0.56399999999999995</c:v>
                </c:pt>
                <c:pt idx="5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D7-0A4B-B57A-C85E738D3E4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081140798748202E-2"/>
                  <c:y val="4.3632008149446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D7-0A4B-B57A-C85E738D3E45}"/>
                </c:ext>
              </c:extLst>
            </c:dLbl>
            <c:dLbl>
              <c:idx val="3"/>
              <c:layout>
                <c:manualLayout>
                  <c:x val="-5.2339878565450602E-2"/>
                  <c:y val="2.473862133691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3D7-0A4B-B57A-C85E738D3E4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1.1499999999999999</c:v>
                </c:pt>
                <c:pt idx="1">
                  <c:v>1.17</c:v>
                </c:pt>
                <c:pt idx="2">
                  <c:v>1.1499999999999999</c:v>
                </c:pt>
                <c:pt idx="3">
                  <c:v>1.21</c:v>
                </c:pt>
                <c:pt idx="4">
                  <c:v>1.1599999999999999</c:v>
                </c:pt>
                <c:pt idx="5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3D7-0A4B-B57A-C85E738D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140.19999999999999</c:v>
                </c:pt>
                <c:pt idx="2">
                  <c:v>168.8</c:v>
                </c:pt>
                <c:pt idx="3">
                  <c:v>197.1</c:v>
                </c:pt>
                <c:pt idx="4">
                  <c:v>219</c:v>
                </c:pt>
                <c:pt idx="5">
                  <c:v>240.5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AF4E-8CAF-BB6695F62C6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10.417999999999999</c:v>
                </c:pt>
                <c:pt idx="1">
                  <c:v>11.542999999999999</c:v>
                </c:pt>
                <c:pt idx="2">
                  <c:v>12.314</c:v>
                </c:pt>
                <c:pt idx="3">
                  <c:v>12.589</c:v>
                </c:pt>
                <c:pt idx="4">
                  <c:v>12.794</c:v>
                </c:pt>
                <c:pt idx="5">
                  <c:v>12.929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F-AF4E-8CAF-BB6695F62C6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F-AF4E-8CAF-BB6695F6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</c:v>
                </c:pt>
                <c:pt idx="3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8-D64A-97A3-03B6CB226D97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23.213999999999999</c:v>
                </c:pt>
                <c:pt idx="3">
                  <c:v>13.843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8-D64A-97A3-03B6CB226D97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8-D64A-97A3-03B6CB22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65325896481671E-2"/>
                  <c:y val="4.69334304308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F2-4040-8635-654A70E2FB51}"/>
                </c:ext>
              </c:extLst>
            </c:dLbl>
            <c:dLbl>
              <c:idx val="1"/>
              <c:layout>
                <c:manualLayout>
                  <c:x val="3.0265718960137793E-2"/>
                  <c:y val="-1.94440409871021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F2-4040-8635-654A70E2FB51}"/>
                </c:ext>
              </c:extLst>
            </c:dLbl>
            <c:dLbl>
              <c:idx val="2"/>
              <c:layout>
                <c:manualLayout>
                  <c:x val="-7.8252816269408342E-3"/>
                  <c:y val="4.055806070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F2-4040-8635-654A70E2FB51}"/>
                </c:ext>
              </c:extLst>
            </c:dLbl>
            <c:dLbl>
              <c:idx val="3"/>
              <c:layout>
                <c:manualLayout>
                  <c:x val="1.8672805737983349E-2"/>
                  <c:y val="-1.4695143541198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F2-4040-8635-654A70E2FB5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0.43169999999999997</c:v>
                </c:pt>
                <c:pt idx="1">
                  <c:v>0.68179999999999996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2-4040-8635-654A70E2FB5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691511666330662E-3"/>
                  <c:y val="-3.6307646896215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F2-4040-8635-654A70E2FB51}"/>
                </c:ext>
              </c:extLst>
            </c:dLbl>
            <c:dLbl>
              <c:idx val="1"/>
              <c:layout>
                <c:manualLayout>
                  <c:x val="-5.2540804055250599E-2"/>
                  <c:y val="4.86972827203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F2-4040-8635-654A70E2FB51}"/>
                </c:ext>
              </c:extLst>
            </c:dLbl>
            <c:dLbl>
              <c:idx val="2"/>
              <c:layout>
                <c:manualLayout>
                  <c:x val="-1.6105933928479803E-2"/>
                  <c:y val="-4.4808139857874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F2-4040-8635-654A70E2FB51}"/>
                </c:ext>
              </c:extLst>
            </c:dLbl>
            <c:dLbl>
              <c:idx val="3"/>
              <c:layout>
                <c:manualLayout>
                  <c:x val="8.7360229761368549E-3"/>
                  <c:y val="-5.1183509579118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F2-4040-8635-654A70E2FB5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2.7848999999999999</c:v>
                </c:pt>
                <c:pt idx="1">
                  <c:v>2.2625000000000002</c:v>
                </c:pt>
                <c:pt idx="2">
                  <c:v>1.8178000000000001</c:v>
                </c:pt>
                <c:pt idx="3">
                  <c:v>1.2593000000000001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F2-4040-8635-654A70E2FB5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1.3463000000000001</c:v>
                </c:pt>
                <c:pt idx="2">
                  <c:v>0.7278</c:v>
                </c:pt>
                <c:pt idx="3">
                  <c:v>0.40110000000000001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F2-4040-8635-654A70E2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140.19999999999999</c:v>
                </c:pt>
                <c:pt idx="3">
                  <c:v>145.6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4-6243-A78B-09002E08428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</c:formatCode>
                <c:ptCount val="4"/>
                <c:pt idx="0">
                  <c:v>16.196000000000002</c:v>
                </c:pt>
                <c:pt idx="1">
                  <c:v>15.041</c:v>
                </c:pt>
                <c:pt idx="2">
                  <c:v>11.542999999999999</c:v>
                </c:pt>
                <c:pt idx="3">
                  <c:v>6.9244000000000003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4-6243-A78B-09002E08428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4-6243-A78B-09002E08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27424291931335E-2"/>
                  <c:y val="-3.8335520660430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E4-2C41-9E09-D86358EE871D}"/>
                </c:ext>
              </c:extLst>
            </c:dLbl>
            <c:dLbl>
              <c:idx val="1"/>
              <c:layout>
                <c:manualLayout>
                  <c:x val="-8.8886481024654532E-2"/>
                  <c:y val="-3.6205769512629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E4-2C41-9E09-D86358EE871D}"/>
                </c:ext>
              </c:extLst>
            </c:dLbl>
            <c:dLbl>
              <c:idx val="2"/>
              <c:layout>
                <c:manualLayout>
                  <c:x val="-0.11028507830836766"/>
                  <c:y val="-2.7686764921422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E4-2C41-9E09-D86358EE871D}"/>
                </c:ext>
              </c:extLst>
            </c:dLbl>
            <c:dLbl>
              <c:idx val="3"/>
              <c:layout>
                <c:manualLayout>
                  <c:x val="-9.0532526969555535E-2"/>
                  <c:y val="-1.7038009182413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E4-2C41-9E09-D86358EE871D}"/>
                </c:ext>
              </c:extLst>
            </c:dLbl>
            <c:dLbl>
              <c:idx val="4"/>
              <c:layout>
                <c:manualLayout>
                  <c:x val="-0.12674553775737776"/>
                  <c:y val="-1.0648755739008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E4-2C41-9E09-D86358EE871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136.61000000000001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E4-2C41-9E09-D86358EE871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2.8852000000000002</c:v>
                </c:pt>
                <c:pt idx="1">
                  <c:v>8.6217000000000006</c:v>
                </c:pt>
                <c:pt idx="2">
                  <c:v>32.975000000000001</c:v>
                </c:pt>
                <c:pt idx="3">
                  <c:v>133.30000000000001</c:v>
                </c:pt>
                <c:pt idx="4">
                  <c:v>535.53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E4-2C41-9E09-D86358EE871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6.4573999999999998</c:v>
                </c:pt>
                <c:pt idx="2">
                  <c:v>28.422000000000001</c:v>
                </c:pt>
                <c:pt idx="3">
                  <c:v>123.14</c:v>
                </c:pt>
                <c:pt idx="4">
                  <c:v>516.45000000000005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E4-2C41-9E09-D86358EE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760408323029347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7-6747-8744-9B91A4BA03E5}"/>
                </c:ext>
              </c:extLst>
            </c:dLbl>
            <c:dLbl>
              <c:idx val="1"/>
              <c:layout>
                <c:manualLayout>
                  <c:x val="-4.5636682712372305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7-6747-8744-9B91A4BA03E5}"/>
                </c:ext>
              </c:extLst>
            </c:dLbl>
            <c:dLbl>
              <c:idx val="2"/>
              <c:layout>
                <c:manualLayout>
                  <c:x val="-5.4301527453945141E-2"/>
                  <c:y val="-4.70354564745892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7-6747-8744-9B91A4BA03E5}"/>
                </c:ext>
              </c:extLst>
            </c:dLbl>
            <c:dLbl>
              <c:idx val="3"/>
              <c:layout>
                <c:manualLayout>
                  <c:x val="-6.1167851891083445E-2"/>
                  <c:y val="-4.7153504190225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7-6747-8744-9B91A4BA03E5}"/>
                </c:ext>
              </c:extLst>
            </c:dLbl>
            <c:dLbl>
              <c:idx val="4"/>
              <c:layout>
                <c:manualLayout>
                  <c:x val="-8.2756019826631833E-2"/>
                  <c:y val="-4.7153504190225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7-6747-8744-9B91A4BA03E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0.21460000000000001</c:v>
                </c:pt>
                <c:pt idx="1">
                  <c:v>0.41439999999999999</c:v>
                </c:pt>
                <c:pt idx="2">
                  <c:v>0.82530000000000003</c:v>
                </c:pt>
                <c:pt idx="3">
                  <c:v>1.6207</c:v>
                </c:pt>
                <c:pt idx="4">
                  <c:v>3.2633000000000001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27-6747-8744-9B91A4BA03E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602989322736441E-2"/>
                  <c:y val="2.31086384383524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7-6747-8744-9B91A4BA03E5}"/>
                </c:ext>
              </c:extLst>
            </c:dLbl>
            <c:dLbl>
              <c:idx val="1"/>
              <c:layout>
                <c:manualLayout>
                  <c:x val="3.8682074691593245E-2"/>
                  <c:y val="1.295961958284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7-6747-8744-9B91A4BA03E5}"/>
                </c:ext>
              </c:extLst>
            </c:dLbl>
            <c:dLbl>
              <c:idx val="2"/>
              <c:layout>
                <c:manualLayout>
                  <c:x val="2.5513708839135969E-2"/>
                  <c:y val="-4.2413910260000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7-6747-8744-9B91A4BA03E5}"/>
                </c:ext>
              </c:extLst>
            </c:dLbl>
            <c:dLbl>
              <c:idx val="3"/>
              <c:layout>
                <c:manualLayout>
                  <c:x val="-5.7611600604500577E-3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7-6747-8744-9B91A4BA03E5}"/>
                </c:ext>
              </c:extLst>
            </c:dLbl>
            <c:dLbl>
              <c:idx val="4"/>
              <c:layout>
                <c:manualLayout>
                  <c:x val="-1.2345342986678816E-2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7-6747-8744-9B91A4BA03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0.40078000000000003</c:v>
                </c:pt>
                <c:pt idx="1">
                  <c:v>0.93627000000000005</c:v>
                </c:pt>
                <c:pt idx="2">
                  <c:v>2.5071699999999999</c:v>
                </c:pt>
                <c:pt idx="3">
                  <c:v>9.2869399999999995</c:v>
                </c:pt>
                <c:pt idx="4">
                  <c:v>35.579599999999999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27-6747-8744-9B91A4BA03E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1329789862618874E-2"/>
                  <c:y val="3.6445077363413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7-6747-8744-9B91A4BA03E5}"/>
                </c:ext>
              </c:extLst>
            </c:dLbl>
            <c:dLbl>
              <c:idx val="1"/>
              <c:layout>
                <c:manualLayout>
                  <c:x val="7.4516819040521282E-3"/>
                  <c:y val="2.930600122732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7-6747-8744-9B91A4BA03E5}"/>
                </c:ext>
              </c:extLst>
            </c:dLbl>
            <c:dLbl>
              <c:idx val="2"/>
              <c:layout>
                <c:manualLayout>
                  <c:x val="1.8245765871826206E-2"/>
                  <c:y val="2.930600122732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427-6747-8744-9B91A4BA03E5}"/>
                </c:ext>
              </c:extLst>
            </c:dLbl>
            <c:dLbl>
              <c:idx val="3"/>
              <c:layout>
                <c:manualLayout>
                  <c:x val="8.9936938994483202E-3"/>
                  <c:y val="1.9787233045865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7-6747-8744-9B91A4BA03E5}"/>
                </c:ext>
              </c:extLst>
            </c:dLbl>
            <c:dLbl>
              <c:idx val="4"/>
              <c:layout>
                <c:manualLayout>
                  <c:x val="1.5161741881033541E-2"/>
                  <c:y val="2.4546617136593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7-6747-8744-9B91A4BA03E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0.23710000000000001</c:v>
                </c:pt>
                <c:pt idx="1">
                  <c:v>0.40699999999999997</c:v>
                </c:pt>
                <c:pt idx="2">
                  <c:v>0.81459999999999999</c:v>
                </c:pt>
                <c:pt idx="3">
                  <c:v>1.6174999999999999</c:v>
                </c:pt>
                <c:pt idx="4">
                  <c:v>3.3256999999999999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27-6747-8744-9B91A4BA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162320206550576E-3"/>
                  <c:y val="-2.5737958772713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F3-224E-A1E3-B8FC3A670BCF}"/>
                </c:ext>
              </c:extLst>
            </c:dLbl>
            <c:dLbl>
              <c:idx val="1"/>
              <c:layout>
                <c:manualLayout>
                  <c:x val="1.0702203253703151E-2"/>
                  <c:y val="-4.064621680732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F3-224E-A1E3-B8FC3A670BCF}"/>
                </c:ext>
              </c:extLst>
            </c:dLbl>
            <c:dLbl>
              <c:idx val="2"/>
              <c:layout>
                <c:manualLayout>
                  <c:x val="-5.7627248289170811E-3"/>
                  <c:y val="6.5841340582760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F3-224E-A1E3-B8FC3A670BCF}"/>
                </c:ext>
              </c:extLst>
            </c:dLbl>
            <c:dLbl>
              <c:idx val="3"/>
              <c:layout>
                <c:manualLayout>
                  <c:x val="-1.3995188870227196E-2"/>
                  <c:y val="4.4543829104743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F3-224E-A1E3-B8FC3A670BCF}"/>
                </c:ext>
              </c:extLst>
            </c:dLbl>
            <c:dLbl>
              <c:idx val="4"/>
              <c:layout>
                <c:manualLayout>
                  <c:x val="-7.4092176371791038E-3"/>
                  <c:y val="4.6673580252544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F3-224E-A1E3-B8FC3A670BCF}"/>
                </c:ext>
              </c:extLst>
            </c:dLbl>
            <c:dLbl>
              <c:idx val="5"/>
              <c:layout>
                <c:manualLayout>
                  <c:x val="-1.0702203253703271E-2"/>
                  <c:y val="4.0284326809139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F3-224E-A1E3-B8FC3A670BC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1.1839999999999999</c:v>
                </c:pt>
                <c:pt idx="1">
                  <c:v>1.179</c:v>
                </c:pt>
                <c:pt idx="2">
                  <c:v>1.2230000000000001</c:v>
                </c:pt>
                <c:pt idx="3">
                  <c:v>1.2829999999999999</c:v>
                </c:pt>
                <c:pt idx="4">
                  <c:v>1.3089999999999999</c:v>
                </c:pt>
                <c:pt idx="5">
                  <c:v>1.3839999999999999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F3-224E-A1E3-B8FC3A670BCF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5401125189849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F3-224E-A1E3-B8FC3A670BCF}"/>
                </c:ext>
              </c:extLst>
            </c:dLbl>
            <c:dLbl>
              <c:idx val="1"/>
              <c:layout>
                <c:manualLayout>
                  <c:x val="-7.812608375203299E-2"/>
                  <c:y val="-3.1946267217025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F3-224E-A1E3-B8FC3A670BCF}"/>
                </c:ext>
              </c:extLst>
            </c:dLbl>
            <c:dLbl>
              <c:idx val="2"/>
              <c:layout>
                <c:manualLayout>
                  <c:x val="-3.696376354548242E-2"/>
                  <c:y val="-4.2595022956034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F3-224E-A1E3-B8FC3A670BCF}"/>
                </c:ext>
              </c:extLst>
            </c:dLbl>
            <c:dLbl>
              <c:idx val="3"/>
              <c:layout>
                <c:manualLayout>
                  <c:x val="-5.8368170052888781E-2"/>
                  <c:y val="-5.537352984284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F3-224E-A1E3-B8FC3A670BCF}"/>
                </c:ext>
              </c:extLst>
            </c:dLbl>
            <c:dLbl>
              <c:idx val="4"/>
              <c:layout>
                <c:manualLayout>
                  <c:x val="-6.9893619710722998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F3-224E-A1E3-B8FC3A670BCF}"/>
                </c:ext>
              </c:extLst>
            </c:dLbl>
            <c:dLbl>
              <c:idx val="5"/>
              <c:layout>
                <c:manualLayout>
                  <c:x val="-3.3670777928958374E-2"/>
                  <c:y val="-5.537352984284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F3-224E-A1E3-B8FC3A670BC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0.93300000000000005</c:v>
                </c:pt>
                <c:pt idx="3">
                  <c:v>0.67700000000000005</c:v>
                </c:pt>
                <c:pt idx="4">
                  <c:v>0.56399999999999995</c:v>
                </c:pt>
                <c:pt idx="5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F3-224E-A1E3-B8FC3A670BCF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1.1499999999999999</c:v>
                </c:pt>
                <c:pt idx="1">
                  <c:v>1.17</c:v>
                </c:pt>
                <c:pt idx="2">
                  <c:v>1.1499999999999999</c:v>
                </c:pt>
                <c:pt idx="3">
                  <c:v>1.21</c:v>
                </c:pt>
                <c:pt idx="4">
                  <c:v>1.1599999999999999</c:v>
                </c:pt>
                <c:pt idx="5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F3-224E-A1E3-B8FC3A67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5712567599253275E-2"/>
                  <c:y val="-4.7652059112412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370-374A-8692-2C19D9AA7FC9}"/>
                </c:ext>
              </c:extLst>
            </c:dLbl>
            <c:dLbl>
              <c:idx val="1"/>
              <c:layout>
                <c:manualLayout>
                  <c:x val="9.7501988908666268E-3"/>
                  <c:y val="-3.8032648808774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70-374A-8692-2C19D9AA7FC9}"/>
                </c:ext>
              </c:extLst>
            </c:dLbl>
            <c:dLbl>
              <c:idx val="2"/>
              <c:layout>
                <c:manualLayout>
                  <c:x val="-1.0266187631255242E-2"/>
                  <c:y val="-5.0056911688322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70-374A-8692-2C19D9AA7FC9}"/>
                </c:ext>
              </c:extLst>
            </c:dLbl>
            <c:dLbl>
              <c:idx val="3"/>
              <c:layout>
                <c:manualLayout>
                  <c:x val="-6.5018806396507797E-2"/>
                  <c:y val="-2.1478456477109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70-374A-8692-2C19D9AA7FC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39.338999999999999</c:v>
                </c:pt>
                <c:pt idx="1">
                  <c:v>77.602999999999994</c:v>
                </c:pt>
                <c:pt idx="2">
                  <c:v>155.13</c:v>
                </c:pt>
                <c:pt idx="3">
                  <c:v>310.72000000000003</c:v>
                </c:pt>
                <c:pt idx="4">
                  <c:v>628.12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0-374A-8692-2C19D9AA7FC9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018806396507797E-2"/>
                  <c:y val="-2.3608207624911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70-374A-8692-2C19D9AA7FC9}"/>
                </c:ext>
              </c:extLst>
            </c:dLbl>
            <c:dLbl>
              <c:idx val="1"/>
              <c:layout>
                <c:manualLayout>
                  <c:x val="2.514741929249888E-2"/>
                  <c:y val="-2.8413238505136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70-374A-8692-2C19D9AA7FC9}"/>
                </c:ext>
              </c:extLst>
            </c:dLbl>
            <c:dLbl>
              <c:idx val="2"/>
              <c:layout>
                <c:manualLayout>
                  <c:x val="6.670754810540234E-3"/>
                  <c:y val="-3.56277962328647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70-374A-8692-2C19D9AA7FC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HYBRID'!$B$15:$F$15</c:f>
              <c:numCache>
                <c:formatCode>0.0</c:formatCode>
                <c:ptCount val="5"/>
                <c:pt idx="0">
                  <c:v>4.9820000000000002</c:v>
                </c:pt>
                <c:pt idx="1">
                  <c:v>9.8733000000000004</c:v>
                </c:pt>
                <c:pt idx="2">
                  <c:v>19.581</c:v>
                </c:pt>
                <c:pt idx="3">
                  <c:v>39.14</c:v>
                </c:pt>
                <c:pt idx="4">
                  <c:v>78.849000000000004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0-374A-8692-2C19D9AA7FC9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566045710104047E-3"/>
                  <c:y val="-7.29030111594628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370-374A-8692-2C19D9AA7FC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CPT'!$B$15:$F$15</c:f>
              <c:numCache>
                <c:formatCode>0.0</c:formatCode>
                <c:ptCount val="5"/>
                <c:pt idx="0">
                  <c:v>77.650999999999996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70-374A-8692-2C19D9AA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14362591472214E-2"/>
                  <c:y val="-6.1581670590216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BF-8B44-A4C4-2079C9DC4D56}"/>
                </c:ext>
              </c:extLst>
            </c:dLbl>
            <c:dLbl>
              <c:idx val="1"/>
              <c:layout>
                <c:manualLayout>
                  <c:x val="2.1851192281471227E-2"/>
                  <c:y val="2.360837532185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BF-8B44-A4C4-2079C9DC4D56}"/>
                </c:ext>
              </c:extLst>
            </c:dLbl>
            <c:dLbl>
              <c:idx val="2"/>
              <c:layout>
                <c:manualLayout>
                  <c:x val="-9.9956191853758564E-2"/>
                  <c:y val="-4.241391026000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BF-8B44-A4C4-2079C9DC4D5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BF-8B44-A4C4-2079C9DC4D56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849688806629808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BF-8B44-A4C4-2079C9DC4D56}"/>
                </c:ext>
              </c:extLst>
            </c:dLbl>
            <c:dLbl>
              <c:idx val="1"/>
              <c:layout>
                <c:manualLayout>
                  <c:x val="-7.0327368685729696E-2"/>
                  <c:y val="-4.88031637034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BF-8B44-A4C4-2079C9DC4D56}"/>
                </c:ext>
              </c:extLst>
            </c:dLbl>
            <c:dLbl>
              <c:idx val="2"/>
              <c:layout>
                <c:manualLayout>
                  <c:x val="3.3373512402371346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BF-8B44-A4C4-2079C9DC4D5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0.72785299999999997</c:v>
                </c:pt>
                <c:pt idx="1">
                  <c:v>0.394067</c:v>
                </c:pt>
                <c:pt idx="2">
                  <c:v>0.27705099999999999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BF-8B44-A4C4-2079C9DC4D56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CPT'!$B$19:$D$19</c:f>
              <c:numCache>
                <c:formatCode>0.0</c:formatCode>
                <c:ptCount val="3"/>
                <c:pt idx="0">
                  <c:v>0.29499999999999998</c:v>
                </c:pt>
                <c:pt idx="1">
                  <c:v>0.23699999999999999</c:v>
                </c:pt>
                <c:pt idx="2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BF-8B44-A4C4-2079C9DC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140.19999999999999</c:v>
                </c:pt>
                <c:pt idx="2">
                  <c:v>168.8</c:v>
                </c:pt>
                <c:pt idx="3">
                  <c:v>197.1</c:v>
                </c:pt>
                <c:pt idx="4">
                  <c:v>219</c:v>
                </c:pt>
                <c:pt idx="5">
                  <c:v>240.5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C-1941-9218-ECD12BA8EAF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10.417999999999999</c:v>
                </c:pt>
                <c:pt idx="1">
                  <c:v>11.542999999999999</c:v>
                </c:pt>
                <c:pt idx="2">
                  <c:v>12.314</c:v>
                </c:pt>
                <c:pt idx="3">
                  <c:v>12.589</c:v>
                </c:pt>
                <c:pt idx="4">
                  <c:v>12.794</c:v>
                </c:pt>
                <c:pt idx="5">
                  <c:v>12.929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C-1941-9218-ECD12BA8EAF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C-1941-9218-ECD12BA8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</a:t>
            </a:r>
            <a:r>
              <a:rPr lang="en-US" sz="1600" baseline="0"/>
              <a:t> Length</a:t>
            </a:r>
            <a:r>
              <a:rPr lang="en-US" sz="1600"/>
              <a:t>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</c:v>
                </c:pt>
                <c:pt idx="3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D-704D-8D46-D069D4C3CD52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23.213999999999999</c:v>
                </c:pt>
                <c:pt idx="3">
                  <c:v>13.843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D-704D-8D46-D069D4C3CD52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D-704D-8D46-D069D4C3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65325896481671E-2"/>
                  <c:y val="4.69334304308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2-F148-BCDC-3B4F9BBB0AC0}"/>
                </c:ext>
              </c:extLst>
            </c:dLbl>
            <c:dLbl>
              <c:idx val="1"/>
              <c:layout>
                <c:manualLayout>
                  <c:x val="3.0265718960137793E-2"/>
                  <c:y val="-1.94440409871021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F2-F148-BCDC-3B4F9BBB0AC0}"/>
                </c:ext>
              </c:extLst>
            </c:dLbl>
            <c:dLbl>
              <c:idx val="2"/>
              <c:layout>
                <c:manualLayout>
                  <c:x val="-7.8252816269408342E-3"/>
                  <c:y val="4.055806070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F2-F148-BCDC-3B4F9BBB0AC0}"/>
                </c:ext>
              </c:extLst>
            </c:dLbl>
            <c:dLbl>
              <c:idx val="3"/>
              <c:layout>
                <c:manualLayout>
                  <c:x val="1.8672805737983349E-2"/>
                  <c:y val="-1.4695143541198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F2-F148-BCDC-3B4F9BBB0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0.43169999999999997</c:v>
                </c:pt>
                <c:pt idx="1">
                  <c:v>0.68179999999999996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F2-F148-BCDC-3B4F9BBB0AC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691511666330662E-3"/>
                  <c:y val="-3.6307646896215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F2-F148-BCDC-3B4F9BBB0AC0}"/>
                </c:ext>
              </c:extLst>
            </c:dLbl>
            <c:dLbl>
              <c:idx val="1"/>
              <c:layout>
                <c:manualLayout>
                  <c:x val="-5.2540804055250599E-2"/>
                  <c:y val="4.86972827203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F2-F148-BCDC-3B4F9BBB0AC0}"/>
                </c:ext>
              </c:extLst>
            </c:dLbl>
            <c:dLbl>
              <c:idx val="2"/>
              <c:layout>
                <c:manualLayout>
                  <c:x val="-1.6105933928479803E-2"/>
                  <c:y val="-4.4808139857874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F2-F148-BCDC-3B4F9BBB0AC0}"/>
                </c:ext>
              </c:extLst>
            </c:dLbl>
            <c:dLbl>
              <c:idx val="3"/>
              <c:layout>
                <c:manualLayout>
                  <c:x val="8.7360229761368549E-3"/>
                  <c:y val="-5.1183509579118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F2-F148-BCDC-3B4F9BBB0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2.7848999999999999</c:v>
                </c:pt>
                <c:pt idx="1">
                  <c:v>2.2625000000000002</c:v>
                </c:pt>
                <c:pt idx="2">
                  <c:v>1.8178000000000001</c:v>
                </c:pt>
                <c:pt idx="3">
                  <c:v>1.2593000000000001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F2-F148-BCDC-3B4F9BBB0AC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1.3463000000000001</c:v>
                </c:pt>
                <c:pt idx="2">
                  <c:v>0.7278</c:v>
                </c:pt>
                <c:pt idx="3">
                  <c:v>0.40110000000000001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F2-F148-BCDC-3B4F9BBB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140.19999999999999</c:v>
                </c:pt>
                <c:pt idx="3">
                  <c:v>145.6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2-DD40-80A3-E02A8D4EE55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</c:formatCode>
                <c:ptCount val="4"/>
                <c:pt idx="0">
                  <c:v>16.196000000000002</c:v>
                </c:pt>
                <c:pt idx="1">
                  <c:v>15.041</c:v>
                </c:pt>
                <c:pt idx="2">
                  <c:v>11.542999999999999</c:v>
                </c:pt>
                <c:pt idx="3">
                  <c:v>6.9244000000000003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2-DD40-80A3-E02A8D4EE55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2-DD40-80A3-E02A8D4E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27424291931335E-2"/>
                  <c:y val="-3.8335520660430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08-9647-B270-DF955DFD0F2E}"/>
                </c:ext>
              </c:extLst>
            </c:dLbl>
            <c:dLbl>
              <c:idx val="1"/>
              <c:layout>
                <c:manualLayout>
                  <c:x val="-8.8886481024654532E-2"/>
                  <c:y val="-3.6205769512629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08-9647-B270-DF955DFD0F2E}"/>
                </c:ext>
              </c:extLst>
            </c:dLbl>
            <c:dLbl>
              <c:idx val="2"/>
              <c:layout>
                <c:manualLayout>
                  <c:x val="-0.11028507830836766"/>
                  <c:y val="-2.7686764921422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08-9647-B270-DF955DFD0F2E}"/>
                </c:ext>
              </c:extLst>
            </c:dLbl>
            <c:dLbl>
              <c:idx val="3"/>
              <c:layout>
                <c:manualLayout>
                  <c:x val="-9.0532526969555535E-2"/>
                  <c:y val="-1.7038009182413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08-9647-B270-DF955DFD0F2E}"/>
                </c:ext>
              </c:extLst>
            </c:dLbl>
            <c:dLbl>
              <c:idx val="4"/>
              <c:layout>
                <c:manualLayout>
                  <c:x val="-0.12674553775737776"/>
                  <c:y val="-1.0648755739008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08-9647-B270-DF955DFD0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136.61000000000001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08-9647-B270-DF955DFD0F2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2.8852000000000002</c:v>
                </c:pt>
                <c:pt idx="1">
                  <c:v>8.6217000000000006</c:v>
                </c:pt>
                <c:pt idx="2">
                  <c:v>32.975000000000001</c:v>
                </c:pt>
                <c:pt idx="3">
                  <c:v>133.30000000000001</c:v>
                </c:pt>
                <c:pt idx="4">
                  <c:v>535.53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08-9647-B270-DF955DFD0F2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6.4573999999999998</c:v>
                </c:pt>
                <c:pt idx="2">
                  <c:v>28.422000000000001</c:v>
                </c:pt>
                <c:pt idx="3">
                  <c:v>123.14</c:v>
                </c:pt>
                <c:pt idx="4">
                  <c:v>516.45000000000005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08-9647-B270-DF955DFD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760408323029347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D-434C-8CBA-20DF4D95CEE3}"/>
                </c:ext>
              </c:extLst>
            </c:dLbl>
            <c:dLbl>
              <c:idx val="1"/>
              <c:layout>
                <c:manualLayout>
                  <c:x val="-4.5636682712372305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2D-434C-8CBA-20DF4D95CEE3}"/>
                </c:ext>
              </c:extLst>
            </c:dLbl>
            <c:dLbl>
              <c:idx val="2"/>
              <c:layout>
                <c:manualLayout>
                  <c:x val="-8.5141780269744186E-2"/>
                  <c:y val="-4.7035470250730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D-434C-8CBA-20DF4D95CEE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0.21460000000000001</c:v>
                </c:pt>
                <c:pt idx="1">
                  <c:v>0.41439999999999999</c:v>
                </c:pt>
                <c:pt idx="2">
                  <c:v>0.82530000000000003</c:v>
                </c:pt>
                <c:pt idx="3">
                  <c:v>1.6207</c:v>
                </c:pt>
                <c:pt idx="4">
                  <c:v>3.2633000000000001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D-434C-8CBA-20DF4D95CEE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602989322736441E-2"/>
                  <c:y val="2.31086384383524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D-434C-8CBA-20DF4D95CEE3}"/>
                </c:ext>
              </c:extLst>
            </c:dLbl>
            <c:dLbl>
              <c:idx val="1"/>
              <c:layout>
                <c:manualLayout>
                  <c:x val="3.8682074691593245E-2"/>
                  <c:y val="1.295961958284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2D-434C-8CBA-20DF4D95CEE3}"/>
                </c:ext>
              </c:extLst>
            </c:dLbl>
            <c:dLbl>
              <c:idx val="2"/>
              <c:layout>
                <c:manualLayout>
                  <c:x val="2.5513708839135969E-2"/>
                  <c:y val="-4.2413910260000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D-434C-8CBA-20DF4D95CEE3}"/>
                </c:ext>
              </c:extLst>
            </c:dLbl>
            <c:dLbl>
              <c:idx val="3"/>
              <c:layout>
                <c:manualLayout>
                  <c:x val="-5.7611600604500577E-3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2D-434C-8CBA-20DF4D95CEE3}"/>
                </c:ext>
              </c:extLst>
            </c:dLbl>
            <c:dLbl>
              <c:idx val="4"/>
              <c:layout>
                <c:manualLayout>
                  <c:x val="-1.2345342986678816E-2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2D-434C-8CBA-20DF4D95CE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0.40078000000000003</c:v>
                </c:pt>
                <c:pt idx="1">
                  <c:v>0.93627000000000005</c:v>
                </c:pt>
                <c:pt idx="2">
                  <c:v>2.5071699999999999</c:v>
                </c:pt>
                <c:pt idx="3">
                  <c:v>9.2869399999999995</c:v>
                </c:pt>
                <c:pt idx="4">
                  <c:v>35.579599999999999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2D-434C-8CBA-20DF4D95CEE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0.23710000000000001</c:v>
                </c:pt>
                <c:pt idx="1">
                  <c:v>0.40699999999999997</c:v>
                </c:pt>
                <c:pt idx="2">
                  <c:v>0.81459999999999999</c:v>
                </c:pt>
                <c:pt idx="3">
                  <c:v>1.6174999999999999</c:v>
                </c:pt>
                <c:pt idx="4">
                  <c:v>3.3256999999999999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2D-434C-8CBA-20DF4D95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/>
              <a:t>Variable input Seq. number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5018806396507797E-2"/>
                  <c:y val="-2.1478456477109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C6-6941-AF0D-D5970E476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39.338999999999999</c:v>
                </c:pt>
                <c:pt idx="1">
                  <c:v>77.602999999999994</c:v>
                </c:pt>
                <c:pt idx="2">
                  <c:v>155.13</c:v>
                </c:pt>
                <c:pt idx="3">
                  <c:v>310.72000000000003</c:v>
                </c:pt>
                <c:pt idx="4">
                  <c:v>628.12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6-6941-AF0D-D5970E4763F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018806396507797E-2"/>
                  <c:y val="-2.3608207624911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C6-6941-AF0D-D5970E476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HYBRID'!$B$15:$F$15</c:f>
              <c:numCache>
                <c:formatCode>0.0</c:formatCode>
                <c:ptCount val="5"/>
                <c:pt idx="0">
                  <c:v>4.9820000000000002</c:v>
                </c:pt>
                <c:pt idx="1">
                  <c:v>9.8733000000000004</c:v>
                </c:pt>
                <c:pt idx="2">
                  <c:v>19.581</c:v>
                </c:pt>
                <c:pt idx="3">
                  <c:v>39.14</c:v>
                </c:pt>
                <c:pt idx="4">
                  <c:v>78.849000000000004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6-6941-AF0D-D5970E4763F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CPT'!$B$15:$F$15</c:f>
              <c:numCache>
                <c:formatCode>0.0</c:formatCode>
                <c:ptCount val="5"/>
                <c:pt idx="0">
                  <c:v>77.650999999999996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6-6941-AF0D-D5970E47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37540-7869-CC44-AD8E-7785C32207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4CB95-1DE4-914E-B325-A834C0A2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F7D88-9F81-FB4F-ACE8-B0448487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AB4B1F-B8EB-6042-917C-7A3C4D6A2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D2C9FA-83DD-A04E-AA7A-A99060986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C4ADE-EE65-5943-994C-6EDEE463F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92B203-30BA-BC4B-8191-CD527C17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429BD7-D26A-2A4D-9BC3-AA68737B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D7CFD4-4571-1D49-A7CD-4B10ABE01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4B5225-4C5D-F943-B871-01DB11EBB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11</xdr:col>
      <xdr:colOff>611812</xdr:colOff>
      <xdr:row>36</xdr:row>
      <xdr:rowOff>139782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CD7BA-2E25-7C45-9947-E5E3F23F3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CB375-F451-9D45-BC19-B7E4BBC0AA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3B8090-3C7B-6A40-8F24-3863BA4E3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DA3D5-2A31-6145-9F77-B32BC9E82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2EBD22-BD9C-9C4A-AC02-577620246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E7568E-EBFE-2345-A49E-17D5D79BE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2563F3-670C-BC4B-9418-51C102FCC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266E2A-938E-5549-AEF5-29370564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3B7A2D-35A0-3746-89C1-73DC3788E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5E8062-82DD-354D-866E-725AACBBF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19DCC6-97CA-D94A-99B5-AB9153A0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0"/>
  <sheetViews>
    <sheetView topLeftCell="A3" workbookViewId="0">
      <selection activeCell="E49" sqref="E49"/>
    </sheetView>
  </sheetViews>
  <sheetFormatPr baseColWidth="10" defaultRowHeight="16" x14ac:dyDescent="0.2"/>
  <cols>
    <col min="2" max="4" width="24.1640625" customWidth="1"/>
    <col min="5" max="6" width="27.1640625" customWidth="1"/>
    <col min="7" max="7" width="51.6640625" customWidth="1"/>
    <col min="8" max="8" width="34.6640625" customWidth="1"/>
    <col min="9" max="9" width="17.5" customWidth="1"/>
    <col min="11" max="11" width="20.5" customWidth="1"/>
    <col min="12" max="12" width="29.1640625" customWidth="1"/>
    <col min="13" max="13" width="43.1640625" customWidth="1"/>
    <col min="14" max="14" width="55.83203125" customWidth="1"/>
    <col min="15" max="15" width="31.6640625" customWidth="1"/>
    <col min="16" max="16" width="14.83203125" customWidth="1"/>
    <col min="18" max="19" width="40.1640625" customWidth="1"/>
    <col min="20" max="20" width="35.1640625" customWidth="1"/>
    <col min="21" max="21" width="17.6640625" customWidth="1"/>
    <col min="22" max="22" width="15" customWidth="1"/>
    <col min="23" max="24" width="17.83203125" customWidth="1"/>
    <col min="25" max="25" width="37.6640625" customWidth="1"/>
    <col min="26" max="26" width="17.83203125" customWidth="1"/>
    <col min="27" max="27" width="11.1640625" hidden="1" customWidth="1"/>
    <col min="28" max="28" width="12.83203125" bestFit="1" customWidth="1"/>
    <col min="29" max="29" width="22.33203125" hidden="1" customWidth="1"/>
    <col min="30" max="30" width="13.83203125" bestFit="1" customWidth="1"/>
    <col min="31" max="31" width="21.6640625" hidden="1" customWidth="1"/>
    <col min="32" max="32" width="45.6640625" customWidth="1"/>
    <col min="33" max="33" width="20.5" hidden="1" customWidth="1"/>
    <col min="34" max="34" width="48.5" customWidth="1"/>
    <col min="35" max="35" width="21.6640625" hidden="1" customWidth="1"/>
    <col min="36" max="36" width="48.5" customWidth="1"/>
    <col min="37" max="37" width="23.5" customWidth="1"/>
    <col min="38" max="38" width="33.83203125" customWidth="1"/>
    <col min="40" max="40" width="17.33203125" bestFit="1" customWidth="1"/>
    <col min="41" max="41" width="16.33203125" bestFit="1" customWidth="1"/>
    <col min="42" max="42" width="19.5" bestFit="1" customWidth="1"/>
  </cols>
  <sheetData>
    <row r="1" spans="1:42" x14ac:dyDescent="0.2">
      <c r="A1" s="1" t="s">
        <v>1</v>
      </c>
      <c r="B1" s="2" t="s">
        <v>17</v>
      </c>
      <c r="C1" s="2" t="s">
        <v>28</v>
      </c>
      <c r="D1" s="2" t="s">
        <v>18</v>
      </c>
      <c r="E1" s="1" t="s">
        <v>0</v>
      </c>
      <c r="F1" s="1" t="s">
        <v>41</v>
      </c>
      <c r="G1" s="1" t="s">
        <v>40</v>
      </c>
      <c r="H1" s="1" t="s">
        <v>22</v>
      </c>
      <c r="I1" t="s">
        <v>19</v>
      </c>
      <c r="J1" t="s">
        <v>11</v>
      </c>
      <c r="K1" t="s">
        <v>30</v>
      </c>
      <c r="L1" t="s">
        <v>29</v>
      </c>
      <c r="M1" t="s">
        <v>37</v>
      </c>
      <c r="N1" t="s">
        <v>38</v>
      </c>
      <c r="O1" t="s">
        <v>12</v>
      </c>
      <c r="P1" t="s">
        <v>13</v>
      </c>
      <c r="Q1" t="s">
        <v>14</v>
      </c>
      <c r="R1" t="s">
        <v>23</v>
      </c>
      <c r="S1" t="s">
        <v>39</v>
      </c>
      <c r="T1" t="s">
        <v>42</v>
      </c>
      <c r="U1" t="s">
        <v>24</v>
      </c>
      <c r="V1" t="s">
        <v>15</v>
      </c>
      <c r="W1" t="s">
        <v>55</v>
      </c>
      <c r="X1" t="s">
        <v>60</v>
      </c>
      <c r="Y1" t="s">
        <v>56</v>
      </c>
      <c r="Z1" t="s">
        <v>43</v>
      </c>
      <c r="AA1" t="s">
        <v>31</v>
      </c>
      <c r="AB1" t="s">
        <v>47</v>
      </c>
      <c r="AC1" t="s">
        <v>32</v>
      </c>
      <c r="AD1" t="s">
        <v>46</v>
      </c>
      <c r="AE1" t="s">
        <v>33</v>
      </c>
      <c r="AF1" t="s">
        <v>48</v>
      </c>
      <c r="AG1" t="s">
        <v>34</v>
      </c>
      <c r="AH1" t="s">
        <v>52</v>
      </c>
      <c r="AI1" t="s">
        <v>57</v>
      </c>
      <c r="AJ1" t="s">
        <v>58</v>
      </c>
      <c r="AK1" t="s">
        <v>51</v>
      </c>
      <c r="AL1" t="s">
        <v>53</v>
      </c>
      <c r="AN1" t="s">
        <v>61</v>
      </c>
      <c r="AO1" t="s">
        <v>62</v>
      </c>
      <c r="AP1" t="s">
        <v>63</v>
      </c>
    </row>
    <row r="2" spans="1:42" x14ac:dyDescent="0.2">
      <c r="A2" s="1" t="s">
        <v>2</v>
      </c>
      <c r="B2" s="6">
        <v>59601</v>
      </c>
      <c r="C2" s="6">
        <v>149638</v>
      </c>
      <c r="D2" s="6">
        <v>497</v>
      </c>
      <c r="E2" s="6">
        <v>59088</v>
      </c>
      <c r="F2" s="6">
        <v>33464</v>
      </c>
      <c r="G2" s="6">
        <v>19671</v>
      </c>
      <c r="H2" s="6">
        <v>33464</v>
      </c>
      <c r="I2" s="4">
        <f>CEILING(LOG(D2+1,2),1)*(C2+B2)*0.00000013</f>
        <v>0.24480963</v>
      </c>
      <c r="J2" s="5">
        <v>3.7136</v>
      </c>
      <c r="K2" s="5">
        <v>0.16261</v>
      </c>
      <c r="L2" s="5">
        <v>0.16256000000000001</v>
      </c>
      <c r="M2" s="5">
        <f>0.18184-L2</f>
        <v>1.9279999999999992E-2</v>
      </c>
      <c r="N2" s="5">
        <f>0.21355-L2</f>
        <v>5.098999999999998E-2</v>
      </c>
      <c r="O2" s="5">
        <v>0.47681600000000002</v>
      </c>
      <c r="P2" s="5">
        <v>9.0051999999999993E-2</v>
      </c>
      <c r="Q2" s="5">
        <v>2.3635199999999998</v>
      </c>
      <c r="R2" s="5">
        <v>1.33856</v>
      </c>
      <c r="S2" s="5">
        <v>0.78683999999999998</v>
      </c>
      <c r="T2" s="5">
        <v>0.96299999999999997</v>
      </c>
      <c r="U2" s="5">
        <v>0.54470600000000002</v>
      </c>
      <c r="V2" s="5">
        <f t="shared" ref="V2:V11" si="0">Q2+J2+O2</f>
        <v>6.5539360000000002</v>
      </c>
      <c r="W2" s="3">
        <v>0.315695</v>
      </c>
      <c r="X2" s="3">
        <v>0.25261299999999998</v>
      </c>
      <c r="Y2" s="3">
        <v>0.259575</v>
      </c>
      <c r="Z2" s="12">
        <f t="shared" ref="Z2:Z11" si="1">T2+O2+S2+J2</f>
        <v>5.9402559999999998</v>
      </c>
      <c r="AA2" s="14">
        <v>0.213283</v>
      </c>
      <c r="AB2" s="7">
        <f t="shared" ref="AB2:AB11" si="2">1000*AA2</f>
        <v>213.28299999999999</v>
      </c>
      <c r="AC2">
        <v>0.21671599999999999</v>
      </c>
      <c r="AD2" s="7">
        <f>1000*AC2</f>
        <v>216.71599999999998</v>
      </c>
      <c r="AE2" s="5">
        <v>0.21761</v>
      </c>
      <c r="AF2" s="7">
        <f>1000*AE2</f>
        <v>217.60999999999999</v>
      </c>
      <c r="AG2" s="5">
        <v>0.27395999999999998</v>
      </c>
      <c r="AH2" s="7">
        <f t="shared" ref="AH2:AH11" si="3">1000*AG2</f>
        <v>273.95999999999998</v>
      </c>
      <c r="AI2" s="5">
        <v>0.21867</v>
      </c>
      <c r="AJ2" s="7">
        <f>1000*AI2</f>
        <v>218.67000000000002</v>
      </c>
      <c r="AK2" s="5">
        <f t="shared" ref="AK2:AK11" si="4">AF2/AD2</f>
        <v>1.0041252145665296</v>
      </c>
      <c r="AL2" s="12">
        <f t="shared" ref="AL2:AL11" si="5">AH2/AD2</f>
        <v>1.2641429336089629</v>
      </c>
      <c r="AN2" s="3">
        <v>3.9007499999999999</v>
      </c>
      <c r="AO2" s="3">
        <v>9.3802999999999997E-2</v>
      </c>
      <c r="AP2" s="3">
        <v>0.122877</v>
      </c>
    </row>
    <row r="3" spans="1:42" x14ac:dyDescent="0.2">
      <c r="A3" s="1" t="s">
        <v>3</v>
      </c>
      <c r="B3" s="6">
        <v>77511</v>
      </c>
      <c r="C3" s="6">
        <v>358278</v>
      </c>
      <c r="D3" s="6">
        <v>3340</v>
      </c>
      <c r="E3" s="6">
        <v>231942</v>
      </c>
      <c r="F3" s="6">
        <v>134957</v>
      </c>
      <c r="G3" s="6">
        <v>52598</v>
      </c>
      <c r="H3" s="6">
        <v>134957</v>
      </c>
      <c r="I3" s="4">
        <f t="shared" ref="I3:I11" si="6">CEILING(LOG(D3+1,2),1)*(C3+B3)*0.00000013</f>
        <v>0.67983084000000005</v>
      </c>
      <c r="J3" s="5">
        <v>32.438099999999999</v>
      </c>
      <c r="K3" s="5">
        <v>0.51053999999999999</v>
      </c>
      <c r="L3" s="5">
        <v>0.58145999999999998</v>
      </c>
      <c r="M3" s="5">
        <f>0.66967-L3</f>
        <v>8.8210000000000011E-2</v>
      </c>
      <c r="N3" s="5">
        <f>0.89558-L3</f>
        <v>0.31412000000000007</v>
      </c>
      <c r="O3" s="5">
        <v>0.62010399999999999</v>
      </c>
      <c r="P3" s="5">
        <v>0.413632</v>
      </c>
      <c r="Q3" s="5">
        <v>9.2776800000000001</v>
      </c>
      <c r="R3" s="5">
        <v>5.3982799999999997</v>
      </c>
      <c r="S3" s="5">
        <v>2.10392</v>
      </c>
      <c r="T3" s="5">
        <v>3.601</v>
      </c>
      <c r="U3" s="5">
        <v>1.7113499999999999</v>
      </c>
      <c r="V3" s="5">
        <f t="shared" si="0"/>
        <v>42.335883999999993</v>
      </c>
      <c r="W3" s="3">
        <v>1.38659</v>
      </c>
      <c r="X3" s="3">
        <v>0.99509499999999995</v>
      </c>
      <c r="Y3" s="3">
        <v>1.0038499999999999</v>
      </c>
      <c r="Z3" s="12">
        <f t="shared" si="1"/>
        <v>38.763123999999998</v>
      </c>
      <c r="AA3" s="14">
        <v>0.244252</v>
      </c>
      <c r="AB3" s="7">
        <f t="shared" si="2"/>
        <v>244.25200000000001</v>
      </c>
      <c r="AC3" s="12">
        <v>0.24426</v>
      </c>
      <c r="AD3" s="7">
        <f t="shared" ref="AD3:AD11" si="7">1000*AC3</f>
        <v>244.26</v>
      </c>
      <c r="AE3" s="5">
        <v>0.17918999999999999</v>
      </c>
      <c r="AF3" s="7">
        <f t="shared" ref="AF3:AF11" si="8">1000*AE3</f>
        <v>179.19</v>
      </c>
      <c r="AG3" s="5">
        <v>0.26718999999999998</v>
      </c>
      <c r="AH3" s="7">
        <f t="shared" si="3"/>
        <v>267.19</v>
      </c>
      <c r="AI3" s="5">
        <v>0.18373</v>
      </c>
      <c r="AJ3" s="7">
        <f t="shared" ref="AJ3:AJ11" si="9">1000*AI3</f>
        <v>183.73000000000002</v>
      </c>
      <c r="AK3" s="5">
        <f t="shared" si="4"/>
        <v>0.7336035372144436</v>
      </c>
      <c r="AL3" s="12">
        <f t="shared" si="5"/>
        <v>1.0938753786948334</v>
      </c>
      <c r="AN3" s="3">
        <v>18.435300000000002</v>
      </c>
      <c r="AO3" s="3">
        <v>0.427786</v>
      </c>
      <c r="AP3" s="3">
        <v>0.69013500000000005</v>
      </c>
    </row>
    <row r="4" spans="1:42" x14ac:dyDescent="0.2">
      <c r="A4" s="1" t="s">
        <v>16</v>
      </c>
      <c r="B4" s="6">
        <v>69999</v>
      </c>
      <c r="C4" s="6">
        <v>558373</v>
      </c>
      <c r="D4" s="6">
        <v>21144</v>
      </c>
      <c r="E4" s="6">
        <v>460435</v>
      </c>
      <c r="F4" s="6">
        <v>227473</v>
      </c>
      <c r="G4" s="6">
        <v>53171</v>
      </c>
      <c r="H4" s="6">
        <v>240517</v>
      </c>
      <c r="I4" s="4">
        <f t="shared" si="6"/>
        <v>1.2253254</v>
      </c>
      <c r="J4" s="5">
        <v>185.399</v>
      </c>
      <c r="K4" s="5">
        <v>1.19672</v>
      </c>
      <c r="L4" s="5">
        <v>1.3414900000000001</v>
      </c>
      <c r="M4" s="5">
        <f>1.8452-L4</f>
        <v>0.50370999999999988</v>
      </c>
      <c r="N4" s="5">
        <f>2.71807-L4</f>
        <v>1.3765799999999999</v>
      </c>
      <c r="O4" s="5">
        <v>0.56000000000000005</v>
      </c>
      <c r="P4" s="5">
        <v>0.88269900000000001</v>
      </c>
      <c r="Q4" s="5">
        <v>18.417400000000001</v>
      </c>
      <c r="R4" s="5">
        <v>9.0989199999999997</v>
      </c>
      <c r="S4" s="5">
        <v>2.1268400000000001</v>
      </c>
      <c r="T4" s="5">
        <v>6.7039999999999997</v>
      </c>
      <c r="U4" s="10">
        <v>3.70669</v>
      </c>
      <c r="V4" s="5">
        <f t="shared" si="0"/>
        <v>204.37639999999999</v>
      </c>
      <c r="W4" s="3">
        <v>4.0879700000000003</v>
      </c>
      <c r="X4" s="3">
        <v>2.2241900000000001</v>
      </c>
      <c r="Y4" s="3">
        <v>2.2395800000000001</v>
      </c>
      <c r="Z4" s="12">
        <f t="shared" si="1"/>
        <v>194.78984</v>
      </c>
      <c r="AA4" s="14">
        <v>0.46522000000000002</v>
      </c>
      <c r="AB4" s="7">
        <f t="shared" si="2"/>
        <v>465.22</v>
      </c>
      <c r="AC4" s="12">
        <v>0.47705599999999998</v>
      </c>
      <c r="AD4" s="7">
        <f t="shared" si="7"/>
        <v>477.05599999999998</v>
      </c>
      <c r="AE4" s="5">
        <v>0.52105000000000001</v>
      </c>
      <c r="AF4" s="7">
        <f t="shared" si="8"/>
        <v>521.05000000000007</v>
      </c>
      <c r="AG4" s="5">
        <v>1.4073599999999999</v>
      </c>
      <c r="AH4" s="7">
        <f t="shared" si="3"/>
        <v>1407.36</v>
      </c>
      <c r="AI4" s="5">
        <v>0.53049999999999997</v>
      </c>
      <c r="AJ4" s="7">
        <f t="shared" si="9"/>
        <v>530.5</v>
      </c>
      <c r="AK4" s="5">
        <f t="shared" si="4"/>
        <v>1.092219781325463</v>
      </c>
      <c r="AL4" s="12">
        <f t="shared" si="5"/>
        <v>2.950093909310437</v>
      </c>
      <c r="AN4" s="3">
        <v>30.370999999999999</v>
      </c>
      <c r="AO4" s="3">
        <v>1.1732400000000001</v>
      </c>
      <c r="AP4" s="3">
        <v>3.0526599999999999</v>
      </c>
    </row>
    <row r="5" spans="1:42" x14ac:dyDescent="0.2">
      <c r="A5" s="1" t="s">
        <v>4</v>
      </c>
      <c r="B5" s="6">
        <v>730</v>
      </c>
      <c r="C5" s="6">
        <v>37958</v>
      </c>
      <c r="D5" s="6">
        <v>267</v>
      </c>
      <c r="E5" s="6">
        <v>36839</v>
      </c>
      <c r="F5" s="6">
        <v>18872</v>
      </c>
      <c r="G5" s="6">
        <v>895</v>
      </c>
      <c r="H5" s="6">
        <v>18872</v>
      </c>
      <c r="I5" s="4">
        <f t="shared" si="6"/>
        <v>4.526496E-2</v>
      </c>
      <c r="J5" s="5">
        <v>2.9919999999999999E-2</v>
      </c>
      <c r="K5" s="5">
        <v>2.205E-2</v>
      </c>
      <c r="L5" s="5">
        <v>4.6969999999999998E-2</v>
      </c>
      <c r="M5" s="5">
        <f>0.05502-L5</f>
        <v>8.0500000000000016E-3</v>
      </c>
      <c r="N5" s="5">
        <f>0.07157-L5</f>
        <v>2.4599999999999997E-2</v>
      </c>
      <c r="O5" s="5">
        <v>5.8479999999999999E-3</v>
      </c>
      <c r="P5" s="5">
        <v>5.0236000000000003E-2</v>
      </c>
      <c r="Q5" s="5">
        <v>1.47356</v>
      </c>
      <c r="R5" s="5">
        <v>0.75488</v>
      </c>
      <c r="S5" s="5">
        <v>3.5799999999999998E-2</v>
      </c>
      <c r="T5" s="5">
        <v>0.58299999999999996</v>
      </c>
      <c r="U5" s="5">
        <v>0.28207500000000002</v>
      </c>
      <c r="V5" s="5">
        <f t="shared" si="0"/>
        <v>1.509328</v>
      </c>
      <c r="W5" s="3">
        <v>0.12792000000000001</v>
      </c>
      <c r="X5" s="3">
        <v>9.7212999999999994E-2</v>
      </c>
      <c r="Y5" s="3">
        <v>9.7601999999999994E-2</v>
      </c>
      <c r="Z5" s="12">
        <f t="shared" si="1"/>
        <v>0.65456799999999982</v>
      </c>
      <c r="AA5" s="14">
        <v>0.16161800000000001</v>
      </c>
      <c r="AB5" s="7">
        <f t="shared" si="2"/>
        <v>161.61800000000002</v>
      </c>
      <c r="AC5" s="12">
        <v>0.20355400000000001</v>
      </c>
      <c r="AD5" s="7">
        <f t="shared" si="7"/>
        <v>203.554</v>
      </c>
      <c r="AE5" s="5">
        <v>0.31065999999999999</v>
      </c>
      <c r="AF5" s="7">
        <f t="shared" si="8"/>
        <v>310.65999999999997</v>
      </c>
      <c r="AG5" s="5">
        <v>0.32585999999999998</v>
      </c>
      <c r="AH5" s="7">
        <f t="shared" si="3"/>
        <v>325.85999999999996</v>
      </c>
      <c r="AI5" s="5">
        <v>0.31697999999999998</v>
      </c>
      <c r="AJ5" s="7">
        <f t="shared" si="9"/>
        <v>316.97999999999996</v>
      </c>
      <c r="AK5" s="5">
        <f t="shared" si="4"/>
        <v>1.5261797852166992</v>
      </c>
      <c r="AL5" s="12">
        <f t="shared" si="5"/>
        <v>1.6008528449453214</v>
      </c>
      <c r="AN5" s="3">
        <v>0.73006000000000004</v>
      </c>
      <c r="AO5" s="3">
        <v>8.6300000000000005E-3</v>
      </c>
      <c r="AP5" s="3">
        <v>2.3349999999999999E-2</v>
      </c>
    </row>
    <row r="6" spans="1:42" x14ac:dyDescent="0.2">
      <c r="A6" s="1" t="s">
        <v>7</v>
      </c>
      <c r="B6" s="6">
        <v>36369</v>
      </c>
      <c r="C6" s="6">
        <v>787066</v>
      </c>
      <c r="D6" s="6">
        <v>13905</v>
      </c>
      <c r="E6" s="6">
        <v>659811</v>
      </c>
      <c r="F6" s="6">
        <v>283527</v>
      </c>
      <c r="G6" s="6">
        <v>44208</v>
      </c>
      <c r="H6" s="9">
        <v>283527</v>
      </c>
      <c r="I6" s="4">
        <f t="shared" si="6"/>
        <v>1.4986516999999999</v>
      </c>
      <c r="J6" s="5">
        <v>63.522599999999997</v>
      </c>
      <c r="K6" s="5">
        <v>0.91413999999999995</v>
      </c>
      <c r="L6" s="5">
        <v>1.2390099999999999</v>
      </c>
      <c r="M6" s="5">
        <f>1.59382-L6</f>
        <v>0.35481000000000007</v>
      </c>
      <c r="N6" s="5">
        <f>2.15563-L6</f>
        <v>0.91661999999999999</v>
      </c>
      <c r="O6" s="5">
        <v>0.29096</v>
      </c>
      <c r="P6" s="5">
        <v>1.36226</v>
      </c>
      <c r="Q6" s="5">
        <v>26.392399999999999</v>
      </c>
      <c r="R6" s="5">
        <v>11.341100000000001</v>
      </c>
      <c r="S6" s="5">
        <v>1.7683199999999999</v>
      </c>
      <c r="T6" s="5">
        <v>12.38</v>
      </c>
      <c r="U6" s="5">
        <v>6.8092499999999996</v>
      </c>
      <c r="V6" s="5">
        <f t="shared" si="0"/>
        <v>90.20595999999999</v>
      </c>
      <c r="W6" s="3">
        <v>3.8429500000000001</v>
      </c>
      <c r="X6" s="3">
        <v>2.6012599999999999</v>
      </c>
      <c r="Y6" s="3">
        <v>2.6335700000000002</v>
      </c>
      <c r="Z6" s="12">
        <f t="shared" si="1"/>
        <v>77.961879999999994</v>
      </c>
      <c r="AA6" s="14">
        <v>0.271787</v>
      </c>
      <c r="AB6" s="7">
        <f t="shared" si="2"/>
        <v>271.78699999999998</v>
      </c>
      <c r="AC6" s="12">
        <v>0.34389399999999998</v>
      </c>
      <c r="AD6" s="7">
        <f t="shared" si="7"/>
        <v>343.89400000000001</v>
      </c>
      <c r="AE6" s="5">
        <v>0.41846</v>
      </c>
      <c r="AF6" s="7">
        <f t="shared" si="8"/>
        <v>418.46</v>
      </c>
      <c r="AG6" s="5">
        <v>2.1104400000000001</v>
      </c>
      <c r="AH6" s="7">
        <f t="shared" si="3"/>
        <v>2110.44</v>
      </c>
      <c r="AI6" s="5">
        <v>0.40916000000000002</v>
      </c>
      <c r="AJ6" s="7">
        <f t="shared" si="9"/>
        <v>409.16</v>
      </c>
      <c r="AK6" s="5">
        <f t="shared" si="4"/>
        <v>1.2168284413220352</v>
      </c>
      <c r="AL6" s="12">
        <f t="shared" si="5"/>
        <v>6.1368910187441479</v>
      </c>
      <c r="AN6" s="3">
        <v>20.168399999999998</v>
      </c>
      <c r="AO6" s="3">
        <v>1.0223</v>
      </c>
      <c r="AP6" s="3">
        <v>3.1585100000000002</v>
      </c>
    </row>
    <row r="7" spans="1:42" x14ac:dyDescent="0.2">
      <c r="A7" s="1" t="s">
        <v>8</v>
      </c>
      <c r="B7" s="6">
        <v>5834</v>
      </c>
      <c r="C7" s="6">
        <v>197251</v>
      </c>
      <c r="D7" s="6">
        <v>9025</v>
      </c>
      <c r="E7" s="7">
        <v>183206</v>
      </c>
      <c r="F7" s="7">
        <v>94388</v>
      </c>
      <c r="G7" s="7">
        <v>7016</v>
      </c>
      <c r="H7" s="7">
        <v>94388</v>
      </c>
      <c r="I7" s="4">
        <f t="shared" si="6"/>
        <v>0.36961470000000002</v>
      </c>
      <c r="J7" s="5">
        <v>6.7868199999999996</v>
      </c>
      <c r="K7" s="5">
        <v>0.37228</v>
      </c>
      <c r="L7" s="5">
        <v>0.46009</v>
      </c>
      <c r="M7" s="5">
        <f>0.67252-L7</f>
        <v>0.21243000000000001</v>
      </c>
      <c r="N7" s="5">
        <f>1.01119-L7</f>
        <v>0.55110000000000003</v>
      </c>
      <c r="O7" s="5">
        <v>4.6679999999999999E-2</v>
      </c>
      <c r="P7" s="5">
        <v>0.35860500000000001</v>
      </c>
      <c r="Q7" s="5">
        <v>7.3282400000000001</v>
      </c>
      <c r="R7" s="5">
        <v>3.7755200000000002</v>
      </c>
      <c r="S7" s="5">
        <v>0.28064</v>
      </c>
      <c r="T7" s="5">
        <v>2.9849999999999999</v>
      </c>
      <c r="U7" s="5">
        <v>1.4720800000000001</v>
      </c>
      <c r="V7" s="5">
        <f t="shared" si="0"/>
        <v>14.16174</v>
      </c>
      <c r="W7" s="3">
        <v>1.5772699999999999</v>
      </c>
      <c r="X7" s="3">
        <v>0.81870500000000002</v>
      </c>
      <c r="Y7" s="3">
        <v>0.82411400000000001</v>
      </c>
      <c r="Z7" s="12">
        <f t="shared" si="1"/>
        <v>10.099139999999998</v>
      </c>
      <c r="AA7" s="14">
        <v>8.5619000000000001E-2</v>
      </c>
      <c r="AB7" s="7">
        <f t="shared" si="2"/>
        <v>85.619</v>
      </c>
      <c r="AC7" s="12">
        <v>0.100912</v>
      </c>
      <c r="AD7" s="7">
        <f t="shared" si="7"/>
        <v>100.91200000000001</v>
      </c>
      <c r="AE7" s="5">
        <v>0.12305000000000001</v>
      </c>
      <c r="AF7" s="7">
        <f t="shared" si="8"/>
        <v>123.05000000000001</v>
      </c>
      <c r="AG7" s="5">
        <v>0.13725000000000001</v>
      </c>
      <c r="AH7" s="7">
        <f t="shared" si="3"/>
        <v>137.25</v>
      </c>
      <c r="AI7" s="5">
        <v>0.12254</v>
      </c>
      <c r="AJ7" s="7">
        <f t="shared" si="9"/>
        <v>122.53999999999999</v>
      </c>
      <c r="AK7" s="5">
        <f t="shared" si="4"/>
        <v>1.2193792611384178</v>
      </c>
      <c r="AL7" s="12">
        <f t="shared" si="5"/>
        <v>1.3600959251625178</v>
      </c>
      <c r="AN7" s="3">
        <v>3.8750300000000002</v>
      </c>
      <c r="AO7" s="3">
        <v>9.5799999999999996E-2</v>
      </c>
      <c r="AP7" s="3">
        <v>0.53515999999999997</v>
      </c>
    </row>
    <row r="8" spans="1:42" s="11" customFormat="1" x14ac:dyDescent="0.2">
      <c r="A8" s="2" t="s">
        <v>5</v>
      </c>
      <c r="B8" s="8">
        <v>31790</v>
      </c>
      <c r="C8" s="8">
        <v>423776</v>
      </c>
      <c r="D8" s="8">
        <v>17</v>
      </c>
      <c r="E8" s="9">
        <v>236799</v>
      </c>
      <c r="F8" s="9">
        <v>85184</v>
      </c>
      <c r="G8" s="9">
        <v>35465</v>
      </c>
      <c r="H8" s="9">
        <v>85184</v>
      </c>
      <c r="I8" s="4">
        <f t="shared" si="6"/>
        <v>0.29611789999999999</v>
      </c>
      <c r="J8" s="10">
        <v>6.7879999999999996E-2</v>
      </c>
      <c r="K8" s="10">
        <v>6.8650000000000003E-2</v>
      </c>
      <c r="L8" s="5">
        <v>0.12561</v>
      </c>
      <c r="M8" s="10">
        <f>0.13825-L8</f>
        <v>1.2640000000000012E-2</v>
      </c>
      <c r="N8" s="10">
        <f>0.13332-L8</f>
        <v>7.7099999999999946E-3</v>
      </c>
      <c r="O8" s="10">
        <v>0.254328</v>
      </c>
      <c r="P8" s="5">
        <v>0.19548599999999999</v>
      </c>
      <c r="Q8" s="10">
        <v>9.4719599999999993</v>
      </c>
      <c r="R8" s="10">
        <v>3.4073600000000002</v>
      </c>
      <c r="S8" s="10">
        <v>1.4186000000000001</v>
      </c>
      <c r="T8" s="10">
        <v>2.867</v>
      </c>
      <c r="U8" s="5">
        <v>0.769123</v>
      </c>
      <c r="V8" s="5">
        <f t="shared" si="0"/>
        <v>9.7941679999999991</v>
      </c>
      <c r="W8" s="3">
        <v>0.33217099999999999</v>
      </c>
      <c r="X8" s="3">
        <v>0.32109700000000002</v>
      </c>
      <c r="Y8" s="3">
        <v>0.33203199999999999</v>
      </c>
      <c r="Z8" s="12">
        <f t="shared" si="1"/>
        <v>4.6078079999999995</v>
      </c>
      <c r="AA8" s="15">
        <v>6.5943500000000004</v>
      </c>
      <c r="AB8" s="7">
        <f t="shared" si="2"/>
        <v>6594.35</v>
      </c>
      <c r="AC8" s="12">
        <v>11.638400000000001</v>
      </c>
      <c r="AD8" s="7">
        <f t="shared" si="7"/>
        <v>11638.400000000001</v>
      </c>
      <c r="AE8" s="10">
        <v>11.8131</v>
      </c>
      <c r="AF8" s="7">
        <f t="shared" si="8"/>
        <v>11813.1</v>
      </c>
      <c r="AG8" s="10">
        <v>47.792200000000001</v>
      </c>
      <c r="AH8" s="7">
        <f t="shared" si="3"/>
        <v>47792.200000000004</v>
      </c>
      <c r="AI8" s="5">
        <v>11.2453</v>
      </c>
      <c r="AJ8" s="7">
        <f t="shared" si="9"/>
        <v>11245.300000000001</v>
      </c>
      <c r="AK8" s="5">
        <f t="shared" si="4"/>
        <v>1.0150106543854824</v>
      </c>
      <c r="AL8" s="12">
        <f t="shared" si="5"/>
        <v>4.106423563376409</v>
      </c>
      <c r="AN8" s="17">
        <v>6.0758299999999998</v>
      </c>
      <c r="AO8" s="17">
        <v>0.98912900000000004</v>
      </c>
      <c r="AP8" s="17">
        <v>1.08209</v>
      </c>
    </row>
    <row r="9" spans="1:42" x14ac:dyDescent="0.2">
      <c r="A9" s="1" t="s">
        <v>6</v>
      </c>
      <c r="B9" s="6">
        <v>20450</v>
      </c>
      <c r="C9" s="6">
        <v>741092</v>
      </c>
      <c r="D9" s="6">
        <v>2990</v>
      </c>
      <c r="E9" s="7">
        <v>675229</v>
      </c>
      <c r="F9" s="7">
        <v>253903</v>
      </c>
      <c r="G9" s="7">
        <v>23314</v>
      </c>
      <c r="H9">
        <v>253903</v>
      </c>
      <c r="I9" s="4">
        <f t="shared" si="6"/>
        <v>1.1880055199999999</v>
      </c>
      <c r="J9" s="5">
        <v>7.7022599999999999</v>
      </c>
      <c r="K9" s="5">
        <v>0.52495000000000003</v>
      </c>
      <c r="L9" s="5">
        <v>0.95254000000000005</v>
      </c>
      <c r="M9" s="5">
        <f>1.0663-L9</f>
        <v>0.11375999999999997</v>
      </c>
      <c r="N9" s="5">
        <f>1.20981-L9</f>
        <v>0.25727</v>
      </c>
      <c r="O9" s="5">
        <v>0.163608</v>
      </c>
      <c r="P9" s="5">
        <v>1.1488700000000001</v>
      </c>
      <c r="Q9" s="5">
        <v>27.0092</v>
      </c>
      <c r="R9" s="5">
        <v>10.1561</v>
      </c>
      <c r="S9" s="5">
        <v>0.93255999999999994</v>
      </c>
      <c r="T9" s="5">
        <v>11.43</v>
      </c>
      <c r="U9" s="5">
        <v>5.7599499999999999</v>
      </c>
      <c r="V9" s="5">
        <f t="shared" si="0"/>
        <v>34.875068000000006</v>
      </c>
      <c r="W9" s="3">
        <v>2.4368599999999998</v>
      </c>
      <c r="X9" s="3">
        <v>2.1014200000000001</v>
      </c>
      <c r="Y9" s="3">
        <v>2.1474700000000002</v>
      </c>
      <c r="Z9" s="12">
        <f t="shared" si="1"/>
        <v>20.228428000000001</v>
      </c>
      <c r="AA9" s="14">
        <v>10.074</v>
      </c>
      <c r="AB9" s="7">
        <f t="shared" si="2"/>
        <v>10074</v>
      </c>
      <c r="AC9" s="12">
        <v>13.6942</v>
      </c>
      <c r="AD9" s="7">
        <f t="shared" si="7"/>
        <v>13694.2</v>
      </c>
      <c r="AE9" s="5">
        <v>17.8782</v>
      </c>
      <c r="AF9" s="7">
        <f t="shared" si="8"/>
        <v>17878.2</v>
      </c>
      <c r="AG9" s="5">
        <v>24.385200000000001</v>
      </c>
      <c r="AH9" s="7">
        <f t="shared" si="3"/>
        <v>24385.200000000001</v>
      </c>
      <c r="AI9" s="5">
        <v>17.973400000000002</v>
      </c>
      <c r="AJ9" s="7">
        <f t="shared" si="9"/>
        <v>17973.400000000001</v>
      </c>
      <c r="AK9" s="5">
        <f t="shared" si="4"/>
        <v>1.3055308086635218</v>
      </c>
      <c r="AL9" s="12">
        <f t="shared" si="5"/>
        <v>1.780695476917235</v>
      </c>
      <c r="AN9" s="3">
        <v>16.787299999999998</v>
      </c>
      <c r="AO9" s="3">
        <v>0.62584700000000004</v>
      </c>
      <c r="AP9" s="3">
        <v>1.6996500000000001</v>
      </c>
    </row>
    <row r="10" spans="1:42" s="11" customFormat="1" x14ac:dyDescent="0.2">
      <c r="A10" s="2" t="s">
        <v>9</v>
      </c>
      <c r="B10" s="8">
        <v>70729</v>
      </c>
      <c r="C10" s="8">
        <v>419621</v>
      </c>
      <c r="D10" s="8">
        <v>4018</v>
      </c>
      <c r="E10" s="9">
        <v>210891</v>
      </c>
      <c r="F10" s="9">
        <v>102044</v>
      </c>
      <c r="G10" s="9">
        <v>43999</v>
      </c>
      <c r="H10">
        <v>102044</v>
      </c>
      <c r="I10" s="4">
        <f t="shared" si="6"/>
        <v>0.76494600000000001</v>
      </c>
      <c r="J10" s="10">
        <v>35.615600000000001</v>
      </c>
      <c r="K10" s="10">
        <v>0.42069000000000001</v>
      </c>
      <c r="L10" s="5">
        <v>0.48945</v>
      </c>
      <c r="M10" s="10">
        <f>0.6043-L10</f>
        <v>0.11484999999999995</v>
      </c>
      <c r="N10" s="10">
        <f>0.7534-L10</f>
        <v>0.26394999999999996</v>
      </c>
      <c r="O10" s="10">
        <v>0.56584800000000002</v>
      </c>
      <c r="P10" s="5">
        <v>0.38045499999999999</v>
      </c>
      <c r="Q10" s="10">
        <v>8.4356399999999994</v>
      </c>
      <c r="R10" s="10">
        <v>4.0817600000000001</v>
      </c>
      <c r="S10" s="10">
        <v>1.75996</v>
      </c>
      <c r="T10" s="10">
        <v>3.617</v>
      </c>
      <c r="U10" s="5">
        <v>1.9416800000000001</v>
      </c>
      <c r="V10" s="5">
        <f t="shared" si="0"/>
        <v>44.617088000000003</v>
      </c>
      <c r="W10" s="3">
        <v>1.23034</v>
      </c>
      <c r="X10" s="3">
        <v>0.86990500000000004</v>
      </c>
      <c r="Y10" s="3">
        <v>0.89195199999999997</v>
      </c>
      <c r="Z10" s="12">
        <f t="shared" si="1"/>
        <v>41.558408</v>
      </c>
      <c r="AA10" s="15">
        <v>0.62742600000000004</v>
      </c>
      <c r="AB10" s="7">
        <f t="shared" si="2"/>
        <v>627.42600000000004</v>
      </c>
      <c r="AC10" s="12">
        <v>0.98205900000000002</v>
      </c>
      <c r="AD10" s="7">
        <f t="shared" si="7"/>
        <v>982.05899999999997</v>
      </c>
      <c r="AE10" s="10">
        <v>1.0914999999999999</v>
      </c>
      <c r="AF10" s="7">
        <f t="shared" si="8"/>
        <v>1091.5</v>
      </c>
      <c r="AG10" s="10">
        <v>3.4292199999999999</v>
      </c>
      <c r="AH10" s="7">
        <f t="shared" si="3"/>
        <v>3429.22</v>
      </c>
      <c r="AI10" s="5">
        <v>1.0933900000000001</v>
      </c>
      <c r="AJ10" s="7">
        <f t="shared" si="9"/>
        <v>1093.3900000000001</v>
      </c>
      <c r="AK10" s="5">
        <f t="shared" si="4"/>
        <v>1.111440351343453</v>
      </c>
      <c r="AL10" s="12">
        <f t="shared" si="5"/>
        <v>3.4918675965496981</v>
      </c>
      <c r="AN10" s="17">
        <v>13.0166</v>
      </c>
      <c r="AO10" s="17">
        <v>0.48686499999999999</v>
      </c>
      <c r="AP10" s="17">
        <v>0.77036000000000004</v>
      </c>
    </row>
    <row r="11" spans="1:42" s="11" customFormat="1" x14ac:dyDescent="0.2">
      <c r="A11" s="11" t="s">
        <v>10</v>
      </c>
      <c r="B11" s="8">
        <v>87748</v>
      </c>
      <c r="C11" s="8">
        <v>569493</v>
      </c>
      <c r="D11" s="8">
        <v>4719</v>
      </c>
      <c r="E11" s="9">
        <v>306281</v>
      </c>
      <c r="F11" s="9">
        <v>139398</v>
      </c>
      <c r="G11" s="9">
        <v>55625</v>
      </c>
      <c r="H11">
        <v>139398</v>
      </c>
      <c r="I11" s="4">
        <f t="shared" si="6"/>
        <v>1.1107372900000001</v>
      </c>
      <c r="J11" s="10">
        <v>51.860300000000002</v>
      </c>
      <c r="K11" s="10">
        <v>0.53468000000000004</v>
      </c>
      <c r="L11" s="5">
        <v>0.63880000000000003</v>
      </c>
      <c r="M11" s="10">
        <f>0.77918-L11</f>
        <v>0.14037999999999995</v>
      </c>
      <c r="N11" s="10">
        <f>0.94281-L11</f>
        <v>0.30401</v>
      </c>
      <c r="O11" s="10">
        <v>0.70199999999999996</v>
      </c>
      <c r="P11" s="5">
        <v>0.56979999999999997</v>
      </c>
      <c r="Q11" s="10">
        <v>12.251200000000001</v>
      </c>
      <c r="R11" s="10">
        <v>5.57592</v>
      </c>
      <c r="S11" s="10">
        <v>2.2250000000000001</v>
      </c>
      <c r="T11" s="10">
        <v>5.15</v>
      </c>
      <c r="U11" s="5">
        <v>2.6741999999999999</v>
      </c>
      <c r="V11" s="5">
        <f t="shared" si="0"/>
        <v>64.813500000000005</v>
      </c>
      <c r="W11" s="3">
        <v>1.62714</v>
      </c>
      <c r="X11" s="3">
        <v>1.20861</v>
      </c>
      <c r="Y11" s="3">
        <v>1.2383900000000001</v>
      </c>
      <c r="Z11" s="12">
        <f t="shared" si="1"/>
        <v>59.9373</v>
      </c>
      <c r="AA11" s="15">
        <v>0.83109500000000003</v>
      </c>
      <c r="AB11" s="7">
        <f t="shared" si="2"/>
        <v>831.09500000000003</v>
      </c>
      <c r="AC11" s="12">
        <v>1.1633</v>
      </c>
      <c r="AD11" s="7">
        <f t="shared" si="7"/>
        <v>1163.3</v>
      </c>
      <c r="AE11" s="10">
        <v>1.4539</v>
      </c>
      <c r="AF11" s="7">
        <f t="shared" si="8"/>
        <v>1453.8999999999999</v>
      </c>
      <c r="AG11" s="10">
        <v>4.7567199999999996</v>
      </c>
      <c r="AH11" s="7">
        <f t="shared" si="3"/>
        <v>4756.7199999999993</v>
      </c>
      <c r="AI11" s="5">
        <v>1.44573</v>
      </c>
      <c r="AJ11" s="7">
        <f t="shared" si="9"/>
        <v>1445.73</v>
      </c>
      <c r="AK11" s="5">
        <f t="shared" si="4"/>
        <v>1.2498065847158943</v>
      </c>
      <c r="AL11" s="12">
        <f t="shared" si="5"/>
        <v>4.0889882231582559</v>
      </c>
      <c r="AN11" s="17">
        <v>24.5169</v>
      </c>
      <c r="AO11" s="17">
        <v>0.79976400000000003</v>
      </c>
      <c r="AP11" s="17">
        <v>1.2134</v>
      </c>
    </row>
    <row r="12" spans="1:42" x14ac:dyDescent="0.2">
      <c r="W12" s="3"/>
      <c r="X12" s="3"/>
      <c r="Y12" s="3"/>
      <c r="AO12" s="3"/>
      <c r="AP12" s="3"/>
    </row>
    <row r="13" spans="1:42" x14ac:dyDescent="0.2">
      <c r="J13" t="s">
        <v>95</v>
      </c>
      <c r="P13" t="s">
        <v>64</v>
      </c>
      <c r="AF13" t="s">
        <v>45</v>
      </c>
    </row>
    <row r="14" spans="1:42" x14ac:dyDescent="0.2">
      <c r="J14" t="s">
        <v>92</v>
      </c>
    </row>
    <row r="15" spans="1:42" x14ac:dyDescent="0.2">
      <c r="J15" t="s">
        <v>93</v>
      </c>
      <c r="W15" s="5"/>
      <c r="X15" s="5"/>
      <c r="Y15" s="5"/>
      <c r="Z15" s="5"/>
    </row>
    <row r="16" spans="1:42" x14ac:dyDescent="0.2">
      <c r="J16" t="s">
        <v>94</v>
      </c>
      <c r="W16" s="5"/>
      <c r="Y16" s="5"/>
      <c r="Z16" s="5"/>
    </row>
    <row r="17" spans="4:30" x14ac:dyDescent="0.2">
      <c r="W17" s="5"/>
      <c r="Y17" s="5"/>
      <c r="Z17" s="5"/>
    </row>
    <row r="18" spans="4:30" x14ac:dyDescent="0.2">
      <c r="E18" t="s">
        <v>20</v>
      </c>
      <c r="F18" t="s">
        <v>21</v>
      </c>
      <c r="G18" t="s">
        <v>25</v>
      </c>
      <c r="J18" t="s">
        <v>26</v>
      </c>
      <c r="K18" t="s">
        <v>27</v>
      </c>
      <c r="L18" t="s">
        <v>44</v>
      </c>
      <c r="M18" t="s">
        <v>54</v>
      </c>
      <c r="W18" s="5"/>
      <c r="Y18" s="5"/>
      <c r="Z18" s="5"/>
      <c r="AD18" s="16"/>
    </row>
    <row r="19" spans="4:30" x14ac:dyDescent="0.2">
      <c r="E19" s="3">
        <f t="shared" ref="E19:E28" si="10">W2/I2</f>
        <v>1.2895530294294386</v>
      </c>
      <c r="F19" s="3" t="e">
        <f>#REF!/I2</f>
        <v>#REF!</v>
      </c>
      <c r="G19" s="3">
        <f t="shared" ref="G19:G28" si="11">Z2/I2</f>
        <v>24.264797099689254</v>
      </c>
      <c r="H19" s="3" t="e">
        <f t="shared" ref="H19:H28" si="12">F19/E19</f>
        <v>#REF!</v>
      </c>
      <c r="J19" s="3">
        <f t="shared" ref="J19:J28" si="13">J2/I2</f>
        <v>15.169337905539091</v>
      </c>
      <c r="K19" s="3">
        <f t="shared" ref="K19:K28" si="14">L2/I2</f>
        <v>0.66402616596414121</v>
      </c>
      <c r="L19" s="13">
        <f t="shared" ref="L19:L28" si="15">J2/Z2</f>
        <v>0.62515824233837736</v>
      </c>
      <c r="M19" s="5">
        <f>L2+O2</f>
        <v>0.63937600000000006</v>
      </c>
      <c r="W19" s="5"/>
      <c r="Y19" s="5"/>
      <c r="Z19" s="5"/>
    </row>
    <row r="20" spans="4:30" x14ac:dyDescent="0.2">
      <c r="E20" s="3">
        <f t="shared" si="10"/>
        <v>2.0396103242388945</v>
      </c>
      <c r="F20" s="3">
        <f t="shared" ref="F20:F28" si="16">V3/I3</f>
        <v>62.274144550429618</v>
      </c>
      <c r="G20" s="3">
        <f t="shared" si="11"/>
        <v>57.018778377279844</v>
      </c>
      <c r="H20" s="3">
        <f t="shared" si="12"/>
        <v>30.532373664890116</v>
      </c>
      <c r="J20" s="3">
        <f t="shared" si="13"/>
        <v>47.71495803279533</v>
      </c>
      <c r="K20" s="3">
        <f t="shared" si="14"/>
        <v>0.85530100399681774</v>
      </c>
      <c r="L20" s="13">
        <f t="shared" si="15"/>
        <v>0.83682883763444871</v>
      </c>
      <c r="M20" s="5">
        <f t="shared" ref="M20:M28" si="17">L3+O3</f>
        <v>1.2015639999999999</v>
      </c>
      <c r="V20" s="5"/>
      <c r="W20" s="5"/>
      <c r="Y20" s="5"/>
      <c r="Z20" s="5"/>
    </row>
    <row r="21" spans="4:30" x14ac:dyDescent="0.2">
      <c r="E21" s="3">
        <f t="shared" si="10"/>
        <v>3.3362321551483389</v>
      </c>
      <c r="F21" s="3">
        <f t="shared" si="16"/>
        <v>166.79357173204767</v>
      </c>
      <c r="G21" s="3">
        <f t="shared" si="11"/>
        <v>158.96988669295519</v>
      </c>
      <c r="H21" s="3">
        <f t="shared" si="12"/>
        <v>49.9945938937908</v>
      </c>
      <c r="J21" s="3">
        <f t="shared" si="13"/>
        <v>151.3059306531963</v>
      </c>
      <c r="K21" s="3">
        <f t="shared" si="14"/>
        <v>1.094803062109053</v>
      </c>
      <c r="L21" s="13">
        <f t="shared" si="15"/>
        <v>0.95178988801469322</v>
      </c>
      <c r="M21" s="5">
        <f t="shared" si="17"/>
        <v>1.9014900000000001</v>
      </c>
      <c r="V21" s="5"/>
      <c r="W21" s="5"/>
      <c r="Y21" s="5"/>
      <c r="Z21" s="5"/>
      <c r="AD21" s="16"/>
    </row>
    <row r="22" spans="4:30" x14ac:dyDescent="0.2">
      <c r="E22" s="3">
        <f t="shared" si="10"/>
        <v>2.8260270195754069</v>
      </c>
      <c r="F22" s="3">
        <f t="shared" si="16"/>
        <v>33.344291036598726</v>
      </c>
      <c r="G22" s="3">
        <f t="shared" si="11"/>
        <v>14.460810304482758</v>
      </c>
      <c r="H22" s="3">
        <f t="shared" si="12"/>
        <v>11.798999374609128</v>
      </c>
      <c r="J22" s="3">
        <f t="shared" si="13"/>
        <v>0.66099693891257161</v>
      </c>
      <c r="K22" s="3">
        <f t="shared" si="14"/>
        <v>1.0376679886605444</v>
      </c>
      <c r="L22" s="13">
        <f t="shared" si="15"/>
        <v>4.5709536671514658E-2</v>
      </c>
      <c r="M22" s="5">
        <f t="shared" si="17"/>
        <v>5.2817999999999997E-2</v>
      </c>
      <c r="V22" s="5"/>
      <c r="W22" s="5"/>
      <c r="Y22" s="5"/>
      <c r="Z22" s="5"/>
    </row>
    <row r="23" spans="4:30" x14ac:dyDescent="0.2">
      <c r="E23" s="3">
        <f t="shared" si="10"/>
        <v>2.5642716049366241</v>
      </c>
      <c r="F23" s="3">
        <f t="shared" si="16"/>
        <v>60.191410719381956</v>
      </c>
      <c r="G23" s="3">
        <f t="shared" si="11"/>
        <v>52.021346921369386</v>
      </c>
      <c r="H23" s="3">
        <f t="shared" si="12"/>
        <v>23.473102694544554</v>
      </c>
      <c r="J23" s="3">
        <f t="shared" si="13"/>
        <v>42.386499811797499</v>
      </c>
      <c r="K23" s="3">
        <f t="shared" si="14"/>
        <v>0.82674980450761171</v>
      </c>
      <c r="L23" s="13">
        <f t="shared" si="15"/>
        <v>0.81479051043920447</v>
      </c>
      <c r="M23" s="5">
        <f t="shared" si="17"/>
        <v>1.5299700000000001</v>
      </c>
      <c r="V23" s="5"/>
      <c r="W23" s="5"/>
      <c r="Y23" s="5"/>
      <c r="Z23" s="5"/>
    </row>
    <row r="24" spans="4:30" x14ac:dyDescent="0.2">
      <c r="E24" s="3">
        <f t="shared" si="10"/>
        <v>4.2673356876769235</v>
      </c>
      <c r="F24" s="3">
        <f t="shared" si="16"/>
        <v>38.314872216932926</v>
      </c>
      <c r="G24" s="3">
        <f t="shared" si="11"/>
        <v>27.323426259832193</v>
      </c>
      <c r="H24" s="3">
        <f t="shared" si="12"/>
        <v>8.9786403088881421</v>
      </c>
      <c r="J24" s="3">
        <f t="shared" si="13"/>
        <v>18.361877923145371</v>
      </c>
      <c r="K24" s="3">
        <f t="shared" si="14"/>
        <v>1.2447827426777127</v>
      </c>
      <c r="L24" s="13">
        <f t="shared" si="15"/>
        <v>0.67201959770831976</v>
      </c>
      <c r="M24" s="5">
        <f t="shared" si="17"/>
        <v>0.50676999999999994</v>
      </c>
      <c r="V24" s="5"/>
      <c r="W24" s="5"/>
      <c r="Y24" s="5"/>
      <c r="Z24" s="5"/>
    </row>
    <row r="25" spans="4:30" x14ac:dyDescent="0.2">
      <c r="E25" s="3">
        <f t="shared" si="10"/>
        <v>1.1217525181692833</v>
      </c>
      <c r="F25" s="3">
        <f t="shared" si="16"/>
        <v>33.075231183255049</v>
      </c>
      <c r="G25" s="3">
        <f t="shared" si="11"/>
        <v>15.560720915554242</v>
      </c>
      <c r="H25" s="3">
        <f t="shared" si="12"/>
        <v>29.485319308428487</v>
      </c>
      <c r="J25" s="3">
        <f t="shared" si="13"/>
        <v>0.22923301833492674</v>
      </c>
      <c r="K25" s="3">
        <f t="shared" si="14"/>
        <v>0.42418914898423904</v>
      </c>
      <c r="L25" s="13">
        <f t="shared" si="15"/>
        <v>1.4731516590969069E-2</v>
      </c>
      <c r="M25" s="5">
        <f t="shared" si="17"/>
        <v>0.379938</v>
      </c>
      <c r="V25" s="5"/>
      <c r="W25" s="5"/>
      <c r="Y25" s="5"/>
      <c r="Z25" s="5"/>
    </row>
    <row r="26" spans="4:30" x14ac:dyDescent="0.2">
      <c r="E26" s="3">
        <f t="shared" si="10"/>
        <v>2.0512194253104141</v>
      </c>
      <c r="F26" s="3">
        <f t="shared" si="16"/>
        <v>29.355981443587911</v>
      </c>
      <c r="G26" s="3">
        <f t="shared" si="11"/>
        <v>17.027217179933643</v>
      </c>
      <c r="H26" s="3">
        <f t="shared" si="12"/>
        <v>14.311477885475576</v>
      </c>
      <c r="J26" s="3">
        <f t="shared" si="13"/>
        <v>6.4833537137100175</v>
      </c>
      <c r="K26" s="3">
        <f t="shared" si="14"/>
        <v>0.80179762127704601</v>
      </c>
      <c r="L26" s="13">
        <f t="shared" si="15"/>
        <v>0.38076414044630652</v>
      </c>
      <c r="M26" s="5">
        <f t="shared" si="17"/>
        <v>1.1161480000000001</v>
      </c>
      <c r="V26" s="5"/>
      <c r="W26" s="5"/>
      <c r="X26" s="5"/>
      <c r="Y26" s="5"/>
      <c r="Z26" s="5"/>
      <c r="AD26" s="16"/>
    </row>
    <row r="27" spans="4:30" x14ac:dyDescent="0.2">
      <c r="E27" s="3">
        <f t="shared" si="10"/>
        <v>1.6084011158957625</v>
      </c>
      <c r="F27" s="3">
        <f t="shared" si="16"/>
        <v>58.327108057300777</v>
      </c>
      <c r="G27" s="3">
        <f t="shared" si="11"/>
        <v>54.328551296431378</v>
      </c>
      <c r="H27" s="3">
        <f t="shared" si="12"/>
        <v>36.264031080839445</v>
      </c>
      <c r="J27" s="3">
        <f t="shared" si="13"/>
        <v>46.559626431146775</v>
      </c>
      <c r="K27" s="3">
        <f t="shared" si="14"/>
        <v>0.63984908738656066</v>
      </c>
      <c r="L27" s="13">
        <f t="shared" si="15"/>
        <v>0.85700106702836165</v>
      </c>
      <c r="M27" s="5">
        <f t="shared" si="17"/>
        <v>1.0552980000000001</v>
      </c>
      <c r="V27" s="5"/>
      <c r="W27" s="5"/>
      <c r="X27" s="5"/>
      <c r="Y27" s="5"/>
      <c r="Z27" s="5"/>
    </row>
    <row r="28" spans="4:30" x14ac:dyDescent="0.2">
      <c r="D28" t="s">
        <v>49</v>
      </c>
      <c r="E28" s="3">
        <f t="shared" si="10"/>
        <v>1.4649188558349382</v>
      </c>
      <c r="F28" s="3">
        <f t="shared" si="16"/>
        <v>58.351781815122095</v>
      </c>
      <c r="G28" s="3">
        <f t="shared" si="11"/>
        <v>53.961724828739655</v>
      </c>
      <c r="H28" s="3">
        <f t="shared" si="12"/>
        <v>39.832774069840333</v>
      </c>
      <c r="J28" s="3">
        <f t="shared" si="13"/>
        <v>46.689978329619237</v>
      </c>
      <c r="K28" s="3">
        <f t="shared" si="14"/>
        <v>0.57511349060766648</v>
      </c>
      <c r="L28" s="13">
        <f t="shared" si="15"/>
        <v>0.86524251175812061</v>
      </c>
      <c r="M28" s="5">
        <f t="shared" si="17"/>
        <v>1.3408</v>
      </c>
      <c r="V28" s="5"/>
      <c r="W28" s="5"/>
      <c r="X28" s="5"/>
      <c r="Y28" s="5"/>
      <c r="Z28" s="5"/>
    </row>
    <row r="29" spans="4:30" x14ac:dyDescent="0.2">
      <c r="D29" t="s">
        <v>50</v>
      </c>
      <c r="V29" s="5"/>
      <c r="W29" s="5"/>
      <c r="X29" s="5"/>
      <c r="Y29" s="5"/>
      <c r="Z29" s="5"/>
    </row>
    <row r="30" spans="4:30" x14ac:dyDescent="0.2">
      <c r="W30" s="5"/>
      <c r="X30" s="5"/>
      <c r="Y30" s="5"/>
      <c r="Z30" s="5"/>
    </row>
    <row r="31" spans="4:30" x14ac:dyDescent="0.2">
      <c r="D31" t="s">
        <v>35</v>
      </c>
    </row>
    <row r="32" spans="4:30" x14ac:dyDescent="0.2">
      <c r="D32" t="s">
        <v>36</v>
      </c>
    </row>
    <row r="34" spans="4:13" x14ac:dyDescent="0.2">
      <c r="D34" t="s">
        <v>59</v>
      </c>
    </row>
    <row r="42" spans="4:13" x14ac:dyDescent="0.2">
      <c r="F42" s="25" t="s">
        <v>105</v>
      </c>
      <c r="G42" s="25"/>
      <c r="H42" s="25"/>
      <c r="I42" s="25"/>
      <c r="J42" s="25"/>
      <c r="K42" s="25"/>
      <c r="L42" s="25"/>
      <c r="M42" s="25"/>
    </row>
    <row r="43" spans="4:13" x14ac:dyDescent="0.2">
      <c r="F43" s="25"/>
      <c r="G43" s="25"/>
      <c r="H43" s="25"/>
      <c r="I43" s="25"/>
      <c r="J43" s="25"/>
      <c r="K43" s="25"/>
      <c r="L43" s="25"/>
      <c r="M43" s="25"/>
    </row>
    <row r="44" spans="4:13" x14ac:dyDescent="0.2">
      <c r="F44" s="25"/>
      <c r="G44" s="25" t="s">
        <v>1</v>
      </c>
      <c r="H44" s="25" t="s">
        <v>101</v>
      </c>
      <c r="I44" s="25" t="s">
        <v>99</v>
      </c>
      <c r="J44" s="25" t="s">
        <v>100</v>
      </c>
      <c r="K44" s="25" t="s">
        <v>97</v>
      </c>
      <c r="L44" s="26" t="s">
        <v>98</v>
      </c>
      <c r="M44" s="25"/>
    </row>
    <row r="45" spans="4:13" x14ac:dyDescent="0.2">
      <c r="F45" s="25"/>
      <c r="G45" s="27" t="s">
        <v>2</v>
      </c>
      <c r="H45" s="28">
        <v>218.67000000000002</v>
      </c>
      <c r="I45" s="29">
        <v>217.60999999999999</v>
      </c>
      <c r="J45" s="29">
        <v>273.95999999999998</v>
      </c>
      <c r="K45" s="30">
        <v>216.71599999999998</v>
      </c>
      <c r="L45" s="28">
        <v>213.28299999999999</v>
      </c>
      <c r="M45" s="25"/>
    </row>
    <row r="46" spans="4:13" x14ac:dyDescent="0.2">
      <c r="F46" s="25"/>
      <c r="G46" s="27" t="s">
        <v>3</v>
      </c>
      <c r="H46" s="28">
        <v>183.73000000000002</v>
      </c>
      <c r="I46" s="29">
        <v>179.19</v>
      </c>
      <c r="J46" s="29">
        <v>267.19</v>
      </c>
      <c r="K46" s="30">
        <v>244.26</v>
      </c>
      <c r="L46" s="28">
        <v>244.25200000000001</v>
      </c>
      <c r="M46" s="25"/>
    </row>
    <row r="47" spans="4:13" x14ac:dyDescent="0.2">
      <c r="F47" s="25"/>
      <c r="G47" s="27" t="s">
        <v>16</v>
      </c>
      <c r="H47" s="28">
        <v>530.5</v>
      </c>
      <c r="I47" s="29">
        <v>521.05000000000007</v>
      </c>
      <c r="J47" s="29">
        <v>1407.36</v>
      </c>
      <c r="K47" s="30">
        <v>477.05599999999998</v>
      </c>
      <c r="L47" s="28">
        <v>465.22</v>
      </c>
      <c r="M47" s="25"/>
    </row>
    <row r="48" spans="4:13" x14ac:dyDescent="0.2">
      <c r="F48" s="25"/>
      <c r="G48" s="27" t="s">
        <v>4</v>
      </c>
      <c r="H48" s="28">
        <v>316.97999999999996</v>
      </c>
      <c r="I48" s="29">
        <v>310.65999999999997</v>
      </c>
      <c r="J48" s="29">
        <v>325.85999999999996</v>
      </c>
      <c r="K48" s="30">
        <v>203.554</v>
      </c>
      <c r="L48" s="28">
        <v>161.61800000000002</v>
      </c>
      <c r="M48" s="25"/>
    </row>
    <row r="49" spans="6:13" x14ac:dyDescent="0.2">
      <c r="F49" s="25"/>
      <c r="G49" s="27" t="s">
        <v>7</v>
      </c>
      <c r="H49" s="28">
        <v>409.16</v>
      </c>
      <c r="I49" s="29">
        <v>418.46</v>
      </c>
      <c r="J49" s="29">
        <v>2110.44</v>
      </c>
      <c r="K49" s="30">
        <v>343.89400000000001</v>
      </c>
      <c r="L49" s="28">
        <v>271.78699999999998</v>
      </c>
      <c r="M49" s="25"/>
    </row>
    <row r="50" spans="6:13" x14ac:dyDescent="0.2">
      <c r="F50" s="25"/>
      <c r="G50" s="27" t="s">
        <v>8</v>
      </c>
      <c r="H50" s="28">
        <v>122.53999999999999</v>
      </c>
      <c r="I50" s="29">
        <v>123.05000000000001</v>
      </c>
      <c r="J50" s="29">
        <v>137.25</v>
      </c>
      <c r="K50" s="30">
        <v>100.91200000000001</v>
      </c>
      <c r="L50" s="28">
        <v>85.619</v>
      </c>
      <c r="M50" s="25"/>
    </row>
    <row r="51" spans="6:13" x14ac:dyDescent="0.2">
      <c r="F51" s="25"/>
      <c r="G51" s="26" t="s">
        <v>5</v>
      </c>
      <c r="H51" s="28">
        <v>11245.300000000001</v>
      </c>
      <c r="I51" s="29">
        <v>11813.1</v>
      </c>
      <c r="J51" s="29">
        <v>47792.200000000004</v>
      </c>
      <c r="K51" s="30">
        <v>11638.400000000001</v>
      </c>
      <c r="L51" s="28">
        <v>6594.35</v>
      </c>
      <c r="M51" s="25"/>
    </row>
    <row r="52" spans="6:13" x14ac:dyDescent="0.2">
      <c r="F52" s="25"/>
      <c r="G52" s="27" t="s">
        <v>6</v>
      </c>
      <c r="H52" s="28">
        <v>17973.400000000001</v>
      </c>
      <c r="I52" s="29">
        <v>17878.2</v>
      </c>
      <c r="J52" s="29">
        <v>24385.200000000001</v>
      </c>
      <c r="K52" s="30">
        <v>13694.2</v>
      </c>
      <c r="L52" s="28">
        <v>10074</v>
      </c>
      <c r="M52" s="25"/>
    </row>
    <row r="53" spans="6:13" x14ac:dyDescent="0.2">
      <c r="F53" s="25"/>
      <c r="G53" s="26" t="s">
        <v>9</v>
      </c>
      <c r="H53" s="28">
        <v>1093.3900000000001</v>
      </c>
      <c r="I53" s="29">
        <v>1091.5</v>
      </c>
      <c r="J53" s="29">
        <v>3429.22</v>
      </c>
      <c r="K53" s="30">
        <v>982.05899999999997</v>
      </c>
      <c r="L53" s="28">
        <v>627.42600000000004</v>
      </c>
      <c r="M53" s="25"/>
    </row>
    <row r="54" spans="6:13" x14ac:dyDescent="0.2">
      <c r="F54" s="25"/>
      <c r="G54" s="31" t="s">
        <v>10</v>
      </c>
      <c r="H54" s="28">
        <v>1445.73</v>
      </c>
      <c r="I54" s="29">
        <v>1453.8999999999999</v>
      </c>
      <c r="J54" s="29">
        <v>4756.7199999999993</v>
      </c>
      <c r="K54" s="30">
        <v>1163.3</v>
      </c>
      <c r="L54" s="28">
        <v>831.09500000000003</v>
      </c>
      <c r="M54" s="25"/>
    </row>
    <row r="55" spans="6:13" x14ac:dyDescent="0.2">
      <c r="F55" s="25"/>
      <c r="G55" s="25"/>
      <c r="H55" s="25"/>
      <c r="I55" s="25"/>
      <c r="J55" s="25"/>
      <c r="K55" s="25"/>
      <c r="L55" s="25"/>
      <c r="M55" s="25"/>
    </row>
    <row r="56" spans="6:13" x14ac:dyDescent="0.2">
      <c r="F56" s="25"/>
      <c r="G56" s="25"/>
      <c r="H56" s="25"/>
      <c r="I56" s="25"/>
      <c r="J56" s="25"/>
      <c r="K56" s="25"/>
      <c r="L56" s="25"/>
      <c r="M56" s="25"/>
    </row>
    <row r="57" spans="6:13" x14ac:dyDescent="0.2">
      <c r="F57" s="25"/>
      <c r="G57" s="25"/>
      <c r="H57" s="25"/>
      <c r="I57" s="25"/>
      <c r="J57" s="25"/>
      <c r="K57" s="25"/>
      <c r="L57" s="25"/>
      <c r="M57" s="25"/>
    </row>
    <row r="58" spans="6:13" x14ac:dyDescent="0.2">
      <c r="F58" s="25"/>
      <c r="G58" s="25"/>
      <c r="H58" s="25"/>
      <c r="I58" s="25"/>
      <c r="J58" s="25"/>
      <c r="K58" s="25"/>
      <c r="L58" s="25"/>
      <c r="M58" s="25"/>
    </row>
    <row r="59" spans="6:13" x14ac:dyDescent="0.2">
      <c r="F59" s="25"/>
      <c r="G59" s="25"/>
      <c r="H59" s="25"/>
      <c r="I59" s="25"/>
      <c r="J59" s="25"/>
      <c r="K59" s="25"/>
      <c r="L59" s="25"/>
      <c r="M59" s="25"/>
    </row>
    <row r="60" spans="6:13" x14ac:dyDescent="0.2">
      <c r="F60" s="25"/>
      <c r="G60" s="25" t="s">
        <v>1</v>
      </c>
      <c r="H60" s="25" t="s">
        <v>102</v>
      </c>
      <c r="I60" s="25" t="s">
        <v>103</v>
      </c>
      <c r="J60" s="25" t="s">
        <v>104</v>
      </c>
      <c r="K60" s="25"/>
      <c r="L60" s="26"/>
      <c r="M60" s="25"/>
    </row>
    <row r="61" spans="6:13" x14ac:dyDescent="0.2">
      <c r="F61" s="25"/>
      <c r="G61" s="27" t="s">
        <v>2</v>
      </c>
      <c r="H61" s="32">
        <f>H45/K45</f>
        <v>1.0090164085715869</v>
      </c>
      <c r="I61" s="33">
        <f>I45/K45</f>
        <v>1.0041252145665296</v>
      </c>
      <c r="J61" s="33">
        <f>J45/K45</f>
        <v>1.2641429336089629</v>
      </c>
      <c r="K61" s="30"/>
      <c r="L61" s="28"/>
      <c r="M61" s="25"/>
    </row>
    <row r="62" spans="6:13" x14ac:dyDescent="0.2">
      <c r="F62" s="25"/>
      <c r="G62" s="27" t="s">
        <v>3</v>
      </c>
      <c r="H62" s="32">
        <f t="shared" ref="H62:H70" si="18">H46/K46</f>
        <v>0.75219028903627294</v>
      </c>
      <c r="I62" s="33">
        <f t="shared" ref="I62:I70" si="19">I46/K46</f>
        <v>0.7336035372144436</v>
      </c>
      <c r="J62" s="33">
        <f t="shared" ref="J62:J70" si="20">J46/K46</f>
        <v>1.0938753786948334</v>
      </c>
      <c r="K62" s="30"/>
      <c r="L62" s="28"/>
      <c r="M62" s="25"/>
    </row>
    <row r="63" spans="6:13" x14ac:dyDescent="0.2">
      <c r="F63" s="25"/>
      <c r="G63" s="27" t="s">
        <v>16</v>
      </c>
      <c r="H63" s="32">
        <f t="shared" si="18"/>
        <v>1.1120287764958412</v>
      </c>
      <c r="I63" s="33">
        <f t="shared" si="19"/>
        <v>1.092219781325463</v>
      </c>
      <c r="J63" s="33">
        <f t="shared" si="20"/>
        <v>2.950093909310437</v>
      </c>
      <c r="K63" s="30"/>
      <c r="L63" s="28"/>
      <c r="M63" s="25"/>
    </row>
    <row r="64" spans="6:13" x14ac:dyDescent="0.2">
      <c r="F64" s="25"/>
      <c r="G64" s="27" t="s">
        <v>4</v>
      </c>
      <c r="H64" s="32">
        <f t="shared" si="18"/>
        <v>1.5572280574196526</v>
      </c>
      <c r="I64" s="33">
        <f t="shared" si="19"/>
        <v>1.5261797852166992</v>
      </c>
      <c r="J64" s="33">
        <f t="shared" si="20"/>
        <v>1.6008528449453214</v>
      </c>
      <c r="K64" s="30"/>
      <c r="L64" s="28"/>
      <c r="M64" s="25"/>
    </row>
    <row r="65" spans="6:13" x14ac:dyDescent="0.2">
      <c r="F65" s="25"/>
      <c r="G65" s="27" t="s">
        <v>7</v>
      </c>
      <c r="H65" s="32">
        <f t="shared" si="18"/>
        <v>1.189785224516857</v>
      </c>
      <c r="I65" s="33">
        <f t="shared" si="19"/>
        <v>1.2168284413220352</v>
      </c>
      <c r="J65" s="33">
        <f t="shared" si="20"/>
        <v>6.1368910187441479</v>
      </c>
      <c r="K65" s="30"/>
      <c r="L65" s="28"/>
      <c r="M65" s="25"/>
    </row>
    <row r="66" spans="6:13" x14ac:dyDescent="0.2">
      <c r="F66" s="25"/>
      <c r="G66" s="27" t="s">
        <v>8</v>
      </c>
      <c r="H66" s="32">
        <f t="shared" si="18"/>
        <v>1.2143253527826223</v>
      </c>
      <c r="I66" s="33">
        <f t="shared" si="19"/>
        <v>1.2193792611384178</v>
      </c>
      <c r="J66" s="33">
        <f t="shared" si="20"/>
        <v>1.3600959251625178</v>
      </c>
      <c r="K66" s="30"/>
      <c r="L66" s="28"/>
      <c r="M66" s="25"/>
    </row>
    <row r="67" spans="6:13" x14ac:dyDescent="0.2">
      <c r="F67" s="25"/>
      <c r="G67" s="26" t="s">
        <v>5</v>
      </c>
      <c r="H67" s="32">
        <f t="shared" si="18"/>
        <v>0.96622387957107503</v>
      </c>
      <c r="I67" s="33">
        <f t="shared" si="19"/>
        <v>1.0150106543854824</v>
      </c>
      <c r="J67" s="33">
        <f t="shared" si="20"/>
        <v>4.106423563376409</v>
      </c>
      <c r="K67" s="30"/>
      <c r="L67" s="28"/>
      <c r="M67" s="25"/>
    </row>
    <row r="68" spans="6:13" x14ac:dyDescent="0.2">
      <c r="F68" s="25"/>
      <c r="G68" s="27" t="s">
        <v>6</v>
      </c>
      <c r="H68" s="32">
        <f t="shared" si="18"/>
        <v>1.3124826568912387</v>
      </c>
      <c r="I68" s="33">
        <f t="shared" si="19"/>
        <v>1.3055308086635218</v>
      </c>
      <c r="J68" s="33">
        <f t="shared" si="20"/>
        <v>1.780695476917235</v>
      </c>
      <c r="K68" s="30"/>
      <c r="L68" s="28"/>
      <c r="M68" s="25"/>
    </row>
    <row r="69" spans="6:13" x14ac:dyDescent="0.2">
      <c r="F69" s="25"/>
      <c r="G69" s="26" t="s">
        <v>9</v>
      </c>
      <c r="H69" s="32">
        <f t="shared" si="18"/>
        <v>1.1133648792995128</v>
      </c>
      <c r="I69" s="33">
        <f t="shared" si="19"/>
        <v>1.111440351343453</v>
      </c>
      <c r="J69" s="33">
        <f t="shared" si="20"/>
        <v>3.4918675965496981</v>
      </c>
      <c r="K69" s="30"/>
      <c r="L69" s="28"/>
      <c r="M69" s="25"/>
    </row>
    <row r="70" spans="6:13" x14ac:dyDescent="0.2">
      <c r="F70" s="25"/>
      <c r="G70" s="31" t="s">
        <v>10</v>
      </c>
      <c r="H70" s="32">
        <f t="shared" si="18"/>
        <v>1.2427834608441504</v>
      </c>
      <c r="I70" s="33">
        <f t="shared" si="19"/>
        <v>1.2498065847158943</v>
      </c>
      <c r="J70" s="33">
        <f t="shared" si="20"/>
        <v>4.0889882231582559</v>
      </c>
      <c r="K70" s="30"/>
      <c r="L70" s="28"/>
      <c r="M70" s="2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63C1-4776-254D-AB58-DB95BED4690B}">
  <dimension ref="A1:R34"/>
  <sheetViews>
    <sheetView zoomScale="119" zoomScaleNormal="142" workbookViewId="0">
      <selection activeCell="B23" sqref="B23:H23"/>
    </sheetView>
  </sheetViews>
  <sheetFormatPr baseColWidth="10" defaultRowHeight="16" x14ac:dyDescent="0.2"/>
  <cols>
    <col min="1" max="1" width="27.6640625" style="37" customWidth="1"/>
    <col min="14" max="14" width="18.5" bestFit="1" customWidth="1"/>
    <col min="15" max="15" width="15" bestFit="1" customWidth="1"/>
    <col min="16" max="16" width="13.83203125" bestFit="1" customWidth="1"/>
  </cols>
  <sheetData>
    <row r="1" spans="1:13" ht="51" x14ac:dyDescent="0.2">
      <c r="B1" s="18" t="s">
        <v>28</v>
      </c>
      <c r="C1" s="18" t="s">
        <v>65</v>
      </c>
      <c r="D1" s="18" t="s">
        <v>18</v>
      </c>
      <c r="E1" s="18" t="s">
        <v>66</v>
      </c>
      <c r="F1" s="18" t="s">
        <v>67</v>
      </c>
      <c r="G1" s="18" t="s">
        <v>68</v>
      </c>
      <c r="H1" s="18" t="s">
        <v>69</v>
      </c>
    </row>
    <row r="2" spans="1:13" x14ac:dyDescent="0.2">
      <c r="A2" s="38" t="s">
        <v>2</v>
      </c>
      <c r="B2" s="6">
        <v>149638</v>
      </c>
      <c r="C2" s="7">
        <v>2.5106600000000001</v>
      </c>
      <c r="D2" s="6">
        <v>497</v>
      </c>
      <c r="E2" s="6">
        <v>59601</v>
      </c>
      <c r="F2" s="6">
        <v>1000</v>
      </c>
      <c r="G2" s="6">
        <v>5</v>
      </c>
      <c r="H2" s="22">
        <f>CEILING(LOG(D2+1,2),1)*(B2+E2)*0.00000013</f>
        <v>0.24480963</v>
      </c>
      <c r="J2" s="7"/>
      <c r="M2" s="19"/>
    </row>
    <row r="3" spans="1:13" x14ac:dyDescent="0.2">
      <c r="A3" s="38" t="s">
        <v>3</v>
      </c>
      <c r="B3" s="6">
        <v>358278</v>
      </c>
      <c r="C3" s="7">
        <v>4.6222300000000001</v>
      </c>
      <c r="D3" s="6">
        <v>3340</v>
      </c>
      <c r="E3" s="6">
        <v>77511</v>
      </c>
      <c r="F3" s="6">
        <v>1000</v>
      </c>
      <c r="G3" s="6">
        <v>5</v>
      </c>
      <c r="H3" s="22">
        <f t="shared" ref="H3:H11" si="0">CEILING(LOG(D3+1,2),1)*(B3+E3)*0.00000013</f>
        <v>0.67983084000000005</v>
      </c>
      <c r="J3" s="7"/>
    </row>
    <row r="4" spans="1:13" x14ac:dyDescent="0.2">
      <c r="A4" s="38" t="s">
        <v>16</v>
      </c>
      <c r="B4" s="6">
        <v>558373</v>
      </c>
      <c r="C4" s="7">
        <v>7.9768699999999999</v>
      </c>
      <c r="D4" s="6">
        <v>21144</v>
      </c>
      <c r="E4" s="6">
        <v>69999</v>
      </c>
      <c r="F4" s="6">
        <v>1000</v>
      </c>
      <c r="G4" s="6">
        <v>5</v>
      </c>
      <c r="H4" s="22">
        <f t="shared" si="0"/>
        <v>1.2253254</v>
      </c>
      <c r="J4" s="7"/>
    </row>
    <row r="5" spans="1:13" x14ac:dyDescent="0.2">
      <c r="A5" s="38" t="s">
        <v>4</v>
      </c>
      <c r="B5" s="6">
        <v>37958</v>
      </c>
      <c r="C5" s="7">
        <v>51.997300000000003</v>
      </c>
      <c r="D5" s="6">
        <v>267</v>
      </c>
      <c r="E5" s="6">
        <v>730</v>
      </c>
      <c r="F5" s="6">
        <v>1000</v>
      </c>
      <c r="G5" s="6">
        <v>5</v>
      </c>
      <c r="H5" s="22">
        <f t="shared" si="0"/>
        <v>4.526496E-2</v>
      </c>
      <c r="J5" s="7"/>
    </row>
    <row r="6" spans="1:13" x14ac:dyDescent="0.2">
      <c r="A6" s="38" t="s">
        <v>7</v>
      </c>
      <c r="B6" s="6">
        <v>787066</v>
      </c>
      <c r="C6" s="7">
        <v>21.641100000000002</v>
      </c>
      <c r="D6" s="6">
        <v>13905</v>
      </c>
      <c r="E6" s="6">
        <v>36369</v>
      </c>
      <c r="F6" s="6">
        <v>1000</v>
      </c>
      <c r="G6" s="6">
        <v>5</v>
      </c>
      <c r="H6" s="22">
        <f t="shared" si="0"/>
        <v>1.4986516999999999</v>
      </c>
      <c r="J6" s="7"/>
    </row>
    <row r="7" spans="1:13" x14ac:dyDescent="0.2">
      <c r="A7" s="38" t="s">
        <v>8</v>
      </c>
      <c r="B7" s="6">
        <v>197251</v>
      </c>
      <c r="C7" s="7">
        <v>33.810600000000001</v>
      </c>
      <c r="D7" s="6">
        <v>9025</v>
      </c>
      <c r="E7" s="6">
        <v>5834</v>
      </c>
      <c r="F7" s="6">
        <v>1000</v>
      </c>
      <c r="G7" s="6">
        <v>5</v>
      </c>
      <c r="H7" s="22">
        <f t="shared" si="0"/>
        <v>0.36961470000000002</v>
      </c>
      <c r="J7" s="7"/>
    </row>
    <row r="8" spans="1:13" x14ac:dyDescent="0.2">
      <c r="A8" s="39" t="s">
        <v>5</v>
      </c>
      <c r="B8" s="8">
        <v>423776</v>
      </c>
      <c r="C8" s="7">
        <v>13.330500000000001</v>
      </c>
      <c r="D8" s="8">
        <v>17</v>
      </c>
      <c r="E8" s="8">
        <v>31790</v>
      </c>
      <c r="F8" s="6">
        <v>1000</v>
      </c>
      <c r="G8" s="6">
        <v>5</v>
      </c>
      <c r="H8" s="22">
        <f t="shared" si="0"/>
        <v>0.29611789999999999</v>
      </c>
      <c r="J8" s="7"/>
    </row>
    <row r="9" spans="1:13" x14ac:dyDescent="0.2">
      <c r="A9" s="38" t="s">
        <v>6</v>
      </c>
      <c r="B9" s="6">
        <v>741092</v>
      </c>
      <c r="C9" s="7">
        <v>36.239199999999997</v>
      </c>
      <c r="D9" s="6">
        <v>2990</v>
      </c>
      <c r="E9" s="6">
        <v>20450</v>
      </c>
      <c r="F9" s="6">
        <v>1000</v>
      </c>
      <c r="G9" s="6">
        <v>5</v>
      </c>
      <c r="H9" s="22">
        <f t="shared" si="0"/>
        <v>1.1880055199999999</v>
      </c>
    </row>
    <row r="10" spans="1:13" x14ac:dyDescent="0.2">
      <c r="A10" s="39" t="s">
        <v>9</v>
      </c>
      <c r="B10" s="8">
        <v>419621</v>
      </c>
      <c r="C10" s="7">
        <v>5.9327199999999998</v>
      </c>
      <c r="D10" s="8">
        <v>4018</v>
      </c>
      <c r="E10" s="8">
        <v>70729</v>
      </c>
      <c r="F10" s="6">
        <v>1000</v>
      </c>
      <c r="G10" s="6">
        <v>5</v>
      </c>
      <c r="H10" s="22">
        <f t="shared" si="0"/>
        <v>0.76494600000000001</v>
      </c>
    </row>
    <row r="11" spans="1:13" x14ac:dyDescent="0.2">
      <c r="A11" s="40" t="s">
        <v>10</v>
      </c>
      <c r="B11" s="8">
        <v>569493</v>
      </c>
      <c r="C11" s="7">
        <v>6.4900200000000003</v>
      </c>
      <c r="D11" s="8">
        <v>4719</v>
      </c>
      <c r="E11" s="8">
        <v>87748</v>
      </c>
      <c r="F11" s="6">
        <v>1000</v>
      </c>
      <c r="G11" s="6">
        <v>5</v>
      </c>
      <c r="H11" s="22">
        <f t="shared" si="0"/>
        <v>1.1107372900000001</v>
      </c>
    </row>
    <row r="12" spans="1:13" x14ac:dyDescent="0.2">
      <c r="F12" s="6"/>
      <c r="G12" s="6"/>
      <c r="H12" s="22"/>
    </row>
    <row r="13" spans="1:13" x14ac:dyDescent="0.2">
      <c r="A13" s="41" t="s">
        <v>70</v>
      </c>
      <c r="B13" s="23">
        <v>4761705</v>
      </c>
      <c r="C13" s="34">
        <v>8.3901000000000003</v>
      </c>
      <c r="D13" s="23">
        <v>474</v>
      </c>
      <c r="E13" s="23">
        <v>567538</v>
      </c>
      <c r="F13" s="36">
        <v>1000</v>
      </c>
      <c r="G13" s="36">
        <v>5</v>
      </c>
      <c r="H13" s="24">
        <f t="shared" ref="H13:H18" si="1">(_xlfn.CEILING.MATH(LOG(D13, 2)))*(B13)*0.000000125</f>
        <v>5.356918125</v>
      </c>
    </row>
    <row r="14" spans="1:13" x14ac:dyDescent="0.2">
      <c r="A14" s="41" t="s">
        <v>71</v>
      </c>
      <c r="B14" s="23">
        <v>4766822</v>
      </c>
      <c r="C14" s="34">
        <v>8.3976000000000006</v>
      </c>
      <c r="D14" s="23">
        <v>917</v>
      </c>
      <c r="E14" s="23">
        <v>567639</v>
      </c>
      <c r="F14" s="36">
        <v>1000</v>
      </c>
      <c r="G14" s="36">
        <v>5</v>
      </c>
      <c r="H14" s="24">
        <f t="shared" si="1"/>
        <v>5.9585274999999998</v>
      </c>
    </row>
    <row r="15" spans="1:13" x14ac:dyDescent="0.2">
      <c r="A15" s="41" t="s">
        <v>72</v>
      </c>
      <c r="B15" s="23">
        <v>4765510</v>
      </c>
      <c r="C15" s="34">
        <v>8.3926999999999996</v>
      </c>
      <c r="D15" s="23">
        <v>1307</v>
      </c>
      <c r="E15" s="23">
        <v>567812</v>
      </c>
      <c r="F15" s="36">
        <v>1000</v>
      </c>
      <c r="G15" s="36">
        <v>5</v>
      </c>
      <c r="H15" s="24">
        <f t="shared" si="1"/>
        <v>6.5525762499999995</v>
      </c>
    </row>
    <row r="16" spans="1:13" x14ac:dyDescent="0.2">
      <c r="A16" s="41" t="s">
        <v>73</v>
      </c>
      <c r="B16" s="23">
        <v>4761937</v>
      </c>
      <c r="C16" s="34">
        <v>8.3895999999999997</v>
      </c>
      <c r="D16" s="23">
        <v>1705</v>
      </c>
      <c r="E16" s="23">
        <v>567595</v>
      </c>
      <c r="F16" s="36">
        <v>1000</v>
      </c>
      <c r="G16" s="36">
        <v>5</v>
      </c>
      <c r="H16" s="24">
        <f t="shared" si="1"/>
        <v>6.547663375</v>
      </c>
    </row>
    <row r="17" spans="1:18" x14ac:dyDescent="0.2">
      <c r="A17" s="41" t="s">
        <v>74</v>
      </c>
      <c r="B17" s="23">
        <v>4768081</v>
      </c>
      <c r="C17" s="34">
        <v>8.3981999999999992</v>
      </c>
      <c r="D17" s="23">
        <v>2017</v>
      </c>
      <c r="E17" s="23">
        <v>567746</v>
      </c>
      <c r="F17" s="36">
        <v>1000</v>
      </c>
      <c r="G17" s="36">
        <v>5</v>
      </c>
      <c r="H17" s="24">
        <f t="shared" si="1"/>
        <v>6.5561113749999995</v>
      </c>
    </row>
    <row r="18" spans="1:18" x14ac:dyDescent="0.2">
      <c r="A18" s="41" t="s">
        <v>75</v>
      </c>
      <c r="B18" s="23">
        <v>4767858</v>
      </c>
      <c r="C18" s="34">
        <v>8.3941999999999997</v>
      </c>
      <c r="D18" s="23">
        <v>2325</v>
      </c>
      <c r="E18" s="23">
        <v>567988</v>
      </c>
      <c r="F18" s="36">
        <v>1000</v>
      </c>
      <c r="G18" s="36">
        <v>5</v>
      </c>
      <c r="H18" s="24">
        <f t="shared" si="1"/>
        <v>7.1517869999999997</v>
      </c>
    </row>
    <row r="19" spans="1:18" x14ac:dyDescent="0.2">
      <c r="A19" s="42"/>
      <c r="B19" s="23"/>
      <c r="C19" s="23"/>
      <c r="D19" s="23"/>
      <c r="E19" s="23"/>
      <c r="F19" s="23"/>
      <c r="G19" s="23"/>
      <c r="H19" s="24"/>
    </row>
    <row r="20" spans="1:18" x14ac:dyDescent="0.2">
      <c r="A20" s="42" t="s">
        <v>76</v>
      </c>
      <c r="B20" s="23">
        <v>5654658</v>
      </c>
      <c r="C20" s="34">
        <v>37.6</v>
      </c>
      <c r="D20" s="23">
        <v>917</v>
      </c>
      <c r="E20" s="23">
        <v>150000</v>
      </c>
      <c r="F20" s="23">
        <v>1000</v>
      </c>
      <c r="G20" s="23">
        <v>4</v>
      </c>
      <c r="H20" s="24">
        <f>(_xlfn.CEILING.MATH(LOG(D20, 2)))*(B20)*0.000000125</f>
        <v>7.0683224999999998</v>
      </c>
      <c r="O20" s="42"/>
      <c r="P20" s="42"/>
      <c r="Q20" s="42"/>
      <c r="R20" s="42"/>
    </row>
    <row r="21" spans="1:18" x14ac:dyDescent="0.2">
      <c r="A21" s="42" t="s">
        <v>77</v>
      </c>
      <c r="B21" s="23">
        <v>5345385</v>
      </c>
      <c r="C21" s="34">
        <v>17.8</v>
      </c>
      <c r="D21" s="23">
        <v>917</v>
      </c>
      <c r="E21" s="23">
        <v>299844</v>
      </c>
      <c r="F21" s="23">
        <v>1000</v>
      </c>
      <c r="G21" s="23">
        <v>4</v>
      </c>
      <c r="H21" s="24">
        <f>(_xlfn.CEILING.MATH(LOG(D21, 2)))*(B21)*0.000000125</f>
        <v>6.6817312499999995</v>
      </c>
    </row>
    <row r="22" spans="1:18" x14ac:dyDescent="0.2">
      <c r="A22" s="42" t="s">
        <v>78</v>
      </c>
      <c r="B22" s="23">
        <v>4766822</v>
      </c>
      <c r="C22" s="34">
        <v>8.39</v>
      </c>
      <c r="D22" s="23">
        <v>917</v>
      </c>
      <c r="E22" s="23">
        <v>567639</v>
      </c>
      <c r="F22" s="23">
        <v>1000</v>
      </c>
      <c r="G22" s="23">
        <v>4</v>
      </c>
      <c r="H22" s="24">
        <f>(_xlfn.CEILING.MATH(LOG(D22, 2)))*(B22)*0.000000125</f>
        <v>5.9585274999999998</v>
      </c>
    </row>
    <row r="23" spans="1:18" x14ac:dyDescent="0.2">
      <c r="A23" s="42" t="s">
        <v>79</v>
      </c>
      <c r="B23" s="23">
        <v>3690240</v>
      </c>
      <c r="C23" s="34">
        <v>4.22</v>
      </c>
      <c r="D23" s="23">
        <v>916</v>
      </c>
      <c r="E23" s="23">
        <v>872472</v>
      </c>
      <c r="F23" s="23">
        <v>1000</v>
      </c>
      <c r="G23" s="23">
        <v>4</v>
      </c>
      <c r="H23" s="24">
        <f>(_xlfn.CEILING.MATH(LOG(D23, 2)))*(B23)*0.000000125</f>
        <v>4.6128</v>
      </c>
    </row>
    <row r="24" spans="1:18" x14ac:dyDescent="0.2">
      <c r="H24" s="3"/>
      <c r="M24" s="19"/>
      <c r="N24" s="2"/>
    </row>
    <row r="25" spans="1:18" x14ac:dyDescent="0.2">
      <c r="A25" s="42" t="s">
        <v>80</v>
      </c>
      <c r="B25" s="23">
        <v>1783405</v>
      </c>
      <c r="C25" s="23">
        <v>20</v>
      </c>
      <c r="D25" s="23">
        <v>917</v>
      </c>
      <c r="E25" s="23">
        <v>100000</v>
      </c>
      <c r="F25" s="23">
        <v>1000</v>
      </c>
      <c r="G25" s="23">
        <v>5</v>
      </c>
      <c r="H25" s="24">
        <f>(_xlfn.CEILING.MATH(LOG(D25 + 1, 2)))*(B25+E25)*0.000000125</f>
        <v>2.3542562499999997</v>
      </c>
    </row>
    <row r="26" spans="1:18" x14ac:dyDescent="0.2">
      <c r="A26" s="42" t="s">
        <v>81</v>
      </c>
      <c r="B26" s="23">
        <v>3565014</v>
      </c>
      <c r="C26" s="23">
        <v>20</v>
      </c>
      <c r="D26" s="23">
        <v>917</v>
      </c>
      <c r="E26" s="23">
        <v>200000</v>
      </c>
      <c r="F26" s="23">
        <v>1000</v>
      </c>
      <c r="G26" s="23">
        <v>5</v>
      </c>
      <c r="H26" s="24">
        <f t="shared" ref="H26:H29" si="2">(_xlfn.CEILING.MATH(LOG(D26 + 1, 2)))*(B26+E26)*0.000000125</f>
        <v>4.7062675</v>
      </c>
    </row>
    <row r="27" spans="1:18" x14ac:dyDescent="0.2">
      <c r="A27" s="42" t="s">
        <v>82</v>
      </c>
      <c r="B27" s="23">
        <v>7129393</v>
      </c>
      <c r="C27" s="23">
        <v>20</v>
      </c>
      <c r="D27" s="23">
        <v>917</v>
      </c>
      <c r="E27" s="23">
        <v>400000</v>
      </c>
      <c r="F27" s="23">
        <v>1000</v>
      </c>
      <c r="G27" s="23">
        <v>5</v>
      </c>
      <c r="H27" s="24">
        <f t="shared" si="2"/>
        <v>9.4117412500000004</v>
      </c>
      <c r="O27" s="42"/>
    </row>
    <row r="28" spans="1:18" x14ac:dyDescent="0.2">
      <c r="A28" s="42" t="s">
        <v>83</v>
      </c>
      <c r="B28" s="23">
        <v>14261856</v>
      </c>
      <c r="C28" s="23">
        <v>20</v>
      </c>
      <c r="D28" s="23">
        <v>917</v>
      </c>
      <c r="E28" s="23">
        <v>800000</v>
      </c>
      <c r="F28" s="23">
        <v>1000</v>
      </c>
      <c r="G28" s="23">
        <v>5</v>
      </c>
      <c r="H28" s="24">
        <f t="shared" si="2"/>
        <v>18.82732</v>
      </c>
      <c r="O28" s="42"/>
    </row>
    <row r="29" spans="1:18" x14ac:dyDescent="0.2">
      <c r="A29" s="42" t="s">
        <v>96</v>
      </c>
      <c r="B29" s="23">
        <v>28525176</v>
      </c>
      <c r="C29" s="23">
        <v>20</v>
      </c>
      <c r="D29" s="23">
        <v>917</v>
      </c>
      <c r="E29" s="23">
        <v>1600000</v>
      </c>
      <c r="F29" s="23">
        <v>1000</v>
      </c>
      <c r="G29" s="23">
        <v>5</v>
      </c>
      <c r="H29" s="24">
        <f t="shared" si="2"/>
        <v>37.656469999999999</v>
      </c>
      <c r="O29" s="42"/>
    </row>
    <row r="30" spans="1:18" x14ac:dyDescent="0.2">
      <c r="O30" s="42"/>
    </row>
    <row r="34" spans="1:1" x14ac:dyDescent="0.2">
      <c r="A34" s="4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4818-23C8-9F49-86EC-AD4318367E09}">
  <dimension ref="A1:G20"/>
  <sheetViews>
    <sheetView workbookViewId="0">
      <selection activeCell="E8" sqref="E8:E10"/>
    </sheetView>
  </sheetViews>
  <sheetFormatPr baseColWidth="10" defaultRowHeight="16" x14ac:dyDescent="0.2"/>
  <cols>
    <col min="1" max="1" width="21.6640625" customWidth="1"/>
    <col min="6" max="6" width="12.6640625" customWidth="1"/>
  </cols>
  <sheetData>
    <row r="1" spans="1:7" x14ac:dyDescent="0.2">
      <c r="A1" s="45" t="s">
        <v>84</v>
      </c>
      <c r="B1" s="45" t="s">
        <v>70</v>
      </c>
      <c r="C1" s="45" t="s">
        <v>71</v>
      </c>
      <c r="D1" s="45" t="s">
        <v>72</v>
      </c>
      <c r="E1" s="45" t="s">
        <v>73</v>
      </c>
      <c r="F1" s="45" t="s">
        <v>74</v>
      </c>
      <c r="G1" s="45" t="s">
        <v>75</v>
      </c>
    </row>
    <row r="2" spans="1:7" x14ac:dyDescent="0.2">
      <c r="A2" s="37" t="s">
        <v>85</v>
      </c>
      <c r="B2" s="3">
        <v>1566.7</v>
      </c>
      <c r="C2" s="3">
        <v>1660.8</v>
      </c>
      <c r="D2" s="3">
        <v>2483</v>
      </c>
      <c r="E2" s="3">
        <v>3158.4</v>
      </c>
      <c r="F2" s="3">
        <v>2834.5</v>
      </c>
      <c r="G2" s="3">
        <v>2536.1999999999998</v>
      </c>
    </row>
    <row r="3" spans="1:7" x14ac:dyDescent="0.2">
      <c r="A3" s="37" t="s">
        <v>86</v>
      </c>
      <c r="B3" s="3">
        <v>1.1839999999999999</v>
      </c>
      <c r="C3" s="3">
        <v>1.179</v>
      </c>
      <c r="D3" s="3">
        <v>1.2230000000000001</v>
      </c>
      <c r="E3" s="3">
        <v>1.2829999999999999</v>
      </c>
      <c r="F3" s="3">
        <v>1.3089999999999999</v>
      </c>
      <c r="G3" s="3">
        <v>1.3839999999999999</v>
      </c>
    </row>
    <row r="4" spans="1:7" x14ac:dyDescent="0.2">
      <c r="A4" s="37" t="s">
        <v>87</v>
      </c>
      <c r="B4" s="3">
        <v>109.5</v>
      </c>
      <c r="C4" s="3">
        <v>140.19999999999999</v>
      </c>
      <c r="D4" s="3">
        <v>168.8</v>
      </c>
      <c r="E4" s="3">
        <v>197.1</v>
      </c>
      <c r="F4" s="3">
        <v>219</v>
      </c>
      <c r="G4" s="3">
        <v>240.5</v>
      </c>
    </row>
    <row r="5" spans="1:7" x14ac:dyDescent="0.2">
      <c r="A5" s="37"/>
      <c r="B5" s="37"/>
      <c r="C5" s="37"/>
      <c r="D5" s="37"/>
      <c r="E5" s="37"/>
      <c r="F5" s="37"/>
      <c r="G5" s="37"/>
    </row>
    <row r="6" spans="1:7" x14ac:dyDescent="0.2">
      <c r="A6" s="37"/>
      <c r="B6" s="37"/>
      <c r="C6" s="37"/>
      <c r="D6" s="37"/>
      <c r="E6" s="37"/>
      <c r="F6" s="37"/>
      <c r="G6" s="37"/>
    </row>
    <row r="7" spans="1:7" x14ac:dyDescent="0.2">
      <c r="A7" s="45" t="s">
        <v>88</v>
      </c>
      <c r="B7" s="47" t="s">
        <v>76</v>
      </c>
      <c r="C7" s="47" t="s">
        <v>77</v>
      </c>
      <c r="D7" s="47" t="s">
        <v>78</v>
      </c>
      <c r="E7" s="47" t="s">
        <v>79</v>
      </c>
      <c r="F7" s="37"/>
      <c r="G7" s="37"/>
    </row>
    <row r="8" spans="1:7" x14ac:dyDescent="0.2">
      <c r="A8" s="37" t="s">
        <v>85</v>
      </c>
      <c r="B8" s="3">
        <v>903.26</v>
      </c>
      <c r="C8" s="3">
        <v>1457.2</v>
      </c>
      <c r="D8" s="3">
        <v>2188</v>
      </c>
      <c r="E8" s="3">
        <v>1581</v>
      </c>
      <c r="F8" s="37"/>
      <c r="G8" s="37"/>
    </row>
    <row r="9" spans="1:7" x14ac:dyDescent="0.2">
      <c r="A9" s="37" t="s">
        <v>86</v>
      </c>
      <c r="B9" s="3">
        <v>0.43169999999999997</v>
      </c>
      <c r="C9" s="3">
        <v>0.68179999999999996</v>
      </c>
      <c r="D9" s="3">
        <v>1.2619</v>
      </c>
      <c r="E9" s="3">
        <v>1.8303</v>
      </c>
      <c r="F9" s="37"/>
      <c r="G9" s="37"/>
    </row>
    <row r="10" spans="1:7" x14ac:dyDescent="0.2">
      <c r="A10" s="37" t="s">
        <v>87</v>
      </c>
      <c r="B10" s="3">
        <v>94.72</v>
      </c>
      <c r="C10" s="3">
        <v>116.1</v>
      </c>
      <c r="D10" s="3">
        <v>140.19999999999999</v>
      </c>
      <c r="E10" s="3">
        <v>145.6</v>
      </c>
      <c r="F10" s="37"/>
      <c r="G10" s="37"/>
    </row>
    <row r="11" spans="1:7" x14ac:dyDescent="0.2">
      <c r="A11" s="37"/>
      <c r="B11" s="37"/>
      <c r="C11" s="37"/>
      <c r="D11" s="37"/>
      <c r="E11" s="37"/>
      <c r="F11" s="37"/>
      <c r="G11" s="37"/>
    </row>
    <row r="12" spans="1:7" ht="34" x14ac:dyDescent="0.2">
      <c r="A12" s="43" t="s">
        <v>89</v>
      </c>
      <c r="B12" s="44" t="s">
        <v>80</v>
      </c>
      <c r="C12" s="44" t="s">
        <v>81</v>
      </c>
      <c r="D12" s="44" t="s">
        <v>82</v>
      </c>
      <c r="E12" s="44" t="s">
        <v>83</v>
      </c>
      <c r="F12" s="44" t="s">
        <v>96</v>
      </c>
      <c r="G12" s="37"/>
    </row>
    <row r="13" spans="1:7" x14ac:dyDescent="0.2">
      <c r="A13" s="48" t="s">
        <v>85</v>
      </c>
      <c r="B13" s="3">
        <v>136.61000000000001</v>
      </c>
      <c r="C13" s="3">
        <v>475.08</v>
      </c>
      <c r="D13" s="3">
        <v>1926.8</v>
      </c>
      <c r="E13" s="3">
        <v>8722.5</v>
      </c>
      <c r="F13" s="3">
        <v>35947</v>
      </c>
      <c r="G13" s="37"/>
    </row>
    <row r="14" spans="1:7" x14ac:dyDescent="0.2">
      <c r="A14" s="48" t="s">
        <v>86</v>
      </c>
      <c r="B14" s="3">
        <v>0.21460000000000001</v>
      </c>
      <c r="C14" s="3">
        <v>0.41439999999999999</v>
      </c>
      <c r="D14" s="3">
        <v>0.82530000000000003</v>
      </c>
      <c r="E14" s="3">
        <v>1.6207</v>
      </c>
      <c r="F14" s="3">
        <v>3.2633000000000001</v>
      </c>
      <c r="G14" s="37"/>
    </row>
    <row r="15" spans="1:7" x14ac:dyDescent="0.2">
      <c r="A15" s="48" t="s">
        <v>87</v>
      </c>
      <c r="B15" s="3">
        <v>39.338999999999999</v>
      </c>
      <c r="C15" s="3">
        <v>77.602999999999994</v>
      </c>
      <c r="D15" s="3">
        <v>155.13</v>
      </c>
      <c r="E15" s="3">
        <v>310.72000000000003</v>
      </c>
      <c r="F15" s="3">
        <v>628.12</v>
      </c>
      <c r="G15" s="37"/>
    </row>
    <row r="16" spans="1:7" x14ac:dyDescent="0.2">
      <c r="A16" s="37"/>
      <c r="B16" s="37"/>
      <c r="C16" s="37"/>
      <c r="D16" s="37"/>
      <c r="E16" s="37"/>
      <c r="F16" s="37"/>
      <c r="G16" s="37"/>
    </row>
    <row r="17" spans="1:7" x14ac:dyDescent="0.2">
      <c r="A17" s="37"/>
      <c r="B17" s="37"/>
      <c r="C17" s="37"/>
      <c r="D17" s="37"/>
      <c r="E17" s="37"/>
      <c r="F17" s="37"/>
      <c r="G17" s="37"/>
    </row>
    <row r="18" spans="1:7" x14ac:dyDescent="0.2">
      <c r="A18" s="43" t="s">
        <v>90</v>
      </c>
      <c r="B18" s="46">
        <v>3</v>
      </c>
      <c r="C18" s="46">
        <v>6</v>
      </c>
      <c r="D18" s="46">
        <v>12</v>
      </c>
      <c r="E18" s="37"/>
      <c r="F18" s="37"/>
      <c r="G18" s="37"/>
    </row>
    <row r="19" spans="1:7" x14ac:dyDescent="0.2">
      <c r="A19" s="48" t="s">
        <v>91</v>
      </c>
      <c r="B19" s="3">
        <v>0.33</v>
      </c>
      <c r="C19" s="3">
        <v>0.24</v>
      </c>
      <c r="D19" s="3">
        <v>0.251</v>
      </c>
      <c r="E19" s="37"/>
      <c r="F19" s="37"/>
      <c r="G19" s="37"/>
    </row>
    <row r="20" spans="1:7" x14ac:dyDescent="0.2">
      <c r="A20" s="37"/>
      <c r="B20" s="37"/>
      <c r="C20" s="37"/>
      <c r="D20" s="37"/>
      <c r="E20" s="37"/>
      <c r="F20" s="37"/>
      <c r="G20" s="37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3737-30C3-EC4B-B14F-31EA51A18C07}">
  <dimension ref="A1:M19"/>
  <sheetViews>
    <sheetView workbookViewId="0">
      <selection activeCell="H41" sqref="H41"/>
    </sheetView>
  </sheetViews>
  <sheetFormatPr baseColWidth="10" defaultRowHeight="16" x14ac:dyDescent="0.2"/>
  <cols>
    <col min="1" max="1" width="21.6640625" customWidth="1"/>
    <col min="6" max="6" width="13.83203125" customWidth="1"/>
  </cols>
  <sheetData>
    <row r="1" spans="1:13" x14ac:dyDescent="0.2">
      <c r="A1" s="20" t="s">
        <v>84</v>
      </c>
      <c r="B1" s="20" t="s">
        <v>70</v>
      </c>
      <c r="C1" s="20" t="s">
        <v>71</v>
      </c>
      <c r="D1" s="20" t="s">
        <v>72</v>
      </c>
      <c r="E1" s="20" t="s">
        <v>73</v>
      </c>
      <c r="F1" s="20" t="s">
        <v>74</v>
      </c>
      <c r="G1" s="20" t="s">
        <v>75</v>
      </c>
    </row>
    <row r="2" spans="1:13" x14ac:dyDescent="0.2">
      <c r="A2" t="s">
        <v>85</v>
      </c>
      <c r="B2" s="12">
        <v>23.474599999999999</v>
      </c>
      <c r="C2" s="12">
        <v>15.491199999999999</v>
      </c>
      <c r="D2" s="12">
        <v>13.5718</v>
      </c>
      <c r="E2" s="12">
        <v>12.5456</v>
      </c>
      <c r="F2" s="12">
        <v>12.1496</v>
      </c>
      <c r="G2" s="12">
        <v>11.860200000000001</v>
      </c>
    </row>
    <row r="3" spans="1:13" x14ac:dyDescent="0.2">
      <c r="A3" t="s">
        <v>86</v>
      </c>
      <c r="B3" s="12">
        <v>3.262</v>
      </c>
      <c r="C3" s="12">
        <v>1.359</v>
      </c>
      <c r="D3" s="12">
        <v>0.93300000000000005</v>
      </c>
      <c r="E3" s="12">
        <v>0.67700000000000005</v>
      </c>
      <c r="F3" s="12">
        <v>0.56399999999999995</v>
      </c>
      <c r="G3" s="12">
        <v>0.52500000000000002</v>
      </c>
    </row>
    <row r="4" spans="1:13" x14ac:dyDescent="0.2">
      <c r="A4" t="s">
        <v>87</v>
      </c>
      <c r="B4" s="12">
        <v>10.417999999999999</v>
      </c>
      <c r="C4" s="12">
        <v>11.542999999999999</v>
      </c>
      <c r="D4" s="12">
        <v>12.314</v>
      </c>
      <c r="E4" s="12">
        <v>12.589</v>
      </c>
      <c r="F4" s="12">
        <v>12.794</v>
      </c>
      <c r="G4" s="12">
        <v>12.929</v>
      </c>
    </row>
    <row r="7" spans="1:13" x14ac:dyDescent="0.2">
      <c r="A7" s="20" t="s">
        <v>88</v>
      </c>
      <c r="B7" s="35" t="s">
        <v>76</v>
      </c>
      <c r="C7" s="35" t="s">
        <v>77</v>
      </c>
      <c r="D7" s="35" t="s">
        <v>78</v>
      </c>
      <c r="E7" s="35" t="s">
        <v>79</v>
      </c>
    </row>
    <row r="8" spans="1:13" x14ac:dyDescent="0.2">
      <c r="A8" t="s">
        <v>85</v>
      </c>
      <c r="B8" s="3">
        <v>29.538</v>
      </c>
      <c r="C8" s="3">
        <v>27.83</v>
      </c>
      <c r="D8" s="3">
        <v>23.213999999999999</v>
      </c>
      <c r="E8" s="3">
        <v>13.843</v>
      </c>
    </row>
    <row r="9" spans="1:13" x14ac:dyDescent="0.2">
      <c r="A9" t="s">
        <v>86</v>
      </c>
      <c r="B9" s="3">
        <v>2.7848999999999999</v>
      </c>
      <c r="C9" s="3">
        <v>2.2625000000000002</v>
      </c>
      <c r="D9" s="3">
        <v>1.8178000000000001</v>
      </c>
      <c r="E9" s="3">
        <v>1.2593000000000001</v>
      </c>
    </row>
    <row r="10" spans="1:13" x14ac:dyDescent="0.2">
      <c r="A10" t="s">
        <v>87</v>
      </c>
      <c r="B10" s="3">
        <v>16.196000000000002</v>
      </c>
      <c r="C10" s="3">
        <v>15.041</v>
      </c>
      <c r="D10" s="3">
        <v>11.542999999999999</v>
      </c>
      <c r="E10" s="3">
        <v>6.9244000000000003</v>
      </c>
    </row>
    <row r="12" spans="1:13" ht="34" x14ac:dyDescent="0.2">
      <c r="A12" s="43" t="s">
        <v>89</v>
      </c>
      <c r="B12" s="44" t="s">
        <v>80</v>
      </c>
      <c r="C12" s="44" t="s">
        <v>81</v>
      </c>
      <c r="D12" s="44" t="s">
        <v>82</v>
      </c>
      <c r="E12" s="44" t="s">
        <v>83</v>
      </c>
      <c r="F12" s="44" t="s">
        <v>96</v>
      </c>
    </row>
    <row r="13" spans="1:13" x14ac:dyDescent="0.2">
      <c r="A13" s="19" t="s">
        <v>85</v>
      </c>
      <c r="B13" s="3">
        <v>2.8852000000000002</v>
      </c>
      <c r="C13" s="3">
        <v>8.6217000000000006</v>
      </c>
      <c r="D13" s="3">
        <v>32.975000000000001</v>
      </c>
      <c r="E13" s="3">
        <v>133.30000000000001</v>
      </c>
      <c r="F13" s="3">
        <v>535.53</v>
      </c>
      <c r="I13" s="3"/>
      <c r="J13" s="3"/>
      <c r="K13" s="3"/>
      <c r="L13" s="3"/>
      <c r="M13" s="3"/>
    </row>
    <row r="14" spans="1:13" x14ac:dyDescent="0.2">
      <c r="A14" s="19" t="s">
        <v>86</v>
      </c>
      <c r="B14" s="3">
        <v>0.40078000000000003</v>
      </c>
      <c r="C14" s="3">
        <v>0.93627000000000005</v>
      </c>
      <c r="D14" s="3">
        <v>2.5071699999999999</v>
      </c>
      <c r="E14" s="3">
        <v>9.2869399999999995</v>
      </c>
      <c r="F14" s="3">
        <v>35.579599999999999</v>
      </c>
    </row>
    <row r="15" spans="1:13" x14ac:dyDescent="0.2">
      <c r="A15" s="19" t="s">
        <v>87</v>
      </c>
      <c r="B15" s="3">
        <v>4.9820000000000002</v>
      </c>
      <c r="C15" s="3">
        <v>9.8733000000000004</v>
      </c>
      <c r="D15" s="3">
        <v>19.581</v>
      </c>
      <c r="E15" s="3">
        <v>39.14</v>
      </c>
      <c r="F15" s="3">
        <v>78.849000000000004</v>
      </c>
    </row>
    <row r="18" spans="1:4" x14ac:dyDescent="0.2">
      <c r="A18" s="21" t="s">
        <v>90</v>
      </c>
      <c r="B18" s="7">
        <v>3</v>
      </c>
      <c r="C18" s="7">
        <v>6</v>
      </c>
      <c r="D18" s="7">
        <v>12</v>
      </c>
    </row>
    <row r="19" spans="1:4" x14ac:dyDescent="0.2">
      <c r="A19" s="19" t="s">
        <v>91</v>
      </c>
      <c r="B19" s="12">
        <v>0.72785299999999997</v>
      </c>
      <c r="C19" s="12">
        <v>0.394067</v>
      </c>
      <c r="D19" s="12">
        <v>0.27705099999999999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59C9-20A1-4A40-9756-CC7FB36D2C96}">
  <dimension ref="A1:I20"/>
  <sheetViews>
    <sheetView workbookViewId="0">
      <selection activeCell="G23" sqref="G23"/>
    </sheetView>
  </sheetViews>
  <sheetFormatPr baseColWidth="10" defaultRowHeight="16" x14ac:dyDescent="0.2"/>
  <cols>
    <col min="1" max="1" width="21.6640625" customWidth="1"/>
    <col min="6" max="6" width="16.5" customWidth="1"/>
  </cols>
  <sheetData>
    <row r="1" spans="1:9" x14ac:dyDescent="0.2">
      <c r="A1" s="45" t="s">
        <v>84</v>
      </c>
      <c r="B1" s="45" t="s">
        <v>70</v>
      </c>
      <c r="C1" s="45" t="s">
        <v>71</v>
      </c>
      <c r="D1" s="45" t="s">
        <v>72</v>
      </c>
      <c r="E1" s="45" t="s">
        <v>73</v>
      </c>
      <c r="F1" s="45" t="s">
        <v>74</v>
      </c>
      <c r="G1" s="45" t="s">
        <v>75</v>
      </c>
      <c r="H1" s="37"/>
      <c r="I1" s="37"/>
    </row>
    <row r="2" spans="1:9" x14ac:dyDescent="0.2">
      <c r="A2" s="37" t="s">
        <v>85</v>
      </c>
      <c r="B2" s="3">
        <v>21.43</v>
      </c>
      <c r="C2" s="3">
        <v>12.95</v>
      </c>
      <c r="D2" s="3">
        <v>10.68</v>
      </c>
      <c r="E2" s="3">
        <v>9.2959999999999994</v>
      </c>
      <c r="F2" s="3">
        <v>8.73</v>
      </c>
      <c r="G2" s="3">
        <v>8.1449999999999996</v>
      </c>
      <c r="H2" s="37"/>
      <c r="I2" s="37"/>
    </row>
    <row r="3" spans="1:9" x14ac:dyDescent="0.2">
      <c r="A3" s="37" t="s">
        <v>86</v>
      </c>
      <c r="B3" s="3">
        <v>1.1499999999999999</v>
      </c>
      <c r="C3" s="3">
        <v>1.17</v>
      </c>
      <c r="D3" s="3">
        <v>1.1499999999999999</v>
      </c>
      <c r="E3" s="3">
        <v>1.21</v>
      </c>
      <c r="F3" s="3">
        <v>1.1599999999999999</v>
      </c>
      <c r="G3" s="3">
        <v>1.24</v>
      </c>
      <c r="H3" s="37"/>
      <c r="I3" s="37"/>
    </row>
    <row r="4" spans="1:9" x14ac:dyDescent="0.2">
      <c r="A4" s="37" t="s">
        <v>87</v>
      </c>
      <c r="B4" s="3">
        <v>169.46</v>
      </c>
      <c r="C4" s="3">
        <v>204.87</v>
      </c>
      <c r="D4" s="3">
        <v>234.13</v>
      </c>
      <c r="E4" s="3">
        <v>263.18</v>
      </c>
      <c r="F4" s="3">
        <v>286.31</v>
      </c>
      <c r="G4" s="3">
        <v>308.55</v>
      </c>
      <c r="H4" s="37"/>
      <c r="I4" s="37"/>
    </row>
    <row r="5" spans="1:9" x14ac:dyDescent="0.2">
      <c r="A5" s="37"/>
      <c r="B5" s="37"/>
      <c r="C5" s="37"/>
      <c r="D5" s="37"/>
      <c r="E5" s="37"/>
      <c r="F5" s="37"/>
      <c r="G5" s="37"/>
      <c r="H5" s="37"/>
      <c r="I5" s="37"/>
    </row>
    <row r="6" spans="1:9" x14ac:dyDescent="0.2">
      <c r="A6" s="37"/>
      <c r="B6" s="37"/>
      <c r="C6" s="37"/>
      <c r="D6" s="37"/>
      <c r="E6" s="37"/>
      <c r="F6" s="37"/>
      <c r="G6" s="37"/>
      <c r="H6" s="37"/>
      <c r="I6" s="37"/>
    </row>
    <row r="7" spans="1:9" ht="34" x14ac:dyDescent="0.2">
      <c r="A7" s="45" t="s">
        <v>88</v>
      </c>
      <c r="B7" s="44" t="s">
        <v>76</v>
      </c>
      <c r="C7" s="44" t="s">
        <v>77</v>
      </c>
      <c r="D7" s="44" t="s">
        <v>78</v>
      </c>
      <c r="E7" s="44" t="s">
        <v>79</v>
      </c>
      <c r="F7" s="37"/>
      <c r="G7" s="37"/>
      <c r="H7" s="37"/>
      <c r="I7" s="37"/>
    </row>
    <row r="8" spans="1:9" x14ac:dyDescent="0.2">
      <c r="A8" s="37" t="s">
        <v>85</v>
      </c>
      <c r="B8" s="3">
        <v>11.48</v>
      </c>
      <c r="C8" s="3">
        <v>19.97</v>
      </c>
      <c r="D8" s="3">
        <v>24.006</v>
      </c>
      <c r="E8" s="3">
        <v>25.302</v>
      </c>
      <c r="F8" s="37"/>
      <c r="G8" s="37"/>
      <c r="H8" s="37"/>
      <c r="I8" s="37"/>
    </row>
    <row r="9" spans="1:9" x14ac:dyDescent="0.2">
      <c r="A9" s="37" t="s">
        <v>86</v>
      </c>
      <c r="B9" s="49">
        <v>2.0158</v>
      </c>
      <c r="C9" s="49">
        <v>1.3463000000000001</v>
      </c>
      <c r="D9" s="49">
        <v>0.7278</v>
      </c>
      <c r="E9" s="3">
        <v>0.40110000000000001</v>
      </c>
      <c r="F9" s="37"/>
      <c r="G9" s="37"/>
      <c r="H9" s="37"/>
      <c r="I9" s="37"/>
    </row>
    <row r="10" spans="1:9" x14ac:dyDescent="0.2">
      <c r="A10" s="37" t="s">
        <v>87</v>
      </c>
      <c r="B10" s="3">
        <v>166.54</v>
      </c>
      <c r="C10" s="3">
        <v>204.87</v>
      </c>
      <c r="D10" s="3">
        <v>230.14</v>
      </c>
      <c r="E10" s="3">
        <v>235.94</v>
      </c>
      <c r="F10" s="37"/>
      <c r="G10" s="37"/>
      <c r="H10" s="37"/>
      <c r="I10" s="37"/>
    </row>
    <row r="11" spans="1:9" x14ac:dyDescent="0.2">
      <c r="A11" s="37"/>
      <c r="B11" s="37"/>
      <c r="C11" s="37"/>
      <c r="D11" s="37"/>
      <c r="E11" s="37"/>
      <c r="F11" s="37"/>
      <c r="G11" s="37"/>
      <c r="H11" s="37"/>
      <c r="I11" s="37"/>
    </row>
    <row r="12" spans="1:9" ht="34" x14ac:dyDescent="0.2">
      <c r="A12" s="43" t="s">
        <v>89</v>
      </c>
      <c r="B12" s="44" t="s">
        <v>80</v>
      </c>
      <c r="C12" s="44" t="s">
        <v>81</v>
      </c>
      <c r="D12" s="44" t="s">
        <v>82</v>
      </c>
      <c r="E12" s="44" t="s">
        <v>83</v>
      </c>
      <c r="F12" s="44" t="s">
        <v>96</v>
      </c>
      <c r="G12" s="37"/>
      <c r="H12" s="37"/>
      <c r="I12" s="37"/>
    </row>
    <row r="13" spans="1:9" x14ac:dyDescent="0.2">
      <c r="A13" s="48" t="s">
        <v>85</v>
      </c>
      <c r="B13" s="3">
        <v>1.7496</v>
      </c>
      <c r="C13" s="3">
        <v>6.4573999999999998</v>
      </c>
      <c r="D13" s="3">
        <v>28.422000000000001</v>
      </c>
      <c r="E13" s="3">
        <v>123.14</v>
      </c>
      <c r="F13" s="3">
        <v>516.45000000000005</v>
      </c>
      <c r="G13" s="37"/>
      <c r="H13" s="37"/>
      <c r="I13" s="37"/>
    </row>
    <row r="14" spans="1:9" x14ac:dyDescent="0.2">
      <c r="A14" s="48" t="s">
        <v>86</v>
      </c>
      <c r="B14" s="3">
        <v>0.23710000000000001</v>
      </c>
      <c r="C14" s="3">
        <v>0.40699999999999997</v>
      </c>
      <c r="D14" s="3">
        <v>0.81459999999999999</v>
      </c>
      <c r="E14" s="3">
        <v>1.6174999999999999</v>
      </c>
      <c r="F14" s="3">
        <v>3.3256999999999999</v>
      </c>
      <c r="G14" s="37"/>
      <c r="H14" s="37"/>
      <c r="I14" s="37"/>
    </row>
    <row r="15" spans="1:9" x14ac:dyDescent="0.2">
      <c r="A15" s="48" t="s">
        <v>87</v>
      </c>
      <c r="B15" s="3">
        <v>77.650999999999996</v>
      </c>
      <c r="C15" s="3">
        <v>154.18</v>
      </c>
      <c r="D15" s="3">
        <v>305.94</v>
      </c>
      <c r="E15" s="3">
        <v>606.86</v>
      </c>
      <c r="F15" s="3">
        <v>1203.2</v>
      </c>
      <c r="G15" s="37"/>
      <c r="H15" s="37"/>
      <c r="I15" s="37"/>
    </row>
    <row r="16" spans="1:9" x14ac:dyDescent="0.2">
      <c r="A16" s="37"/>
      <c r="B16" s="37"/>
      <c r="C16" s="37"/>
      <c r="D16" s="37"/>
      <c r="E16" s="37"/>
      <c r="F16" s="37"/>
      <c r="G16" s="37"/>
      <c r="H16" s="37"/>
      <c r="I16" s="37"/>
    </row>
    <row r="17" spans="1:9" x14ac:dyDescent="0.2">
      <c r="A17" s="37"/>
      <c r="B17" s="37"/>
      <c r="C17" s="37"/>
      <c r="D17" s="37"/>
      <c r="E17" s="37"/>
      <c r="F17" s="37"/>
      <c r="G17" s="37"/>
      <c r="H17" s="37"/>
      <c r="I17" s="37"/>
    </row>
    <row r="18" spans="1:9" x14ac:dyDescent="0.2">
      <c r="A18" s="43" t="s">
        <v>90</v>
      </c>
      <c r="B18" s="46">
        <v>3</v>
      </c>
      <c r="C18" s="46">
        <v>6</v>
      </c>
      <c r="D18" s="46">
        <v>12</v>
      </c>
      <c r="E18" s="37"/>
      <c r="F18" s="37"/>
      <c r="G18" s="37"/>
      <c r="H18" s="37"/>
      <c r="I18" s="37"/>
    </row>
    <row r="19" spans="1:9" x14ac:dyDescent="0.2">
      <c r="A19" s="48" t="s">
        <v>91</v>
      </c>
      <c r="B19" s="3">
        <v>0.29499999999999998</v>
      </c>
      <c r="C19" s="3">
        <v>0.23699999999999999</v>
      </c>
      <c r="D19" s="3">
        <v>0.248</v>
      </c>
      <c r="E19" s="37"/>
      <c r="F19" s="37"/>
      <c r="G19" s="37"/>
      <c r="H19" s="37"/>
      <c r="I19" s="37"/>
    </row>
    <row r="20" spans="1:9" x14ac:dyDescent="0.2">
      <c r="A20" s="37"/>
      <c r="B20" s="37"/>
      <c r="C20" s="37"/>
      <c r="D20" s="37"/>
      <c r="E20" s="37"/>
      <c r="F20" s="37"/>
      <c r="G20" s="37"/>
      <c r="H20" s="37"/>
      <c r="I20" s="37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648C-B816-D84A-B1B5-DD6FA8D1652B}">
  <sheetPr>
    <pageSetUpPr fitToPage="1"/>
  </sheetPr>
  <dimension ref="A1"/>
  <sheetViews>
    <sheetView topLeftCell="A41" zoomScale="84" workbookViewId="0">
      <selection activeCell="H98" sqref="H9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7799-6C31-A447-9B6F-EA553D67BBB0}">
  <dimension ref="A1"/>
  <sheetViews>
    <sheetView tabSelected="1" workbookViewId="0">
      <selection activeCell="B7" sqref="B7:M3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93A3-2BEC-884C-9469-CABEA7D7D002}">
  <sheetPr>
    <pageSetUpPr fitToPage="1"/>
  </sheetPr>
  <dimension ref="A1"/>
  <sheetViews>
    <sheetView zoomScale="50" workbookViewId="0">
      <selection activeCell="Z99" sqref="Z99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All RAW Data</vt:lpstr>
      <vt:lpstr>Datasets Attributes, Notes</vt:lpstr>
      <vt:lpstr>Scalability CPT+</vt:lpstr>
      <vt:lpstr>Scalability sCPT  HYBRID</vt:lpstr>
      <vt:lpstr>Scalability CPT</vt:lpstr>
      <vt:lpstr>Scalability Charts</vt:lpstr>
      <vt:lpstr>Charts</vt:lpstr>
      <vt:lpstr>Scalability LATEX</vt:lpstr>
      <vt:lpstr>Charts!Print_Area</vt:lpstr>
      <vt:lpstr>'Scalability Charts'!Print_Area</vt:lpstr>
      <vt:lpstr>'Scalability LATEX'!Print_Area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Ktistakis</cp:lastModifiedBy>
  <cp:lastPrinted>2019-07-08T11:27:08Z</cp:lastPrinted>
  <dcterms:created xsi:type="dcterms:W3CDTF">2017-01-11T11:58:08Z</dcterms:created>
  <dcterms:modified xsi:type="dcterms:W3CDTF">2019-07-08T11:27:11Z</dcterms:modified>
</cp:coreProperties>
</file>