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Library/Containers/com.microsoft.Excel/Data/Desktop/"/>
    </mc:Choice>
  </mc:AlternateContent>
  <xr:revisionPtr revIDLastSave="0" documentId="13_ncr:1_{0E72398A-863A-714C-9132-13F71309E7A5}" xr6:coauthVersionLast="36" xr6:coauthVersionMax="36" xr10:uidLastSave="{00000000-0000-0000-0000-000000000000}"/>
  <bookViews>
    <workbookView xWindow="16600" yWindow="4540" windowWidth="28800" windowHeight="18000" tabRatio="500" xr2:uid="{00000000-000D-0000-FFFF-FFFF00000000}"/>
  </bookViews>
  <sheets>
    <sheet name="Sheet1" sheetId="2" r:id="rId1"/>
    <sheet name="Sheet2" sheetId="3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0" i="2" l="1"/>
  <c r="R60" i="2"/>
  <c r="R50" i="2"/>
  <c r="R40" i="2"/>
  <c r="R30" i="2"/>
  <c r="R20" i="2"/>
  <c r="R10" i="2"/>
  <c r="K60" i="2" l="1"/>
  <c r="K70" i="2" l="1"/>
  <c r="K50" i="2"/>
  <c r="K40" i="2"/>
  <c r="K30" i="2"/>
  <c r="K10" i="2"/>
  <c r="K20" i="2"/>
  <c r="J60" i="2" l="1"/>
  <c r="J70" i="2"/>
  <c r="J40" i="2"/>
  <c r="J20" i="2"/>
  <c r="J10" i="2"/>
  <c r="J50" i="2" l="1"/>
  <c r="J30" i="2"/>
  <c r="I10" i="2"/>
  <c r="I20" i="2"/>
  <c r="I30" i="2"/>
  <c r="I40" i="2"/>
  <c r="I50" i="2"/>
  <c r="I70" i="2"/>
  <c r="I60" i="2"/>
  <c r="H60" i="2"/>
  <c r="H70" i="2"/>
  <c r="H50" i="2"/>
  <c r="H40" i="2"/>
  <c r="H30" i="2"/>
  <c r="H20" i="2"/>
  <c r="H10" i="2"/>
  <c r="G70" i="2"/>
  <c r="G50" i="2"/>
  <c r="G60" i="2"/>
  <c r="G40" i="2"/>
  <c r="G30" i="2"/>
  <c r="G20" i="2"/>
  <c r="G10" i="2"/>
  <c r="F40" i="2"/>
  <c r="N4" i="3"/>
  <c r="N9" i="3"/>
  <c r="N14" i="3"/>
  <c r="N19" i="3"/>
  <c r="N24" i="3"/>
  <c r="N29" i="3"/>
  <c r="N34" i="3"/>
  <c r="N39" i="3"/>
  <c r="N44" i="3"/>
  <c r="N49" i="3"/>
  <c r="N54" i="3"/>
  <c r="N59" i="3"/>
  <c r="N64" i="3"/>
  <c r="N69" i="3"/>
  <c r="N74" i="3"/>
  <c r="N79" i="3"/>
  <c r="M80" i="3"/>
  <c r="M75" i="3"/>
  <c r="M70" i="3"/>
  <c r="M65" i="3"/>
  <c r="M60" i="3"/>
  <c r="M55" i="3"/>
  <c r="M50" i="3"/>
  <c r="M40" i="3"/>
  <c r="M45" i="3"/>
  <c r="X55" i="3"/>
  <c r="Y55" i="3"/>
  <c r="X60" i="3"/>
  <c r="Y60" i="3"/>
  <c r="X65" i="3"/>
  <c r="Y65" i="3"/>
  <c r="X70" i="3"/>
  <c r="Y70" i="3"/>
  <c r="X75" i="3"/>
  <c r="Y75" i="3"/>
  <c r="X80" i="3"/>
  <c r="Y80" i="3"/>
  <c r="X30" i="3"/>
  <c r="Y30" i="3"/>
  <c r="X35" i="3"/>
  <c r="Y35" i="3"/>
  <c r="X40" i="3"/>
  <c r="Y40" i="3"/>
  <c r="X45" i="3"/>
  <c r="Y45" i="3"/>
  <c r="X50" i="3"/>
  <c r="Y50" i="3"/>
  <c r="X10" i="3"/>
  <c r="Y10" i="3"/>
  <c r="X15" i="3"/>
  <c r="Y15" i="3"/>
  <c r="X20" i="3"/>
  <c r="Y20" i="3"/>
  <c r="X25" i="3"/>
  <c r="Y25" i="3"/>
  <c r="Y5" i="3"/>
  <c r="X5" i="3"/>
  <c r="M5" i="3"/>
  <c r="L60" i="2"/>
  <c r="M79" i="2"/>
  <c r="M80" i="2"/>
  <c r="L10" i="2"/>
  <c r="L70" i="2"/>
  <c r="L40" i="2"/>
  <c r="L50" i="2"/>
  <c r="L20" i="2"/>
  <c r="L30" i="2"/>
  <c r="AD70" i="2"/>
  <c r="AC70" i="2"/>
  <c r="AD60" i="2"/>
  <c r="AC60" i="2"/>
  <c r="AD50" i="2"/>
  <c r="AC50" i="2"/>
  <c r="AD40" i="2"/>
  <c r="AC40" i="2"/>
  <c r="AD30" i="2"/>
  <c r="AC30" i="2"/>
  <c r="AD20" i="2"/>
  <c r="AC20" i="2"/>
  <c r="AD10" i="2"/>
  <c r="AC10" i="2"/>
  <c r="D79" i="2"/>
  <c r="D80" i="2"/>
  <c r="S68" i="2"/>
  <c r="S58" i="2"/>
  <c r="S48" i="2"/>
  <c r="S38" i="2"/>
  <c r="S28" i="2"/>
  <c r="S18" i="2"/>
  <c r="S8" i="2"/>
  <c r="F70" i="2"/>
  <c r="F60" i="2"/>
  <c r="F50" i="2"/>
  <c r="F30" i="2"/>
  <c r="F20" i="2"/>
  <c r="F10" i="2"/>
</calcChain>
</file>

<file path=xl/sharedStrings.xml><?xml version="1.0" encoding="utf-8"?>
<sst xmlns="http://schemas.openxmlformats.org/spreadsheetml/2006/main" count="543" uniqueCount="75">
  <si>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</si>
  <si>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</si>
  <si>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</si>
  <si>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</si>
  <si>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</si>
  <si>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</si>
  <si>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</si>
  <si>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</si>
  <si>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</si>
  <si>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</si>
  <si>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</si>
  <si>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</si>
  <si>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</si>
  <si>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</si>
  <si>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</si>
  <si>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</si>
  <si>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</si>
  <si>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</si>
  <si>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</si>
  <si>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</si>
  <si>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</si>
  <si>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</si>
  <si>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subSeq (BWT implementationi)</t>
  </si>
  <si>
    <t>Test Time (ms)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</si>
  <si>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</si>
  <si>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</si>
  <si>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</si>
  <si>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</si>
  <si>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</si>
  <si>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</si>
  <si>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</si>
  <si>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</si>
  <si>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</si>
  <si>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</si>
  <si>
    <t>SPiCe (Spectral Learning Baseline)</t>
  </si>
  <si>
    <t>SPICE</t>
  </si>
  <si>
    <t>Dataset Length **</t>
  </si>
  <si>
    <t>Alphabet Size **</t>
  </si>
  <si>
    <t>Number of Sequencies **</t>
  </si>
  <si>
    <t>Number of Queries **</t>
  </si>
  <si>
    <t>Average Query Length **</t>
  </si>
  <si>
    <t>Binary Size (MB) **</t>
  </si>
  <si>
    <t>Average Sequence Length **</t>
  </si>
  <si>
    <t>CPT+ in this case only stores the last 8 items of every training sequence. On the other hand subSeq stores the whole 133 items of a sequence</t>
  </si>
  <si>
    <t>Ratio of subSeq memory over Binary Size</t>
  </si>
  <si>
    <t>Ratio of CPT+ memory over Binary Size</t>
  </si>
  <si>
    <t>** Every Dataset was split into 14 folds. The above stats correspond to the average stats of folds</t>
  </si>
  <si>
    <t>Time Ratio: subSeq over CPT+</t>
  </si>
  <si>
    <t>Memory Ratio: CPT+ over subSeq</t>
  </si>
  <si>
    <t>Overall Accur %</t>
  </si>
  <si>
    <t>SPICE0</t>
  </si>
  <si>
    <t>SPICE1</t>
  </si>
  <si>
    <t>SPICE2</t>
  </si>
  <si>
    <t>SPICE3</t>
  </si>
  <si>
    <t>SPICE4</t>
  </si>
  <si>
    <t>SPICE5</t>
  </si>
  <si>
    <t>SPICE6</t>
  </si>
  <si>
    <t>SPICE7</t>
  </si>
  <si>
    <t>SPICE8</t>
  </si>
  <si>
    <t>SPICE9</t>
  </si>
  <si>
    <t>SPICE10</t>
  </si>
  <si>
    <t>SPICE11</t>
  </si>
  <si>
    <t>SPICE12</t>
  </si>
  <si>
    <t>SPICE13</t>
  </si>
  <si>
    <t>SPICE14</t>
  </si>
  <si>
    <t>SPICE15</t>
  </si>
  <si>
    <t>subSeq (BWT implementationi)***</t>
  </si>
  <si>
    <t>*** subSeq has one single parameter (maxPredictionCount); this parameters was not tuned in this experiment; We might get better resutls if we tune it</t>
  </si>
  <si>
    <t>/+Opt1: subSeq (keeping neighbour expansion results in map per query)</t>
  </si>
  <si>
    <t>/+OPT1': subSeq bugfix in getting consequents; extra ranks removed</t>
  </si>
  <si>
    <t>/+OPT2   : subSeq (scan uses sdsl::wt.interval_symbols)</t>
  </si>
  <si>
    <t>/+OPT3   : subSeq (scan threshold between wt.interval_symbols &amp; loop access)</t>
  </si>
  <si>
    <t>/+OPT4   : subSeq (LplusOne is used in getting consequents)</t>
  </si>
  <si>
    <t>0.25 test base again</t>
  </si>
  <si>
    <t>0.42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</si>
</sst>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2" fontId="0" fillId="4" borderId="0" xfId="0" applyNumberFormat="1" applyFill="1"/>
    <xf numFmtId="165" fontId="0" fillId="0" borderId="0" xfId="0" applyNumberFormat="1" applyFill="1"/>
    <xf numFmtId="0" fontId="0" fillId="3" borderId="0" xfId="0" applyFill="1" applyAlignment="1">
      <alignment horizontal="center"/>
    </xf>
    <xf numFmtId="1" fontId="0" fillId="2" borderId="0" xfId="0" applyNumberFormat="1" applyFill="1"/>
    <xf numFmtId="1" fontId="1" fillId="0" borderId="0" xfId="0" applyNumberFormat="1" applyFont="1" applyAlignment="1">
      <alignment wrapText="1"/>
    </xf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" fontId="0" fillId="2" borderId="0" xfId="0" applyNumberFormat="1" applyFill="1" applyAlignment="1">
      <alignment horizontal="center"/>
    </xf>
  </cellXfs>
  <cellStyles count="9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Memory</a:t>
            </a:r>
            <a:r>
              <a:rPr lang="en-US"/>
              <a:t> / Binary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Ratio of subSeq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(Sheet1!$AC$10,Sheet1!$AC$20,Sheet1!$AC$30,Sheet1!$AC$40,Sheet1!$AC$50,Sheet1!$AC$60,Sheet1!$AC$70)</c:f>
              <c:numCache>
                <c:formatCode>0.00</c:formatCode>
                <c:ptCount val="7"/>
                <c:pt idx="0">
                  <c:v>2.2950819672131151</c:v>
                </c:pt>
                <c:pt idx="1">
                  <c:v>3.098591549295775</c:v>
                </c:pt>
                <c:pt idx="2">
                  <c:v>5.8479532163742691</c:v>
                </c:pt>
                <c:pt idx="3">
                  <c:v>1.625</c:v>
                </c:pt>
                <c:pt idx="4">
                  <c:v>0.27777777777777773</c:v>
                </c:pt>
                <c:pt idx="5">
                  <c:v>0.97826086956521752</c:v>
                </c:pt>
                <c:pt idx="6">
                  <c:v>2.1785714285714284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4-9B44-8BB9-C149FD2578C6}"/>
            </c:ext>
          </c:extLst>
        </c:ser>
        <c:ser>
          <c:idx val="1"/>
          <c:order val="1"/>
          <c:tx>
            <c:strRef>
              <c:f>Sheet1!$AD$2</c:f>
              <c:strCache>
                <c:ptCount val="1"/>
                <c:pt idx="0">
                  <c:v>Ratio of CPT+ memory over Binary Size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(Sheet1!$AD$10,Sheet1!$AD$20,Sheet1!$AD$30,Sheet1!$AD$40,Sheet1!$AD$50,Sheet1!$AD$60,Sheet1!$AD$70)</c:f>
              <c:numCache>
                <c:formatCode>0.00</c:formatCode>
                <c:ptCount val="7"/>
                <c:pt idx="0">
                  <c:v>6.0655737704918034</c:v>
                </c:pt>
                <c:pt idx="1">
                  <c:v>0.53521126760563387</c:v>
                </c:pt>
                <c:pt idx="2">
                  <c:v>2.9239766081871346</c:v>
                </c:pt>
                <c:pt idx="3">
                  <c:v>10.625</c:v>
                </c:pt>
                <c:pt idx="4">
                  <c:v>0.20370370370370369</c:v>
                </c:pt>
                <c:pt idx="5">
                  <c:v>43.513043478260869</c:v>
                </c:pt>
                <c:pt idx="6">
                  <c:v>4.8571428571428568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4-9B44-8BB9-C149FD2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82688"/>
        <c:axId val="-886322928"/>
      </c:barChart>
      <c:catAx>
        <c:axId val="-8814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6322928"/>
        <c:crosses val="autoZero"/>
        <c:auto val="1"/>
        <c:lblAlgn val="ctr"/>
        <c:lblOffset val="100"/>
        <c:noMultiLvlLbl val="0"/>
      </c:catAx>
      <c:valAx>
        <c:axId val="-886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over input binary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Speed (ms) for whole testing fold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(Sheet1!$D$10,Sheet1!$D$20,Sheet1!$D$30,Sheet1!$D$40,Sheet1!$D$50,Sheet1!$D$60,Sheet1!$D$70)</c:f>
              <c:numCache>
                <c:formatCode>0.00</c:formatCode>
                <c:ptCount val="7"/>
                <c:pt idx="0">
                  <c:v>136.5</c:v>
                </c:pt>
                <c:pt idx="1">
                  <c:v>32.42</c:v>
                </c:pt>
                <c:pt idx="2">
                  <c:v>49.7</c:v>
                </c:pt>
                <c:pt idx="3">
                  <c:v>69.42</c:v>
                </c:pt>
                <c:pt idx="4">
                  <c:v>15.7</c:v>
                </c:pt>
                <c:pt idx="5">
                  <c:v>5990</c:v>
                </c:pt>
                <c:pt idx="6">
                  <c:v>65.209999999999994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8-1D4D-A693-492BE9B879B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(Sheet1!$E$10,Sheet1!$E$20,Sheet1!$E$30,Sheet1!$E$40,Sheet1!$E$50,Sheet1!$E$60,Sheet1!$E$70)</c:f>
              <c:numCache>
                <c:formatCode>0.00</c:formatCode>
                <c:ptCount val="7"/>
                <c:pt idx="0">
                  <c:v>96.6</c:v>
                </c:pt>
                <c:pt idx="1">
                  <c:v>41.21</c:v>
                </c:pt>
                <c:pt idx="2">
                  <c:v>24.14</c:v>
                </c:pt>
                <c:pt idx="3">
                  <c:v>7.07</c:v>
                </c:pt>
                <c:pt idx="4">
                  <c:v>7.35</c:v>
                </c:pt>
                <c:pt idx="5">
                  <c:v>5897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8-1D4D-A693-492BE9B879B6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subSeq (BWT implementationi)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(Sheet1!$C$1,Sheet1!$C$11,Sheet1!$C$21,Sheet1!$C$31,Sheet1!$C$41,Sheet1!$C$51,Sheet1!$C$61)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BIBLE_WORD</c:v>
                </c:pt>
                <c:pt idx="4">
                  <c:v>BIBLE_CHAR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(Sheet1!$F$10,Sheet1!$F$20,Sheet1!$F$30,Sheet1!$F$40,Sheet1!$F$50,Sheet1!$F$60,Sheet1!$F$70)</c:f>
              <c:numCache>
                <c:formatCode>0</c:formatCode>
                <c:ptCount val="7"/>
                <c:pt idx="0">
                  <c:v>3210</c:v>
                </c:pt>
                <c:pt idx="1">
                  <c:v>1690</c:v>
                </c:pt>
                <c:pt idx="2">
                  <c:v>800</c:v>
                </c:pt>
                <c:pt idx="3">
                  <c:v>590</c:v>
                </c:pt>
                <c:pt idx="4">
                  <c:v>430</c:v>
                </c:pt>
                <c:pt idx="5">
                  <c:v>344000</c:v>
                </c:pt>
                <c:pt idx="6" formatCode="0.00">
                  <c:v>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8-1D4D-A693-492BE9B8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466048"/>
        <c:axId val="-881463840"/>
      </c:barChart>
      <c:catAx>
        <c:axId val="-8814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3840"/>
        <c:crosses val="autoZero"/>
        <c:auto val="1"/>
        <c:lblAlgn val="ctr"/>
        <c:lblOffset val="100"/>
        <c:noMultiLvlLbl val="0"/>
      </c:catAx>
      <c:valAx>
        <c:axId val="-88146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4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Predictors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563996336103E-2"/>
          <c:y val="0.13178002894356"/>
          <c:w val="0.64087681409087505"/>
          <c:h val="0.80541745957587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(Sheet2!$C$1,Sheet2!$C$6,Sheet2!$C$11,Sheet2!$C$16,Sheet2!$C$21,Sheet2!$C$26,Sheet2!$C$31,Sheet2!$C$36,Sheet2!$C$41,Sheet2!$C$46,Sheet2!$C$51,Sheet2!$C$56,Sheet2!$C$61,Sheet2!$C$66,Sheet2!$C$71,Sheet2!$C$76)</c:f>
              <c:strCache>
                <c:ptCount val="16"/>
                <c:pt idx="0">
                  <c:v>SPICE0</c:v>
                </c:pt>
                <c:pt idx="1">
                  <c:v>SPICE1</c:v>
                </c:pt>
                <c:pt idx="2">
                  <c:v>SPICE2</c:v>
                </c:pt>
                <c:pt idx="3">
                  <c:v>SPICE3</c:v>
                </c:pt>
                <c:pt idx="4">
                  <c:v>SPICE4</c:v>
                </c:pt>
                <c:pt idx="5">
                  <c:v>SPICE5</c:v>
                </c:pt>
                <c:pt idx="6">
                  <c:v>SPICE6</c:v>
                </c:pt>
                <c:pt idx="7">
                  <c:v>SPICE7</c:v>
                </c:pt>
                <c:pt idx="8">
                  <c:v>SPICE8</c:v>
                </c:pt>
                <c:pt idx="9">
                  <c:v>SPICE9</c:v>
                </c:pt>
                <c:pt idx="10">
                  <c:v>SPICE10</c:v>
                </c:pt>
                <c:pt idx="11">
                  <c:v>SPICE11</c:v>
                </c:pt>
                <c:pt idx="12">
                  <c:v>SPICE12</c:v>
                </c:pt>
                <c:pt idx="13">
                  <c:v>SPICE13</c:v>
                </c:pt>
                <c:pt idx="14">
                  <c:v>SPICE14</c:v>
                </c:pt>
                <c:pt idx="15">
                  <c:v>SPICE15</c:v>
                </c:pt>
              </c:strCache>
            </c:strRef>
          </c:cat>
          <c:val>
            <c:numRef>
              <c:f>(Sheet2!$B$3,Sheet2!$B$8,Sheet2!$B$13,Sheet2!$B$18,Sheet2!$B$23,Sheet2!$B$28,Sheet2!$B$33,Sheet2!$B$38,Sheet2!$B$43,Sheet2!$B$48,Sheet2!$B$53,Sheet2!$B$58,Sheet2!$B$63,Sheet2!$B$68,Sheet2!$B$73,Sheet2!$B$78)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26.88</c:v>
                </c:pt>
                <c:pt idx="2">
                  <c:v>36.5</c:v>
                </c:pt>
                <c:pt idx="3">
                  <c:v>26.28</c:v>
                </c:pt>
                <c:pt idx="4">
                  <c:v>76.966999999999999</c:v>
                </c:pt>
                <c:pt idx="5">
                  <c:v>0.7</c:v>
                </c:pt>
                <c:pt idx="6">
                  <c:v>29.983000000000001</c:v>
                </c:pt>
                <c:pt idx="7">
                  <c:v>54.92</c:v>
                </c:pt>
                <c:pt idx="8">
                  <c:v>37.380000000000003</c:v>
                </c:pt>
                <c:pt idx="9">
                  <c:v>49.097000000000001</c:v>
                </c:pt>
                <c:pt idx="10">
                  <c:v>12.98</c:v>
                </c:pt>
                <c:pt idx="11">
                  <c:v>48.3</c:v>
                </c:pt>
                <c:pt idx="12">
                  <c:v>12.4</c:v>
                </c:pt>
                <c:pt idx="13">
                  <c:v>41.92</c:v>
                </c:pt>
                <c:pt idx="14">
                  <c:v>59.52</c:v>
                </c:pt>
                <c:pt idx="15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B-8542-A3CF-085626BEE154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TDAG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(Sheet2!$C$3,Sheet2!$C$8,Sheet2!$C$13,Sheet2!$C$18,Sheet2!$C$23,Sheet2!$C$28,Sheet2!$C$33,Sheet2!$C$38,Sheet2!$C$43,Sheet2!$C$48,Sheet2!$C$53,Sheet2!$C$58,Sheet2!$C$63,Sheet2!$C$68,Sheet2!$C$73,Sheet2!$C$78)</c:f>
              <c:numCache>
                <c:formatCode>0</c:formatCode>
                <c:ptCount val="16"/>
                <c:pt idx="0">
                  <c:v>61.86</c:v>
                </c:pt>
                <c:pt idx="1">
                  <c:v>8.16</c:v>
                </c:pt>
                <c:pt idx="2">
                  <c:v>26.88</c:v>
                </c:pt>
                <c:pt idx="3">
                  <c:v>21.12</c:v>
                </c:pt>
                <c:pt idx="4">
                  <c:v>59.064999999999998</c:v>
                </c:pt>
                <c:pt idx="5">
                  <c:v>84.4</c:v>
                </c:pt>
                <c:pt idx="6">
                  <c:v>34.106000000000002</c:v>
                </c:pt>
                <c:pt idx="7">
                  <c:v>22.68</c:v>
                </c:pt>
                <c:pt idx="8">
                  <c:v>40.020000000000003</c:v>
                </c:pt>
                <c:pt idx="9">
                  <c:v>61.011000000000003</c:v>
                </c:pt>
                <c:pt idx="10">
                  <c:v>83.5</c:v>
                </c:pt>
                <c:pt idx="11">
                  <c:v>13.5</c:v>
                </c:pt>
                <c:pt idx="12">
                  <c:v>4.6399999999999997</c:v>
                </c:pt>
                <c:pt idx="13">
                  <c:v>21.52</c:v>
                </c:pt>
                <c:pt idx="14">
                  <c:v>73.62</c:v>
                </c:pt>
                <c:pt idx="15">
                  <c:v>33.78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B-8542-A3CF-085626BEE154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CPT+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(Sheet2!$D$3,Sheet2!$D$8,Sheet2!$D$13,Sheet2!$D$18,Sheet2!$D$23,Sheet2!$D$28,Sheet2!$D$33,Sheet2!$D$38,Sheet2!$D$43,Sheet2!$D$48,Sheet2!$D$53,Sheet2!$D$58,Sheet2!$D$63,Sheet2!$D$68,Sheet2!$D$73,Sheet2!$D$78)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26.64</c:v>
                </c:pt>
                <c:pt idx="2">
                  <c:v>36.5</c:v>
                </c:pt>
                <c:pt idx="3">
                  <c:v>26.44</c:v>
                </c:pt>
                <c:pt idx="4">
                  <c:v>57.107999999999997</c:v>
                </c:pt>
                <c:pt idx="5">
                  <c:v>99.9</c:v>
                </c:pt>
                <c:pt idx="6">
                  <c:v>28.225999999999999</c:v>
                </c:pt>
                <c:pt idx="7">
                  <c:v>56.14</c:v>
                </c:pt>
                <c:pt idx="8">
                  <c:v>96.64</c:v>
                </c:pt>
                <c:pt idx="9">
                  <c:v>49.146000000000001</c:v>
                </c:pt>
                <c:pt idx="10">
                  <c:v>95.94</c:v>
                </c:pt>
                <c:pt idx="11">
                  <c:v>90.72</c:v>
                </c:pt>
                <c:pt idx="12">
                  <c:v>11.34</c:v>
                </c:pt>
                <c:pt idx="13">
                  <c:v>36.9</c:v>
                </c:pt>
                <c:pt idx="14">
                  <c:v>55.06</c:v>
                </c:pt>
                <c:pt idx="1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B-8542-A3CF-085626BEE154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CPT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(Sheet2!$E$3,Sheet2!$E$8,Sheet2!$E$13,Sheet2!$E$18,Sheet2!$E$23,Sheet2!$E$28,Sheet2!$E$33,Sheet2!$E$38,Sheet2!$E$43,Sheet2!$E$48,Sheet2!$E$53,Sheet2!$E$58,Sheet2!$E$63,Sheet2!$E$68,Sheet2!$E$73,Sheet2!$E$78)</c:f>
              <c:numCache>
                <c:formatCode>0</c:formatCode>
                <c:ptCount val="16"/>
                <c:pt idx="0">
                  <c:v>67.760000000000005</c:v>
                </c:pt>
                <c:pt idx="1">
                  <c:v>26.8</c:v>
                </c:pt>
                <c:pt idx="2">
                  <c:v>36.5</c:v>
                </c:pt>
                <c:pt idx="3">
                  <c:v>26.52</c:v>
                </c:pt>
                <c:pt idx="4">
                  <c:v>63.247</c:v>
                </c:pt>
                <c:pt idx="5">
                  <c:v>99.94</c:v>
                </c:pt>
                <c:pt idx="6">
                  <c:v>29.373000000000001</c:v>
                </c:pt>
                <c:pt idx="7">
                  <c:v>56.56</c:v>
                </c:pt>
                <c:pt idx="8">
                  <c:v>96.9</c:v>
                </c:pt>
                <c:pt idx="9">
                  <c:v>53.344999999999999</c:v>
                </c:pt>
                <c:pt idx="10">
                  <c:v>95.92</c:v>
                </c:pt>
                <c:pt idx="11">
                  <c:v>81.739999999999995</c:v>
                </c:pt>
                <c:pt idx="12">
                  <c:v>12.08</c:v>
                </c:pt>
                <c:pt idx="13">
                  <c:v>37.44</c:v>
                </c:pt>
                <c:pt idx="14">
                  <c:v>55.38</c:v>
                </c:pt>
                <c:pt idx="15">
                  <c:v>25.82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B-8542-A3CF-085626BEE154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subSeq (BWT implementationi)***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(Sheet2!$F$3,Sheet2!$F$8,Sheet2!$F$13,Sheet2!$F$18,Sheet2!$F$23,Sheet2!$F$28,Sheet2!$F$33,Sheet2!$F$38,Sheet2!$F$43,Sheet2!$F$48,Sheet2!$F$53,Sheet2!$F$58,Sheet2!$F$63,Sheet2!$F$68,Sheet2!$F$73,Sheet2!$F$78)</c:f>
              <c:numCache>
                <c:formatCode>0</c:formatCode>
                <c:ptCount val="16"/>
                <c:pt idx="0">
                  <c:v>64</c:v>
                </c:pt>
                <c:pt idx="1">
                  <c:v>25.9</c:v>
                </c:pt>
                <c:pt idx="2">
                  <c:v>36.4</c:v>
                </c:pt>
                <c:pt idx="3">
                  <c:v>29.1</c:v>
                </c:pt>
                <c:pt idx="4">
                  <c:v>72.3</c:v>
                </c:pt>
                <c:pt idx="5">
                  <c:v>74.5</c:v>
                </c:pt>
                <c:pt idx="6">
                  <c:v>30.9</c:v>
                </c:pt>
                <c:pt idx="7">
                  <c:v>57.3</c:v>
                </c:pt>
                <c:pt idx="8">
                  <c:v>45.9</c:v>
                </c:pt>
                <c:pt idx="9">
                  <c:v>64.599999999999994</c:v>
                </c:pt>
                <c:pt idx="10">
                  <c:v>92</c:v>
                </c:pt>
                <c:pt idx="11">
                  <c:v>67.3</c:v>
                </c:pt>
                <c:pt idx="12">
                  <c:v>12</c:v>
                </c:pt>
                <c:pt idx="13">
                  <c:v>40</c:v>
                </c:pt>
                <c:pt idx="14">
                  <c:v>58.12</c:v>
                </c:pt>
                <c:pt idx="1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B-8542-A3CF-085626BEE154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SPiCe (Spectral Learning Baseline)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(Sheet2!$G$3,Sheet2!$G$8,Sheet2!$G$13,Sheet2!$G$18,Sheet2!$G$23,Sheet2!$G$28,Sheet2!$G$33,Sheet2!$G$38,Sheet2!$G$43,Sheet2!$G$48,Sheet2!$G$53,Sheet2!$G$58,Sheet2!$G$63,Sheet2!$G$68,Sheet2!$G$73,Sheet2!$G$78)</c:f>
              <c:numCache>
                <c:formatCode>0</c:formatCode>
                <c:ptCount val="16"/>
                <c:pt idx="0">
                  <c:v>47.5</c:v>
                </c:pt>
                <c:pt idx="1">
                  <c:v>26.8</c:v>
                </c:pt>
                <c:pt idx="2">
                  <c:v>36.799999999999997</c:v>
                </c:pt>
                <c:pt idx="3">
                  <c:v>28.6</c:v>
                </c:pt>
                <c:pt idx="4">
                  <c:v>71.5</c:v>
                </c:pt>
                <c:pt idx="5">
                  <c:v>54</c:v>
                </c:pt>
                <c:pt idx="6">
                  <c:v>19.7</c:v>
                </c:pt>
                <c:pt idx="7">
                  <c:v>40</c:v>
                </c:pt>
                <c:pt idx="8">
                  <c:v>31.3</c:v>
                </c:pt>
                <c:pt idx="9">
                  <c:v>30</c:v>
                </c:pt>
                <c:pt idx="10">
                  <c:v>3.9</c:v>
                </c:pt>
                <c:pt idx="11">
                  <c:v>22.9</c:v>
                </c:pt>
                <c:pt idx="12">
                  <c:v>13</c:v>
                </c:pt>
                <c:pt idx="13">
                  <c:v>30</c:v>
                </c:pt>
                <c:pt idx="14">
                  <c:v>54.49</c:v>
                </c:pt>
                <c:pt idx="15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FB-8542-A3CF-085626BEE154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Mark1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(Sheet2!$H$3,Sheet2!$H$8,Sheet2!$H$13,Sheet2!$H$18,Sheet2!$H$23,Sheet2!$H$28,Sheet2!$H$33,Sheet2!$H$38,Sheet2!$H$43,Sheet2!$H$48,Sheet2!$H$53,Sheet2!$H$58,Sheet2!$H$63,Sheet2!$H$68,Sheet2!$H$73,Sheet2!$H$78)</c:f>
              <c:numCache>
                <c:formatCode>0</c:formatCode>
                <c:ptCount val="16"/>
                <c:pt idx="0">
                  <c:v>63.66</c:v>
                </c:pt>
                <c:pt idx="1">
                  <c:v>26.88</c:v>
                </c:pt>
                <c:pt idx="2">
                  <c:v>36.5</c:v>
                </c:pt>
                <c:pt idx="3">
                  <c:v>28</c:v>
                </c:pt>
                <c:pt idx="4">
                  <c:v>63.658999999999999</c:v>
                </c:pt>
                <c:pt idx="5">
                  <c:v>58.66</c:v>
                </c:pt>
                <c:pt idx="6">
                  <c:v>28.908999999999999</c:v>
                </c:pt>
                <c:pt idx="7">
                  <c:v>54.5</c:v>
                </c:pt>
                <c:pt idx="8">
                  <c:v>27.22</c:v>
                </c:pt>
                <c:pt idx="9">
                  <c:v>51.293999999999997</c:v>
                </c:pt>
                <c:pt idx="10">
                  <c:v>40.299999999999997</c:v>
                </c:pt>
                <c:pt idx="11">
                  <c:v>22.68</c:v>
                </c:pt>
                <c:pt idx="12">
                  <c:v>12.58</c:v>
                </c:pt>
                <c:pt idx="13">
                  <c:v>38.340000000000003</c:v>
                </c:pt>
                <c:pt idx="14">
                  <c:v>59.78</c:v>
                </c:pt>
                <c:pt idx="15">
                  <c:v>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FB-8542-A3CF-085626BEE154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AKOM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(Sheet2!$I$3,Sheet2!$I$8,Sheet2!$I$13,Sheet2!$I$18,Sheet2!$I$23,Sheet2!$I$28,Sheet2!$I$33,Sheet2!$I$38,Sheet2!$I$43,Sheet2!$I$48,Sheet2!$I$53,Sheet2!$I$58,Sheet2!$I$63,Sheet2!$I$68,Sheet2!$I$73,Sheet2!$I$78)</c:f>
              <c:numCache>
                <c:formatCode>0</c:formatCode>
                <c:ptCount val="16"/>
                <c:pt idx="0">
                  <c:v>62.28</c:v>
                </c:pt>
                <c:pt idx="1">
                  <c:v>15.3</c:v>
                </c:pt>
                <c:pt idx="2">
                  <c:v>30.82</c:v>
                </c:pt>
                <c:pt idx="3">
                  <c:v>27.1</c:v>
                </c:pt>
                <c:pt idx="4">
                  <c:v>73.671000000000006</c:v>
                </c:pt>
                <c:pt idx="5">
                  <c:v>85.56</c:v>
                </c:pt>
                <c:pt idx="6">
                  <c:v>41.985999999999997</c:v>
                </c:pt>
                <c:pt idx="7">
                  <c:v>25.28</c:v>
                </c:pt>
                <c:pt idx="8">
                  <c:v>46.96</c:v>
                </c:pt>
                <c:pt idx="9">
                  <c:v>64.209000000000003</c:v>
                </c:pt>
                <c:pt idx="10">
                  <c:v>86.54</c:v>
                </c:pt>
                <c:pt idx="11">
                  <c:v>28.68</c:v>
                </c:pt>
                <c:pt idx="12">
                  <c:v>11.32</c:v>
                </c:pt>
                <c:pt idx="13">
                  <c:v>44.58</c:v>
                </c:pt>
                <c:pt idx="14">
                  <c:v>75</c:v>
                </c:pt>
                <c:pt idx="15">
                  <c:v>40.340000000000003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FB-8542-A3CF-085626BEE154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LZ78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(Sheet2!$J$3,Sheet2!$J$8,Sheet2!$J$13,Sheet2!$J$18,Sheet2!$J$23,Sheet2!$J$28,Sheet2!$J$33,Sheet2!$J$38,Sheet2!$J$43,Sheet2!$J$48,Sheet2!$J$53,Sheet2!$J$58,Sheet2!$J$63,Sheet2!$J$68,Sheet2!$J$73,Sheet2!$J$78)</c:f>
              <c:numCache>
                <c:formatCode>0</c:formatCode>
                <c:ptCount val="16"/>
                <c:pt idx="0">
                  <c:v>63.52</c:v>
                </c:pt>
                <c:pt idx="1">
                  <c:v>25.58</c:v>
                </c:pt>
                <c:pt idx="2">
                  <c:v>36.380000000000003</c:v>
                </c:pt>
                <c:pt idx="3">
                  <c:v>27.74</c:v>
                </c:pt>
                <c:pt idx="4">
                  <c:v>69.055999999999997</c:v>
                </c:pt>
                <c:pt idx="5">
                  <c:v>78.819999999999993</c:v>
                </c:pt>
                <c:pt idx="6">
                  <c:v>36.594000000000001</c:v>
                </c:pt>
                <c:pt idx="7">
                  <c:v>44.04</c:v>
                </c:pt>
                <c:pt idx="8">
                  <c:v>41.92</c:v>
                </c:pt>
                <c:pt idx="9">
                  <c:v>52.295000000000002</c:v>
                </c:pt>
                <c:pt idx="10">
                  <c:v>82.2</c:v>
                </c:pt>
                <c:pt idx="11">
                  <c:v>23.76</c:v>
                </c:pt>
                <c:pt idx="12">
                  <c:v>11.94</c:v>
                </c:pt>
                <c:pt idx="13">
                  <c:v>41.06</c:v>
                </c:pt>
                <c:pt idx="14">
                  <c:v>66.900000000000006</c:v>
                </c:pt>
                <c:pt idx="15">
                  <c:v>35.74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FB-8542-A3CF-085626B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388784"/>
        <c:axId val="-881386032"/>
      </c:barChart>
      <c:catAx>
        <c:axId val="-8813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6032"/>
        <c:crosses val="autoZero"/>
        <c:auto val="1"/>
        <c:lblAlgn val="ctr"/>
        <c:lblOffset val="100"/>
        <c:noMultiLvlLbl val="0"/>
      </c:catAx>
      <c:valAx>
        <c:axId val="-8813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3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387350</xdr:colOff>
      <xdr:row>31</xdr:row>
      <xdr:rowOff>196850</xdr:rowOff>
    </xdr:from>
    <xdr:to>
      <xdr:col>52</xdr:col>
      <xdr:colOff>647700</xdr:colOff>
      <xdr:row>92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61945</xdr:colOff>
      <xdr:row>93</xdr:row>
      <xdr:rowOff>133351</xdr:rowOff>
    </xdr:from>
    <xdr:to>
      <xdr:col>44</xdr:col>
      <xdr:colOff>100045</xdr:colOff>
      <xdr:row>121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209550</xdr:colOff>
      <xdr:row>5</xdr:row>
      <xdr:rowOff>0</xdr:rowOff>
    </xdr:from>
    <xdr:to>
      <xdr:col>43</xdr:col>
      <xdr:colOff>330200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1"/>
  <sheetViews>
    <sheetView tabSelected="1" topLeftCell="A2" zoomScale="86" zoomScaleNormal="44" zoomScalePageLayoutView="44" workbookViewId="0">
      <selection activeCell="R70" sqref="R70"/>
    </sheetView>
  </sheetViews>
  <sheetFormatPr baseColWidth="10" defaultRowHeight="16" x14ac:dyDescent="0.2"/>
  <cols>
    <col min="1" max="1" width="20.83203125" customWidth="1"/>
    <col min="6" max="12" width="10.83203125" style="5"/>
    <col min="24" max="24" width="13.5" customWidth="1"/>
    <col min="34" max="34" width="10.83203125" customWidth="1"/>
    <col min="39" max="39" width="12.6640625" bestFit="1" customWidth="1"/>
  </cols>
  <sheetData>
    <row r="1" spans="1:39" s="4" customFormat="1" x14ac:dyDescent="0.2">
      <c r="C1" s="31" t="s">
        <v>8</v>
      </c>
      <c r="D1" s="31"/>
      <c r="E1" s="31"/>
      <c r="F1" s="9"/>
      <c r="G1" s="27"/>
      <c r="H1" s="28"/>
      <c r="I1" s="27"/>
      <c r="J1" s="28"/>
      <c r="K1" s="23"/>
      <c r="L1" s="20"/>
      <c r="AG1" s="29"/>
      <c r="AH1" s="29"/>
      <c r="AI1" s="29"/>
      <c r="AJ1" s="29"/>
      <c r="AK1" s="29"/>
      <c r="AL1" s="29"/>
      <c r="AM1" s="29"/>
    </row>
    <row r="2" spans="1:39" ht="153" x14ac:dyDescent="0.2">
      <c r="B2" s="2" t="s">
        <v>2</v>
      </c>
      <c r="C2" s="2" t="s">
        <v>4</v>
      </c>
      <c r="D2" s="2" t="s">
        <v>1</v>
      </c>
      <c r="E2" s="2" t="s">
        <v>3</v>
      </c>
      <c r="F2" s="7" t="s">
        <v>22</v>
      </c>
      <c r="G2" s="7" t="s">
        <v>68</v>
      </c>
      <c r="H2" s="7" t="s">
        <v>69</v>
      </c>
      <c r="I2" s="7" t="s">
        <v>70</v>
      </c>
      <c r="J2" s="7" t="s">
        <v>71</v>
      </c>
      <c r="K2" s="7" t="s">
        <v>72</v>
      </c>
      <c r="L2" s="7" t="s">
        <v>34</v>
      </c>
      <c r="M2" s="2" t="s">
        <v>5</v>
      </c>
      <c r="N2" s="2" t="s">
        <v>6</v>
      </c>
      <c r="O2" s="2" t="s">
        <v>7</v>
      </c>
      <c r="R2" s="2" t="s">
        <v>47</v>
      </c>
      <c r="S2" s="2" t="s">
        <v>48</v>
      </c>
      <c r="U2" s="2" t="s">
        <v>36</v>
      </c>
      <c r="V2" s="2" t="s">
        <v>42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C2" s="2" t="s">
        <v>44</v>
      </c>
      <c r="AD2" s="2" t="s">
        <v>45</v>
      </c>
      <c r="AG2" s="29"/>
      <c r="AH2" s="29"/>
      <c r="AI2" s="29"/>
      <c r="AJ2" s="29"/>
      <c r="AK2" s="29"/>
      <c r="AL2" s="29"/>
      <c r="AM2" s="29"/>
    </row>
    <row r="3" spans="1:39" ht="16" hidden="1" customHeight="1" x14ac:dyDescent="0.2">
      <c r="A3" t="s">
        <v>15</v>
      </c>
      <c r="B3">
        <v>36.115000000000002</v>
      </c>
      <c r="C3">
        <v>60.185000000000002</v>
      </c>
      <c r="D3">
        <v>37.061999999999998</v>
      </c>
      <c r="E3">
        <v>36.186</v>
      </c>
      <c r="M3">
        <v>31.343</v>
      </c>
      <c r="N3">
        <v>31.033999999999999</v>
      </c>
      <c r="O3">
        <v>32.58</v>
      </c>
      <c r="AG3" s="29"/>
      <c r="AH3" s="29"/>
      <c r="AI3" s="29"/>
      <c r="AJ3" s="29"/>
      <c r="AK3" s="29"/>
      <c r="AL3" s="29"/>
      <c r="AM3" s="29"/>
    </row>
    <row r="4" spans="1:39" ht="16" hidden="1" customHeight="1" x14ac:dyDescent="0.2">
      <c r="A4" t="s">
        <v>16</v>
      </c>
      <c r="B4">
        <v>63.884999999999998</v>
      </c>
      <c r="C4">
        <v>39.814999999999998</v>
      </c>
      <c r="D4">
        <v>62.938000000000002</v>
      </c>
      <c r="E4">
        <v>63.814</v>
      </c>
      <c r="M4">
        <v>68.656999999999996</v>
      </c>
      <c r="N4">
        <v>68.965999999999994</v>
      </c>
      <c r="O4">
        <v>67.42</v>
      </c>
      <c r="AG4" s="29"/>
      <c r="AH4" s="29"/>
      <c r="AI4" s="29"/>
      <c r="AJ4" s="29"/>
      <c r="AK4" s="29"/>
      <c r="AL4" s="29"/>
      <c r="AM4" s="29"/>
    </row>
    <row r="5" spans="1:39" ht="16" hidden="1" customHeight="1" x14ac:dyDescent="0.2">
      <c r="A5" t="s">
        <v>17</v>
      </c>
      <c r="B5">
        <v>0</v>
      </c>
      <c r="C5">
        <v>88.9</v>
      </c>
      <c r="D5">
        <v>0.22600000000000001</v>
      </c>
      <c r="E5">
        <v>0.308</v>
      </c>
      <c r="M5">
        <v>0.185</v>
      </c>
      <c r="N5">
        <v>0.185</v>
      </c>
      <c r="O5">
        <v>0</v>
      </c>
      <c r="AG5" s="29"/>
      <c r="AH5" s="29"/>
      <c r="AI5" s="29"/>
      <c r="AJ5" s="29"/>
      <c r="AK5" s="29"/>
      <c r="AL5" s="29"/>
      <c r="AM5" s="29"/>
    </row>
    <row r="6" spans="1:39" ht="16" hidden="1" customHeight="1" x14ac:dyDescent="0.2">
      <c r="A6" t="s">
        <v>18</v>
      </c>
      <c r="B6">
        <v>0</v>
      </c>
      <c r="C6">
        <v>0</v>
      </c>
      <c r="D6">
        <v>0</v>
      </c>
      <c r="E6">
        <v>0</v>
      </c>
      <c r="M6">
        <v>0</v>
      </c>
      <c r="N6">
        <v>0</v>
      </c>
      <c r="O6">
        <v>0</v>
      </c>
      <c r="AG6" s="29"/>
      <c r="AH6" s="29"/>
      <c r="AI6" s="29"/>
      <c r="AJ6" s="29"/>
      <c r="AK6" s="29"/>
      <c r="AL6" s="29"/>
      <c r="AM6" s="29"/>
    </row>
    <row r="7" spans="1:39" x14ac:dyDescent="0.2">
      <c r="A7" t="s">
        <v>49</v>
      </c>
      <c r="B7" s="16">
        <v>36.115000000000002</v>
      </c>
      <c r="C7" s="16">
        <v>6.68</v>
      </c>
      <c r="D7" s="16">
        <v>38</v>
      </c>
      <c r="E7" s="16">
        <v>37</v>
      </c>
      <c r="F7" s="12">
        <v>33</v>
      </c>
      <c r="G7" s="12"/>
      <c r="H7" s="12"/>
      <c r="I7" s="12"/>
      <c r="J7" s="12"/>
      <c r="K7" s="12"/>
      <c r="L7" s="11">
        <v>0.19</v>
      </c>
      <c r="M7" s="16">
        <v>30</v>
      </c>
      <c r="N7" s="16">
        <v>30.975999999999999</v>
      </c>
      <c r="O7" s="16">
        <v>32.58</v>
      </c>
      <c r="AG7" s="29"/>
      <c r="AH7" s="29"/>
      <c r="AI7" s="29"/>
      <c r="AJ7" s="29"/>
      <c r="AK7" s="29"/>
      <c r="AL7" s="29"/>
      <c r="AM7" s="29"/>
    </row>
    <row r="8" spans="1:39" x14ac:dyDescent="0.2">
      <c r="A8" t="s">
        <v>19</v>
      </c>
      <c r="B8" s="10">
        <v>0.2</v>
      </c>
      <c r="C8" s="10">
        <v>5.6</v>
      </c>
      <c r="D8" s="10">
        <v>0.37</v>
      </c>
      <c r="E8" s="10">
        <v>0.64</v>
      </c>
      <c r="F8" s="11">
        <v>0.14000000000000001</v>
      </c>
      <c r="G8" s="11"/>
      <c r="H8" s="11"/>
      <c r="I8" s="11"/>
      <c r="J8" s="11"/>
      <c r="K8" s="11">
        <v>0.3</v>
      </c>
      <c r="L8" s="21"/>
      <c r="M8" s="10">
        <v>6.7000000000000004E-2</v>
      </c>
      <c r="N8" s="10">
        <v>1.07</v>
      </c>
      <c r="O8" s="10">
        <v>0.23</v>
      </c>
      <c r="R8" s="10"/>
      <c r="S8" s="10">
        <f>D8/F8</f>
        <v>2.6428571428571428</v>
      </c>
      <c r="AG8" s="29"/>
      <c r="AH8" s="29"/>
      <c r="AI8" s="29"/>
      <c r="AJ8" s="29"/>
      <c r="AK8" s="29"/>
      <c r="AL8" s="29"/>
      <c r="AM8" s="29"/>
    </row>
    <row r="9" spans="1:39" ht="16" hidden="1" customHeight="1" x14ac:dyDescent="0.2">
      <c r="A9" t="s">
        <v>20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2"/>
      <c r="G9" s="12"/>
      <c r="H9" s="12"/>
      <c r="I9" s="12"/>
      <c r="J9" s="12"/>
      <c r="K9" s="12"/>
      <c r="L9" s="21"/>
      <c r="M9" s="10">
        <v>5.0000000000000001E-3</v>
      </c>
      <c r="N9" s="10">
        <v>5.7000000000000002E-2</v>
      </c>
      <c r="O9" s="10">
        <v>1.4E-2</v>
      </c>
      <c r="R9" s="10"/>
      <c r="S9" s="10"/>
      <c r="AG9" s="29"/>
      <c r="AH9" s="29"/>
      <c r="AI9" s="29"/>
      <c r="AJ9" s="29"/>
      <c r="AK9" s="29"/>
      <c r="AL9" s="29"/>
      <c r="AM9" s="29"/>
    </row>
    <row r="10" spans="1:39" x14ac:dyDescent="0.2">
      <c r="A10" t="s">
        <v>23</v>
      </c>
      <c r="B10" s="10">
        <v>1.1399999999999999</v>
      </c>
      <c r="C10" s="10">
        <v>0.85</v>
      </c>
      <c r="D10" s="10">
        <v>136.5</v>
      </c>
      <c r="E10" s="10">
        <v>96.6</v>
      </c>
      <c r="F10" s="12">
        <f>3.21*1000</f>
        <v>3210</v>
      </c>
      <c r="G10" s="12">
        <f>0.89*1000</f>
        <v>890</v>
      </c>
      <c r="H10" s="12">
        <f>0.889*1000</f>
        <v>889</v>
      </c>
      <c r="I10" s="12">
        <f>0.6*1000</f>
        <v>600</v>
      </c>
      <c r="J10" s="12">
        <f>0.59*1000</f>
        <v>590</v>
      </c>
      <c r="K10" s="12">
        <f>0.57*1000</f>
        <v>570</v>
      </c>
      <c r="L10" s="12">
        <f>370.903*1000</f>
        <v>370903</v>
      </c>
      <c r="M10" s="10">
        <v>0.35</v>
      </c>
      <c r="N10" s="10">
        <v>1.21</v>
      </c>
      <c r="O10" s="10">
        <v>3.14</v>
      </c>
      <c r="R10" s="10">
        <f>J10/D10</f>
        <v>4.3223443223443221</v>
      </c>
      <c r="S10" s="10"/>
      <c r="U10">
        <v>54979</v>
      </c>
      <c r="V10">
        <v>12</v>
      </c>
      <c r="W10">
        <v>494</v>
      </c>
      <c r="X10">
        <v>4518</v>
      </c>
      <c r="Y10">
        <v>347</v>
      </c>
      <c r="Z10">
        <v>5</v>
      </c>
      <c r="AA10">
        <v>6.0999999999999999E-2</v>
      </c>
      <c r="AC10" s="10">
        <f>F8/AA10</f>
        <v>2.2950819672131151</v>
      </c>
      <c r="AD10" s="10">
        <f>D8/AA10</f>
        <v>6.0655737704918034</v>
      </c>
      <c r="AG10" s="29"/>
      <c r="AH10" s="29"/>
      <c r="AI10" s="29"/>
      <c r="AJ10" s="29"/>
      <c r="AK10" s="29"/>
      <c r="AL10" s="29"/>
      <c r="AM10" s="30"/>
    </row>
    <row r="11" spans="1:39" s="8" customFormat="1" x14ac:dyDescent="0.2">
      <c r="C11" s="32" t="s">
        <v>9</v>
      </c>
      <c r="D11" s="32"/>
      <c r="E11" s="32"/>
      <c r="F11" s="13"/>
      <c r="G11" s="13"/>
      <c r="H11" s="13"/>
      <c r="I11" s="13"/>
      <c r="J11" s="13"/>
      <c r="K11" s="13"/>
      <c r="L11" s="13"/>
      <c r="AG11" s="29"/>
      <c r="AH11" s="29"/>
      <c r="AI11" s="29"/>
      <c r="AJ11" s="29"/>
      <c r="AK11" s="29"/>
      <c r="AL11" s="29"/>
      <c r="AM11" s="30"/>
    </row>
    <row r="12" spans="1:39" s="5" customFormat="1" ht="17" x14ac:dyDescent="0.2">
      <c r="B12" s="6" t="s">
        <v>2</v>
      </c>
      <c r="C12" s="6" t="s">
        <v>4</v>
      </c>
      <c r="D12" s="6" t="s">
        <v>1</v>
      </c>
      <c r="E12" s="6" t="s">
        <v>3</v>
      </c>
      <c r="F12" s="14" t="s">
        <v>0</v>
      </c>
      <c r="G12" s="14"/>
      <c r="H12" s="14"/>
      <c r="I12" s="14"/>
      <c r="J12" s="14"/>
      <c r="K12" s="14"/>
      <c r="L12" s="14" t="s">
        <v>35</v>
      </c>
      <c r="M12" s="6" t="s">
        <v>5</v>
      </c>
      <c r="N12" s="6" t="s">
        <v>6</v>
      </c>
      <c r="O12" s="6" t="s">
        <v>7</v>
      </c>
      <c r="AG12" s="29"/>
      <c r="AH12" s="29"/>
      <c r="AI12" s="29"/>
      <c r="AJ12" s="29"/>
      <c r="AK12" s="29"/>
      <c r="AL12" s="29"/>
      <c r="AM12" s="30"/>
    </row>
    <row r="13" spans="1:39" ht="16" hidden="1" customHeight="1" x14ac:dyDescent="0.2">
      <c r="A13" t="s">
        <v>15</v>
      </c>
      <c r="B13">
        <v>4.0090000000000003</v>
      </c>
      <c r="C13" t="s">
        <v>21</v>
      </c>
      <c r="D13">
        <v>33.563000000000002</v>
      </c>
      <c r="E13">
        <v>34.247</v>
      </c>
      <c r="F13" s="12"/>
      <c r="G13" s="12"/>
      <c r="H13" s="12"/>
      <c r="I13" s="12"/>
      <c r="J13" s="12"/>
      <c r="K13" s="12"/>
      <c r="L13" s="12"/>
      <c r="M13">
        <v>4.1100000000000003</v>
      </c>
      <c r="N13">
        <v>8.2189999999999994</v>
      </c>
      <c r="O13">
        <v>5.4790000000000001</v>
      </c>
      <c r="AG13" s="29"/>
      <c r="AH13" s="29"/>
      <c r="AI13" s="29"/>
      <c r="AJ13" s="29"/>
      <c r="AK13" s="29"/>
      <c r="AL13" s="29"/>
      <c r="AM13" s="30"/>
    </row>
    <row r="14" spans="1:39" ht="16" hidden="1" customHeight="1" x14ac:dyDescent="0.2">
      <c r="A14" t="s">
        <v>16</v>
      </c>
      <c r="B14">
        <v>95.991</v>
      </c>
      <c r="C14" t="s">
        <v>21</v>
      </c>
      <c r="D14">
        <v>66.436999999999998</v>
      </c>
      <c r="E14">
        <v>65.753</v>
      </c>
      <c r="F14" s="12"/>
      <c r="G14" s="12"/>
      <c r="H14" s="12"/>
      <c r="I14" s="12"/>
      <c r="J14" s="12"/>
      <c r="K14" s="12"/>
      <c r="L14" s="12"/>
      <c r="M14">
        <v>95.89</v>
      </c>
      <c r="N14">
        <v>91.781000000000006</v>
      </c>
      <c r="O14">
        <v>94.521000000000001</v>
      </c>
      <c r="AG14" s="29"/>
      <c r="AH14" s="29"/>
      <c r="AI14" s="29"/>
      <c r="AJ14" s="29"/>
      <c r="AK14" s="29"/>
      <c r="AL14" s="29"/>
      <c r="AM14" s="30"/>
    </row>
    <row r="15" spans="1:39" ht="16" hidden="1" customHeight="1" x14ac:dyDescent="0.2">
      <c r="A15" t="s">
        <v>17</v>
      </c>
      <c r="B15">
        <v>38.493000000000002</v>
      </c>
      <c r="C15">
        <v>100</v>
      </c>
      <c r="D15">
        <v>0.41099999999999998</v>
      </c>
      <c r="E15">
        <v>0</v>
      </c>
      <c r="F15" s="12"/>
      <c r="G15" s="12"/>
      <c r="H15" s="12"/>
      <c r="I15" s="12"/>
      <c r="J15" s="12"/>
      <c r="K15" s="12"/>
      <c r="L15" s="12"/>
      <c r="M15">
        <v>0</v>
      </c>
      <c r="N15">
        <v>0</v>
      </c>
      <c r="O15">
        <v>0</v>
      </c>
      <c r="AG15" s="29"/>
      <c r="AH15" s="29"/>
      <c r="AI15" s="29"/>
      <c r="AJ15" s="29"/>
      <c r="AK15" s="29"/>
      <c r="AL15" s="29"/>
      <c r="AM15" s="30"/>
    </row>
    <row r="16" spans="1:39" ht="16" hidden="1" customHeight="1" x14ac:dyDescent="0.2">
      <c r="A16" t="s">
        <v>18</v>
      </c>
      <c r="B16">
        <v>0</v>
      </c>
      <c r="C16">
        <v>0</v>
      </c>
      <c r="D16">
        <v>0</v>
      </c>
      <c r="E16">
        <v>0</v>
      </c>
      <c r="F16" s="12"/>
      <c r="G16" s="12"/>
      <c r="H16" s="12"/>
      <c r="I16" s="12"/>
      <c r="J16" s="12"/>
      <c r="K16" s="12"/>
      <c r="L16" s="12"/>
      <c r="M16">
        <v>0</v>
      </c>
      <c r="N16">
        <v>0</v>
      </c>
      <c r="O16">
        <v>0</v>
      </c>
      <c r="AG16" s="29"/>
      <c r="AH16" s="29"/>
      <c r="AI16" s="29"/>
      <c r="AJ16" s="29"/>
      <c r="AK16" s="29"/>
      <c r="AL16" s="29"/>
      <c r="AM16" s="30"/>
    </row>
    <row r="17" spans="1:39" x14ac:dyDescent="0.2">
      <c r="A17" t="s">
        <v>49</v>
      </c>
      <c r="B17" s="16">
        <v>2.0550000000000002</v>
      </c>
      <c r="C17" s="16">
        <v>0</v>
      </c>
      <c r="D17" s="16">
        <v>34</v>
      </c>
      <c r="E17" s="16">
        <v>34</v>
      </c>
      <c r="F17" s="12">
        <v>23</v>
      </c>
      <c r="G17" s="12"/>
      <c r="H17" s="12"/>
      <c r="I17" s="12"/>
      <c r="J17" s="12"/>
      <c r="K17" s="12"/>
      <c r="L17" s="12">
        <v>3.64</v>
      </c>
      <c r="M17" s="16">
        <v>4.1100000000000003</v>
      </c>
      <c r="N17" s="16">
        <v>7</v>
      </c>
      <c r="O17" s="16">
        <v>5.4790000000000001</v>
      </c>
      <c r="AG17" s="29"/>
      <c r="AH17" s="29"/>
      <c r="AI17" s="29"/>
      <c r="AJ17" s="29"/>
      <c r="AK17" s="29"/>
      <c r="AL17" s="29"/>
      <c r="AM17" s="30"/>
    </row>
    <row r="18" spans="1:39" ht="16" customHeight="1" x14ac:dyDescent="0.2">
      <c r="A18" t="s">
        <v>19</v>
      </c>
      <c r="B18" s="10">
        <v>0.21</v>
      </c>
      <c r="C18" s="10">
        <v>8.83</v>
      </c>
      <c r="D18" s="10">
        <v>3.7999999999999999E-2</v>
      </c>
      <c r="E18" s="10">
        <v>0.77</v>
      </c>
      <c r="F18" s="11">
        <v>0.22</v>
      </c>
      <c r="G18" s="11"/>
      <c r="H18" s="11"/>
      <c r="I18" s="11"/>
      <c r="J18" s="11"/>
      <c r="K18" s="11">
        <v>0.46</v>
      </c>
      <c r="L18" s="21"/>
      <c r="M18" s="10">
        <v>0.12</v>
      </c>
      <c r="N18" s="10">
        <v>2.7</v>
      </c>
      <c r="O18" s="10">
        <v>0.36</v>
      </c>
      <c r="S18" s="10">
        <f>D18/F18</f>
        <v>0.17272727272727273</v>
      </c>
      <c r="AG18" s="29"/>
      <c r="AH18" s="29"/>
      <c r="AI18" s="29"/>
      <c r="AJ18" s="29"/>
      <c r="AK18" s="29"/>
      <c r="AL18" s="29"/>
      <c r="AM18" s="30"/>
    </row>
    <row r="19" spans="1:39" ht="16" hidden="1" customHeight="1" x14ac:dyDescent="0.2">
      <c r="A19" t="s">
        <v>20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2"/>
      <c r="G19" s="12"/>
      <c r="H19" s="12"/>
      <c r="I19" s="12"/>
      <c r="J19" s="12"/>
      <c r="K19" s="12"/>
      <c r="L19" s="21"/>
      <c r="M19" s="10">
        <v>2E-3</v>
      </c>
      <c r="N19" s="10">
        <v>0.16900000000000001</v>
      </c>
      <c r="O19" s="10">
        <v>2.4E-2</v>
      </c>
      <c r="AG19" s="29"/>
      <c r="AH19" s="29"/>
      <c r="AI19" s="29"/>
      <c r="AJ19" s="29"/>
      <c r="AK19" s="29"/>
      <c r="AL19" s="29"/>
      <c r="AM19" s="30"/>
    </row>
    <row r="20" spans="1:39" ht="16" customHeight="1" x14ac:dyDescent="0.2">
      <c r="A20" t="s">
        <v>23</v>
      </c>
      <c r="B20" s="10">
        <v>0.5</v>
      </c>
      <c r="C20" s="10">
        <v>7.0000000000000007E-2</v>
      </c>
      <c r="D20" s="10">
        <v>32.42</v>
      </c>
      <c r="E20" s="10">
        <v>41.21</v>
      </c>
      <c r="F20" s="12">
        <f>1.69*1000</f>
        <v>1690</v>
      </c>
      <c r="G20" s="12">
        <f>0.65*1000</f>
        <v>650</v>
      </c>
      <c r="H20" s="12">
        <f>0.65*1000</f>
        <v>650</v>
      </c>
      <c r="I20" s="12">
        <f>0.42*1000</f>
        <v>420</v>
      </c>
      <c r="J20" s="12">
        <f>0.42*1000</f>
        <v>420</v>
      </c>
      <c r="K20" s="12">
        <f>0.42*1000</f>
        <v>420</v>
      </c>
      <c r="L20" s="12">
        <f>0.35*1000</f>
        <v>350</v>
      </c>
      <c r="M20" s="10">
        <v>0.28000000000000003</v>
      </c>
      <c r="N20" s="10">
        <v>0.42</v>
      </c>
      <c r="O20" s="10">
        <v>2.14</v>
      </c>
      <c r="R20" s="10">
        <f>J20/D20</f>
        <v>12.954966070326957</v>
      </c>
      <c r="U20">
        <v>63586</v>
      </c>
      <c r="V20">
        <v>93</v>
      </c>
      <c r="W20">
        <v>266</v>
      </c>
      <c r="X20">
        <v>678</v>
      </c>
      <c r="Y20">
        <v>52</v>
      </c>
      <c r="Z20">
        <v>7</v>
      </c>
      <c r="AA20">
        <v>7.0999999999999994E-2</v>
      </c>
      <c r="AC20" s="10">
        <f>F18/AA20</f>
        <v>3.098591549295775</v>
      </c>
      <c r="AD20" s="10">
        <f>D18/AA20</f>
        <v>0.53521126760563387</v>
      </c>
      <c r="AG20" s="29"/>
      <c r="AH20" s="29"/>
      <c r="AI20" s="29"/>
      <c r="AJ20" s="29"/>
      <c r="AK20" s="29"/>
      <c r="AL20" s="29"/>
      <c r="AM20" s="30"/>
    </row>
    <row r="21" spans="1:39" s="4" customFormat="1" x14ac:dyDescent="0.2">
      <c r="C21" s="33" t="s">
        <v>10</v>
      </c>
      <c r="D21" s="33"/>
      <c r="E21" s="33"/>
      <c r="F21" s="15"/>
      <c r="G21" s="15"/>
      <c r="H21" s="15"/>
      <c r="I21" s="15"/>
      <c r="J21" s="15"/>
      <c r="K21" s="15"/>
      <c r="L21" s="15"/>
      <c r="AG21" s="29"/>
      <c r="AH21" s="29"/>
      <c r="AI21" s="29"/>
      <c r="AJ21" s="29"/>
      <c r="AK21" s="29"/>
      <c r="AL21" s="29"/>
      <c r="AM21" s="30"/>
    </row>
    <row r="22" spans="1:39" ht="17" x14ac:dyDescent="0.2">
      <c r="B22" s="3" t="s">
        <v>2</v>
      </c>
      <c r="C22" s="3" t="s">
        <v>4</v>
      </c>
      <c r="D22" s="3" t="s">
        <v>1</v>
      </c>
      <c r="E22" s="3" t="s">
        <v>3</v>
      </c>
      <c r="F22" s="14" t="s">
        <v>0</v>
      </c>
      <c r="G22" s="14"/>
      <c r="H22" s="14"/>
      <c r="I22" s="14"/>
      <c r="J22" s="14"/>
      <c r="K22" s="14"/>
      <c r="L22" s="14" t="s">
        <v>35</v>
      </c>
      <c r="M22" s="3" t="s">
        <v>5</v>
      </c>
      <c r="N22" s="3" t="s">
        <v>6</v>
      </c>
      <c r="O22" s="3" t="s">
        <v>7</v>
      </c>
      <c r="AG22" s="29"/>
      <c r="AH22" s="29"/>
      <c r="AI22" s="29"/>
      <c r="AJ22" s="29"/>
      <c r="AK22" s="29"/>
      <c r="AL22" s="29"/>
      <c r="AM22" s="30"/>
    </row>
    <row r="23" spans="1:39" ht="16" hidden="1" customHeight="1" x14ac:dyDescent="0.2">
      <c r="A23" t="s">
        <v>15</v>
      </c>
      <c r="B23">
        <v>55.08</v>
      </c>
      <c r="C23">
        <v>55.780999999999999</v>
      </c>
      <c r="D23">
        <v>59.08</v>
      </c>
      <c r="E23">
        <v>59.12</v>
      </c>
      <c r="F23" s="12"/>
      <c r="G23" s="12"/>
      <c r="H23" s="12"/>
      <c r="I23" s="12"/>
      <c r="J23" s="12"/>
      <c r="K23" s="12"/>
      <c r="L23" s="12"/>
      <c r="M23">
        <v>38.06</v>
      </c>
      <c r="N23">
        <v>47.38</v>
      </c>
      <c r="O23">
        <v>43.3</v>
      </c>
      <c r="AG23" s="29"/>
      <c r="AH23" s="29"/>
      <c r="AI23" s="29"/>
      <c r="AJ23" s="29"/>
      <c r="AK23" s="29"/>
      <c r="AL23" s="29"/>
      <c r="AM23" s="30"/>
    </row>
    <row r="24" spans="1:39" ht="16" hidden="1" customHeight="1" x14ac:dyDescent="0.2">
      <c r="A24" t="s">
        <v>16</v>
      </c>
      <c r="B24">
        <v>44.92</v>
      </c>
      <c r="C24">
        <v>44.219000000000001</v>
      </c>
      <c r="D24">
        <v>40.92</v>
      </c>
      <c r="E24">
        <v>40.880000000000003</v>
      </c>
      <c r="F24" s="12"/>
      <c r="G24" s="12"/>
      <c r="H24" s="12"/>
      <c r="I24" s="12"/>
      <c r="J24" s="12"/>
      <c r="K24" s="12"/>
      <c r="L24" s="12"/>
      <c r="M24">
        <v>61.94</v>
      </c>
      <c r="N24">
        <v>52.62</v>
      </c>
      <c r="O24">
        <v>56.7</v>
      </c>
      <c r="AG24" s="29"/>
      <c r="AH24" s="29"/>
      <c r="AI24" s="29"/>
      <c r="AJ24" s="29"/>
      <c r="AK24" s="29"/>
      <c r="AL24" s="29"/>
      <c r="AM24" s="30"/>
    </row>
    <row r="25" spans="1:39" ht="16" hidden="1" customHeight="1" x14ac:dyDescent="0.2">
      <c r="A25" t="s">
        <v>17</v>
      </c>
      <c r="B25">
        <v>0</v>
      </c>
      <c r="C25">
        <v>45.86</v>
      </c>
      <c r="D25">
        <v>0</v>
      </c>
      <c r="E25">
        <v>0</v>
      </c>
      <c r="F25" s="12"/>
      <c r="G25" s="12"/>
      <c r="H25" s="12"/>
      <c r="I25" s="12"/>
      <c r="J25" s="12"/>
      <c r="K25" s="12"/>
      <c r="L25" s="12"/>
      <c r="M25">
        <v>0</v>
      </c>
      <c r="N25">
        <v>0</v>
      </c>
      <c r="O25">
        <v>0</v>
      </c>
      <c r="AG25" s="29"/>
      <c r="AH25" s="29"/>
      <c r="AI25" s="29"/>
      <c r="AJ25" s="29"/>
      <c r="AK25" s="29"/>
      <c r="AL25" s="29"/>
      <c r="AM25" s="30"/>
    </row>
    <row r="26" spans="1:39" ht="16" hidden="1" customHeight="1" x14ac:dyDescent="0.2">
      <c r="A26" t="s">
        <v>18</v>
      </c>
      <c r="B26">
        <v>0</v>
      </c>
      <c r="C26">
        <v>0</v>
      </c>
      <c r="D26">
        <v>0</v>
      </c>
      <c r="E26">
        <v>0</v>
      </c>
      <c r="F26" s="12"/>
      <c r="G26" s="12"/>
      <c r="H26" s="12"/>
      <c r="I26" s="12"/>
      <c r="J26" s="12"/>
      <c r="K26" s="12"/>
      <c r="L26" s="12"/>
      <c r="M26">
        <v>0</v>
      </c>
      <c r="N26">
        <v>0</v>
      </c>
      <c r="O26">
        <v>0</v>
      </c>
      <c r="AG26" s="29"/>
      <c r="AH26" s="29"/>
      <c r="AI26" s="29"/>
      <c r="AJ26" s="29"/>
      <c r="AK26" s="29"/>
      <c r="AL26" s="29"/>
      <c r="AM26" s="30"/>
    </row>
    <row r="27" spans="1:39" x14ac:dyDescent="0.2">
      <c r="A27" t="s">
        <v>49</v>
      </c>
      <c r="B27" s="16">
        <v>55.08</v>
      </c>
      <c r="C27" s="16">
        <v>31</v>
      </c>
      <c r="D27" s="16">
        <v>59.08</v>
      </c>
      <c r="E27" s="16">
        <v>59.12</v>
      </c>
      <c r="F27" s="12">
        <v>64</v>
      </c>
      <c r="G27" s="12"/>
      <c r="H27" s="12"/>
      <c r="I27" s="12"/>
      <c r="J27" s="12"/>
      <c r="K27" s="12"/>
      <c r="L27" s="12">
        <v>29.57</v>
      </c>
      <c r="M27" s="16">
        <v>38.06</v>
      </c>
      <c r="N27" s="16">
        <v>48</v>
      </c>
      <c r="O27" s="16">
        <v>43.3</v>
      </c>
      <c r="AG27" s="29"/>
      <c r="AH27" s="29"/>
      <c r="AI27" s="29"/>
      <c r="AJ27" s="29"/>
      <c r="AK27" s="29"/>
      <c r="AL27" s="29"/>
      <c r="AM27" s="30"/>
    </row>
    <row r="28" spans="1:39" x14ac:dyDescent="0.2">
      <c r="A28" t="s">
        <v>19</v>
      </c>
      <c r="B28" s="17">
        <v>2E-3</v>
      </c>
      <c r="C28" s="10">
        <v>5.53</v>
      </c>
      <c r="D28" s="10">
        <v>0.1</v>
      </c>
      <c r="E28" s="10">
        <v>0.17</v>
      </c>
      <c r="F28" s="11">
        <v>0.2</v>
      </c>
      <c r="G28" s="11"/>
      <c r="H28" s="11"/>
      <c r="I28" s="11"/>
      <c r="J28" s="11"/>
      <c r="K28" s="11">
        <v>0.25</v>
      </c>
      <c r="L28" s="21"/>
      <c r="M28" s="17">
        <v>2E-3</v>
      </c>
      <c r="N28" s="10">
        <v>0.43</v>
      </c>
      <c r="O28" s="10">
        <v>0.13</v>
      </c>
      <c r="S28" s="10">
        <f>D28/F28</f>
        <v>0.5</v>
      </c>
      <c r="AG28" s="29"/>
      <c r="AH28" s="29"/>
      <c r="AI28" s="29"/>
      <c r="AJ28" s="29"/>
      <c r="AK28" s="29"/>
      <c r="AL28" s="29"/>
      <c r="AM28" s="30"/>
    </row>
    <row r="29" spans="1:39" ht="16" hidden="1" customHeight="1" x14ac:dyDescent="0.2">
      <c r="A29" t="s">
        <v>20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2"/>
      <c r="G29" s="12"/>
      <c r="H29" s="12"/>
      <c r="I29" s="12"/>
      <c r="J29" s="12"/>
      <c r="K29" s="12"/>
      <c r="L29" s="12"/>
      <c r="M29" s="10">
        <v>1E-3</v>
      </c>
      <c r="N29" s="10">
        <v>0.03</v>
      </c>
      <c r="O29" s="10">
        <v>8.0000000000000002E-3</v>
      </c>
      <c r="AG29" s="29"/>
      <c r="AH29" s="29"/>
      <c r="AI29" s="29"/>
      <c r="AJ29" s="29"/>
      <c r="AK29" s="29"/>
      <c r="AL29" s="29"/>
      <c r="AM29" s="30"/>
    </row>
    <row r="30" spans="1:39" x14ac:dyDescent="0.2">
      <c r="A30" t="s">
        <v>23</v>
      </c>
      <c r="B30" s="10">
        <v>0.28000000000000003</v>
      </c>
      <c r="C30" s="10">
        <v>0.5</v>
      </c>
      <c r="D30" s="10">
        <v>49.7</v>
      </c>
      <c r="E30" s="10">
        <v>24.14</v>
      </c>
      <c r="F30" s="12">
        <f>0.8*1000</f>
        <v>800</v>
      </c>
      <c r="G30" s="12">
        <f>0.174*1000</f>
        <v>174</v>
      </c>
      <c r="H30" s="12">
        <f>0.15*1000</f>
        <v>150</v>
      </c>
      <c r="I30" s="12">
        <f>0.118*1000</f>
        <v>118</v>
      </c>
      <c r="J30" s="12">
        <f>0.119*1000</f>
        <v>119</v>
      </c>
      <c r="K30" s="12">
        <f>0.104*1000</f>
        <v>104</v>
      </c>
      <c r="L30" s="12">
        <f>0.11*1000</f>
        <v>110</v>
      </c>
      <c r="M30" s="10">
        <v>0</v>
      </c>
      <c r="N30" s="10">
        <v>0.64</v>
      </c>
      <c r="O30" s="10">
        <v>3.07</v>
      </c>
      <c r="R30" s="10">
        <f>J30/D30</f>
        <v>2.3943661971830985</v>
      </c>
      <c r="U30">
        <v>54727</v>
      </c>
      <c r="V30">
        <v>11</v>
      </c>
      <c r="W30">
        <v>18</v>
      </c>
      <c r="X30">
        <v>4643</v>
      </c>
      <c r="Y30">
        <v>357</v>
      </c>
      <c r="Z30">
        <v>5</v>
      </c>
      <c r="AA30" s="17">
        <v>3.4200000000000001E-2</v>
      </c>
      <c r="AC30" s="10">
        <f>F28/AA30</f>
        <v>5.8479532163742691</v>
      </c>
      <c r="AD30" s="10">
        <f>D28/AA30</f>
        <v>2.9239766081871346</v>
      </c>
      <c r="AG30" s="29"/>
      <c r="AH30" s="29"/>
      <c r="AI30" s="29"/>
      <c r="AJ30" s="29"/>
      <c r="AK30" s="29"/>
      <c r="AL30" s="29"/>
      <c r="AM30" s="30"/>
    </row>
    <row r="31" spans="1:39" s="4" customFormat="1" x14ac:dyDescent="0.2">
      <c r="C31" s="31" t="s">
        <v>11</v>
      </c>
      <c r="D31" s="31"/>
      <c r="E31" s="31"/>
      <c r="F31" s="13"/>
      <c r="G31" s="13"/>
      <c r="H31" s="13"/>
      <c r="I31" s="13"/>
      <c r="J31" s="13"/>
      <c r="K31" s="13"/>
      <c r="L31" s="13"/>
      <c r="AG31" s="29"/>
      <c r="AH31" s="29"/>
      <c r="AI31" s="29"/>
      <c r="AJ31" s="29"/>
      <c r="AK31" s="29"/>
      <c r="AL31" s="29"/>
      <c r="AM31" s="30"/>
    </row>
    <row r="32" spans="1:39" ht="17" x14ac:dyDescent="0.2">
      <c r="B32" s="3" t="s">
        <v>2</v>
      </c>
      <c r="C32" s="3" t="s">
        <v>4</v>
      </c>
      <c r="D32" s="3" t="s">
        <v>1</v>
      </c>
      <c r="E32" s="3" t="s">
        <v>3</v>
      </c>
      <c r="F32" s="14" t="s">
        <v>0</v>
      </c>
      <c r="G32" s="14"/>
      <c r="H32" s="14"/>
      <c r="I32" s="14"/>
      <c r="J32" s="14"/>
      <c r="K32" s="14"/>
      <c r="L32" s="14" t="s">
        <v>35</v>
      </c>
      <c r="M32" s="3" t="s">
        <v>5</v>
      </c>
      <c r="N32" s="3" t="s">
        <v>6</v>
      </c>
      <c r="O32" s="3" t="s">
        <v>7</v>
      </c>
      <c r="AG32" s="29"/>
      <c r="AH32" s="29"/>
      <c r="AI32" s="29"/>
      <c r="AJ32" s="29"/>
      <c r="AK32" s="29"/>
      <c r="AL32" s="29"/>
      <c r="AM32" s="30"/>
    </row>
    <row r="33" spans="1:39" ht="16" hidden="1" customHeight="1" x14ac:dyDescent="0.2">
      <c r="A33" t="s">
        <v>15</v>
      </c>
      <c r="B33">
        <v>5.7030000000000003</v>
      </c>
      <c r="C33">
        <v>58.49</v>
      </c>
      <c r="D33">
        <v>21.655000000000001</v>
      </c>
      <c r="E33">
        <v>26.513999999999999</v>
      </c>
      <c r="F33" s="12"/>
      <c r="G33" s="12"/>
      <c r="H33" s="12"/>
      <c r="I33" s="12"/>
      <c r="J33" s="12"/>
      <c r="K33" s="12"/>
      <c r="L33" s="12"/>
      <c r="M33">
        <v>11.561</v>
      </c>
      <c r="N33">
        <v>31.068999999999999</v>
      </c>
      <c r="O33">
        <v>17.13</v>
      </c>
      <c r="AG33" s="29"/>
      <c r="AH33" s="29"/>
      <c r="AI33" s="29"/>
      <c r="AJ33" s="29"/>
      <c r="AK33" s="29"/>
      <c r="AL33" s="29"/>
      <c r="AM33" s="30"/>
    </row>
    <row r="34" spans="1:39" ht="16" hidden="1" customHeight="1" x14ac:dyDescent="0.2">
      <c r="A34" t="s">
        <v>16</v>
      </c>
      <c r="B34">
        <v>94.296999999999997</v>
      </c>
      <c r="C34">
        <v>41.51</v>
      </c>
      <c r="D34">
        <v>78.344999999999999</v>
      </c>
      <c r="E34">
        <v>73.486000000000004</v>
      </c>
      <c r="F34" s="12"/>
      <c r="G34" s="12"/>
      <c r="H34" s="12"/>
      <c r="I34" s="12"/>
      <c r="J34" s="12"/>
      <c r="K34" s="12"/>
      <c r="L34" s="12"/>
      <c r="M34">
        <v>88.438999999999993</v>
      </c>
      <c r="N34">
        <v>68.930999999999997</v>
      </c>
      <c r="O34">
        <v>82.87</v>
      </c>
      <c r="AG34" s="29"/>
      <c r="AH34" s="29"/>
      <c r="AI34" s="29"/>
      <c r="AJ34" s="29"/>
      <c r="AK34" s="29"/>
      <c r="AL34" s="29"/>
      <c r="AM34" s="30"/>
    </row>
    <row r="35" spans="1:39" ht="16" hidden="1" customHeight="1" x14ac:dyDescent="0.2">
      <c r="A35" t="s">
        <v>17</v>
      </c>
      <c r="B35">
        <v>0.122</v>
      </c>
      <c r="C35">
        <v>63.226999999999997</v>
      </c>
      <c r="D35">
        <v>3.4870000000000001</v>
      </c>
      <c r="E35">
        <v>7.6420000000000003</v>
      </c>
      <c r="F35" s="12"/>
      <c r="G35" s="12"/>
      <c r="H35" s="12"/>
      <c r="I35" s="12"/>
      <c r="J35" s="12"/>
      <c r="K35" s="12"/>
      <c r="L35" s="12"/>
      <c r="M35">
        <v>1.804</v>
      </c>
      <c r="N35">
        <v>1.804</v>
      </c>
      <c r="O35">
        <v>0</v>
      </c>
      <c r="AG35" s="29"/>
      <c r="AH35" s="29"/>
      <c r="AI35" s="29"/>
      <c r="AJ35" s="29"/>
      <c r="AK35" s="29"/>
      <c r="AL35" s="29"/>
      <c r="AM35" s="30"/>
    </row>
    <row r="36" spans="1:39" hidden="1" x14ac:dyDescent="0.2">
      <c r="A36" t="s">
        <v>18</v>
      </c>
      <c r="B36">
        <v>0</v>
      </c>
      <c r="C36">
        <v>0</v>
      </c>
      <c r="D36">
        <v>0</v>
      </c>
      <c r="E36">
        <v>0</v>
      </c>
      <c r="F36" s="12"/>
      <c r="G36" s="12"/>
      <c r="H36" s="12"/>
      <c r="I36" s="12"/>
      <c r="J36" s="12"/>
      <c r="K36" s="12"/>
      <c r="L36" s="12"/>
      <c r="M36">
        <v>0</v>
      </c>
      <c r="N36">
        <v>0</v>
      </c>
      <c r="O36">
        <v>0</v>
      </c>
      <c r="AG36" s="29"/>
      <c r="AH36" s="29"/>
      <c r="AI36" s="29"/>
      <c r="AJ36" s="29"/>
      <c r="AK36" s="29"/>
      <c r="AL36" s="29"/>
      <c r="AM36" s="30"/>
    </row>
    <row r="37" spans="1:39" x14ac:dyDescent="0.2">
      <c r="A37" t="s">
        <v>49</v>
      </c>
      <c r="B37" s="16">
        <v>5.6959999999999997</v>
      </c>
      <c r="C37" s="16">
        <v>23</v>
      </c>
      <c r="D37" s="16">
        <v>22</v>
      </c>
      <c r="E37" s="16">
        <v>24.488</v>
      </c>
      <c r="F37" s="12">
        <v>29</v>
      </c>
      <c r="G37" s="12"/>
      <c r="H37" s="12"/>
      <c r="I37" s="12"/>
      <c r="J37" s="12"/>
      <c r="K37" s="12"/>
      <c r="L37" s="12">
        <v>2.1800000000000002</v>
      </c>
      <c r="M37" s="16">
        <v>11.352</v>
      </c>
      <c r="N37" s="16">
        <v>32</v>
      </c>
      <c r="O37" s="16">
        <v>18</v>
      </c>
      <c r="AG37" s="29"/>
      <c r="AH37" s="29"/>
      <c r="AI37" s="29"/>
      <c r="AJ37" s="29"/>
      <c r="AK37" s="29"/>
      <c r="AL37" s="29"/>
      <c r="AM37" s="30"/>
    </row>
    <row r="38" spans="1:39" x14ac:dyDescent="0.2">
      <c r="A38" t="s">
        <v>19</v>
      </c>
      <c r="B38" s="10">
        <v>0.93</v>
      </c>
      <c r="C38" s="10">
        <v>11.9</v>
      </c>
      <c r="D38" s="10">
        <v>1.7</v>
      </c>
      <c r="E38" s="10">
        <v>1.95</v>
      </c>
      <c r="F38" s="11">
        <v>0.26</v>
      </c>
      <c r="G38" s="11"/>
      <c r="H38" s="11"/>
      <c r="I38" s="11"/>
      <c r="J38" s="11"/>
      <c r="K38" s="11" t="s">
        <v>73</v>
      </c>
      <c r="L38" s="21"/>
      <c r="M38" s="10">
        <v>0.26</v>
      </c>
      <c r="N38" s="10">
        <v>3.19</v>
      </c>
      <c r="O38" s="10">
        <v>0.52</v>
      </c>
      <c r="S38" s="10">
        <f>D38/F38</f>
        <v>6.5384615384615383</v>
      </c>
      <c r="AG38" s="29"/>
      <c r="AH38" s="29"/>
      <c r="AI38" s="29"/>
      <c r="AJ38" s="29"/>
      <c r="AK38" s="29"/>
      <c r="AL38" s="29"/>
      <c r="AM38" s="30"/>
    </row>
    <row r="39" spans="1:39" hidden="1" x14ac:dyDescent="0.2">
      <c r="A39" t="s">
        <v>20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2"/>
      <c r="G39" s="12"/>
      <c r="H39" s="12"/>
      <c r="I39" s="12"/>
      <c r="J39" s="12"/>
      <c r="K39" s="12"/>
      <c r="L39" s="12"/>
      <c r="M39" s="10">
        <v>5.0000000000000001E-3</v>
      </c>
      <c r="N39" s="10">
        <v>0.11700000000000001</v>
      </c>
      <c r="O39" s="10">
        <v>3.6999999999999998E-2</v>
      </c>
      <c r="AG39" s="29"/>
      <c r="AH39" s="29"/>
      <c r="AI39" s="29"/>
      <c r="AJ39" s="29"/>
      <c r="AK39" s="29"/>
      <c r="AL39" s="29"/>
      <c r="AM39" s="30"/>
    </row>
    <row r="40" spans="1:39" x14ac:dyDescent="0.2">
      <c r="A40" t="s">
        <v>23</v>
      </c>
      <c r="B40" s="10">
        <v>2.35</v>
      </c>
      <c r="C40" s="10">
        <v>0.42</v>
      </c>
      <c r="D40" s="10">
        <v>69.42</v>
      </c>
      <c r="E40" s="10">
        <v>7.07</v>
      </c>
      <c r="F40" s="12">
        <f>0.59*1000</f>
        <v>590</v>
      </c>
      <c r="G40" s="12">
        <f>0.5*1000</f>
        <v>500</v>
      </c>
      <c r="H40" s="12">
        <f>0.46*1000</f>
        <v>460</v>
      </c>
      <c r="I40" s="12">
        <f>0.34*1000</f>
        <v>340</v>
      </c>
      <c r="J40" s="12">
        <f>0.33*1000</f>
        <v>330</v>
      </c>
      <c r="K40" s="12">
        <f>0.27*1000</f>
        <v>270</v>
      </c>
      <c r="L40" s="12">
        <f>26.4*1000</f>
        <v>26400</v>
      </c>
      <c r="M40" s="10">
        <v>1.07</v>
      </c>
      <c r="N40" s="10">
        <v>0.92</v>
      </c>
      <c r="O40" s="10">
        <v>17.920000000000002</v>
      </c>
      <c r="R40" s="10">
        <f>J40/D40</f>
        <v>4.7536732929991352</v>
      </c>
      <c r="U40">
        <v>98575</v>
      </c>
      <c r="V40">
        <v>21</v>
      </c>
      <c r="W40">
        <v>5243</v>
      </c>
      <c r="X40">
        <v>4581</v>
      </c>
      <c r="Y40">
        <v>352</v>
      </c>
      <c r="Z40">
        <v>3</v>
      </c>
      <c r="AA40">
        <v>0.16</v>
      </c>
      <c r="AC40" s="10">
        <f>F38/AA40</f>
        <v>1.625</v>
      </c>
      <c r="AD40" s="10">
        <f>D38/AA40</f>
        <v>10.625</v>
      </c>
      <c r="AG40" s="29"/>
      <c r="AH40" s="29"/>
      <c r="AI40" s="29"/>
      <c r="AJ40" s="29"/>
      <c r="AK40" s="29"/>
      <c r="AL40" s="29"/>
      <c r="AM40" s="30"/>
    </row>
    <row r="41" spans="1:39" s="4" customFormat="1" x14ac:dyDescent="0.2">
      <c r="C41" s="31" t="s">
        <v>12</v>
      </c>
      <c r="D41" s="31"/>
      <c r="E41" s="31"/>
      <c r="F41" s="13"/>
      <c r="G41" s="13"/>
      <c r="H41" s="13"/>
      <c r="I41" s="13"/>
      <c r="J41" s="13"/>
      <c r="K41" s="13"/>
      <c r="L41" s="13"/>
      <c r="AG41" s="29"/>
      <c r="AH41" s="29"/>
      <c r="AI41" s="29"/>
      <c r="AJ41" s="29"/>
      <c r="AK41" s="29"/>
      <c r="AL41" s="29"/>
      <c r="AM41" s="30"/>
    </row>
    <row r="42" spans="1:39" ht="17" x14ac:dyDescent="0.2">
      <c r="B42" s="3" t="s">
        <v>2</v>
      </c>
      <c r="C42" s="3" t="s">
        <v>4</v>
      </c>
      <c r="D42" s="3" t="s">
        <v>1</v>
      </c>
      <c r="E42" s="3" t="s">
        <v>3</v>
      </c>
      <c r="F42" s="14" t="s">
        <v>0</v>
      </c>
      <c r="G42" s="14"/>
      <c r="H42" s="14"/>
      <c r="I42" s="14"/>
      <c r="J42" s="14"/>
      <c r="K42" s="14"/>
      <c r="L42" s="14" t="s">
        <v>35</v>
      </c>
      <c r="M42" s="3" t="s">
        <v>5</v>
      </c>
      <c r="N42" s="3" t="s">
        <v>6</v>
      </c>
      <c r="O42" s="3" t="s">
        <v>7</v>
      </c>
      <c r="AG42" s="29"/>
      <c r="AH42" s="29"/>
      <c r="AI42" s="29"/>
      <c r="AJ42" s="29"/>
      <c r="AK42" s="29"/>
      <c r="AL42" s="29"/>
      <c r="AM42" s="30"/>
    </row>
    <row r="43" spans="1:39" hidden="1" x14ac:dyDescent="0.2">
      <c r="A43" t="s">
        <v>15</v>
      </c>
      <c r="B43">
        <v>3.46</v>
      </c>
      <c r="C43">
        <v>83.728999999999999</v>
      </c>
      <c r="D43">
        <v>80.400000000000006</v>
      </c>
      <c r="E43">
        <v>80.56</v>
      </c>
      <c r="F43" s="12"/>
      <c r="G43" s="12"/>
      <c r="H43" s="12"/>
      <c r="I43" s="12"/>
      <c r="J43" s="12"/>
      <c r="K43" s="12"/>
      <c r="L43" s="12"/>
      <c r="M43">
        <v>16.12</v>
      </c>
      <c r="N43">
        <v>80.599999999999994</v>
      </c>
      <c r="O43">
        <v>64.239999999999995</v>
      </c>
      <c r="AG43" s="29"/>
      <c r="AH43" s="29"/>
      <c r="AI43" s="29"/>
      <c r="AJ43" s="29"/>
      <c r="AK43" s="29"/>
      <c r="AL43" s="29"/>
      <c r="AM43" s="30"/>
    </row>
    <row r="44" spans="1:39" hidden="1" x14ac:dyDescent="0.2">
      <c r="A44" t="s">
        <v>16</v>
      </c>
      <c r="B44">
        <v>96.54</v>
      </c>
      <c r="C44">
        <v>16.271000000000001</v>
      </c>
      <c r="D44">
        <v>19.600000000000001</v>
      </c>
      <c r="E44">
        <v>19.440000000000001</v>
      </c>
      <c r="F44" s="12"/>
      <c r="G44" s="12"/>
      <c r="H44" s="12"/>
      <c r="I44" s="12"/>
      <c r="J44" s="12"/>
      <c r="K44" s="12"/>
      <c r="L44" s="12"/>
      <c r="M44">
        <v>83.88</v>
      </c>
      <c r="N44">
        <v>19.399999999999999</v>
      </c>
      <c r="O44">
        <v>35.76</v>
      </c>
      <c r="AG44" s="29"/>
      <c r="AH44" s="29"/>
      <c r="AI44" s="29"/>
      <c r="AJ44" s="29"/>
      <c r="AK44" s="29"/>
      <c r="AL44" s="29"/>
      <c r="AM44" s="30"/>
    </row>
    <row r="45" spans="1:39" hidden="1" x14ac:dyDescent="0.2">
      <c r="A45" t="s">
        <v>17</v>
      </c>
      <c r="B45">
        <v>0</v>
      </c>
      <c r="C45">
        <v>6.58</v>
      </c>
      <c r="D45">
        <v>0</v>
      </c>
      <c r="E45">
        <v>0</v>
      </c>
      <c r="F45" s="12"/>
      <c r="G45" s="12"/>
      <c r="H45" s="12"/>
      <c r="I45" s="12"/>
      <c r="J45" s="12"/>
      <c r="K45" s="12"/>
      <c r="L45" s="12"/>
      <c r="M45">
        <v>0</v>
      </c>
      <c r="N45">
        <v>0</v>
      </c>
      <c r="O45">
        <v>0</v>
      </c>
      <c r="AG45" s="29"/>
      <c r="AH45" s="29"/>
      <c r="AI45" s="29"/>
      <c r="AJ45" s="29"/>
      <c r="AK45" s="29"/>
      <c r="AL45" s="29"/>
      <c r="AM45" s="30"/>
    </row>
    <row r="46" spans="1:39" hidden="1" x14ac:dyDescent="0.2">
      <c r="A46" t="s">
        <v>18</v>
      </c>
      <c r="B46">
        <v>0</v>
      </c>
      <c r="C46">
        <v>0</v>
      </c>
      <c r="D46">
        <v>0</v>
      </c>
      <c r="E46">
        <v>0</v>
      </c>
      <c r="F46" s="12"/>
      <c r="G46" s="12"/>
      <c r="H46" s="12"/>
      <c r="I46" s="12"/>
      <c r="J46" s="12"/>
      <c r="K46" s="12"/>
      <c r="L46" s="12"/>
      <c r="M46">
        <v>0</v>
      </c>
      <c r="N46">
        <v>0</v>
      </c>
      <c r="O46">
        <v>0</v>
      </c>
      <c r="AG46" s="29"/>
      <c r="AH46" s="29"/>
      <c r="AI46" s="29"/>
      <c r="AJ46" s="29"/>
      <c r="AK46" s="29"/>
      <c r="AL46" s="29"/>
      <c r="AM46" s="30"/>
    </row>
    <row r="47" spans="1:39" x14ac:dyDescent="0.2">
      <c r="A47" t="s">
        <v>49</v>
      </c>
      <c r="B47" s="16">
        <v>3.46</v>
      </c>
      <c r="C47" s="16">
        <v>79</v>
      </c>
      <c r="D47" s="16">
        <v>80.400000000000006</v>
      </c>
      <c r="E47" s="16">
        <v>80</v>
      </c>
      <c r="F47" s="12">
        <v>88</v>
      </c>
      <c r="G47" s="12"/>
      <c r="H47" s="12"/>
      <c r="I47" s="12"/>
      <c r="J47" s="12"/>
      <c r="K47" s="12"/>
      <c r="L47" s="12">
        <v>6.24</v>
      </c>
      <c r="M47" s="16">
        <v>16.12</v>
      </c>
      <c r="N47" s="16">
        <v>80.599999999999994</v>
      </c>
      <c r="O47" s="16">
        <v>65</v>
      </c>
      <c r="AG47" s="29"/>
      <c r="AH47" s="29"/>
      <c r="AI47" s="29"/>
      <c r="AJ47" s="29"/>
      <c r="AK47" s="29"/>
      <c r="AL47" s="29"/>
      <c r="AM47" s="30"/>
    </row>
    <row r="48" spans="1:39" x14ac:dyDescent="0.2">
      <c r="A48" t="s">
        <v>19</v>
      </c>
      <c r="B48" s="10">
        <v>2.1999999999999999E-2</v>
      </c>
      <c r="C48" s="10">
        <v>87.4</v>
      </c>
      <c r="D48" s="10">
        <v>0.11</v>
      </c>
      <c r="E48" s="10">
        <v>0.21</v>
      </c>
      <c r="F48" s="11">
        <v>0.15</v>
      </c>
      <c r="G48" s="11"/>
      <c r="H48" s="11"/>
      <c r="I48" s="11"/>
      <c r="J48" s="11"/>
      <c r="K48" s="11">
        <v>0.31</v>
      </c>
      <c r="L48" s="21"/>
      <c r="M48" s="10">
        <v>8.0000000000000002E-3</v>
      </c>
      <c r="N48" s="10">
        <v>1.68</v>
      </c>
      <c r="O48" s="10">
        <v>1.39</v>
      </c>
      <c r="S48" s="10">
        <f>D48/F48</f>
        <v>0.73333333333333339</v>
      </c>
      <c r="AG48" s="29"/>
      <c r="AH48" s="29"/>
      <c r="AI48" s="29"/>
      <c r="AJ48" s="29"/>
      <c r="AK48" s="29"/>
      <c r="AL48" s="29"/>
      <c r="AM48" s="30"/>
    </row>
    <row r="49" spans="1:39" hidden="1" x14ac:dyDescent="0.2">
      <c r="A49" t="s">
        <v>20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2"/>
      <c r="G49" s="12"/>
      <c r="H49" s="12"/>
      <c r="I49" s="12"/>
      <c r="J49" s="12"/>
      <c r="K49" s="12"/>
      <c r="L49" s="12"/>
      <c r="M49" s="10">
        <v>1.6E-2</v>
      </c>
      <c r="N49" s="10">
        <v>0.71699999999999997</v>
      </c>
      <c r="O49" s="10">
        <v>0.158</v>
      </c>
      <c r="AG49" s="29"/>
      <c r="AH49" s="29"/>
      <c r="AI49" s="29"/>
      <c r="AJ49" s="29"/>
      <c r="AK49" s="29"/>
      <c r="AL49" s="29"/>
      <c r="AM49" s="30"/>
    </row>
    <row r="50" spans="1:39" x14ac:dyDescent="0.2">
      <c r="A50" t="s">
        <v>23</v>
      </c>
      <c r="B50" s="10">
        <v>0.28000000000000003</v>
      </c>
      <c r="C50" s="10">
        <v>0.5</v>
      </c>
      <c r="D50" s="10">
        <v>15.7</v>
      </c>
      <c r="E50" s="10">
        <v>7.35</v>
      </c>
      <c r="F50" s="12">
        <f>0.43*1000</f>
        <v>430</v>
      </c>
      <c r="G50" s="12">
        <f>0.13*1000</f>
        <v>130</v>
      </c>
      <c r="H50" s="12">
        <f>0.125*1000</f>
        <v>125</v>
      </c>
      <c r="I50" s="12">
        <f>0.087*1000</f>
        <v>87</v>
      </c>
      <c r="J50" s="12">
        <f>0.085*1000</f>
        <v>85</v>
      </c>
      <c r="K50" s="12">
        <f>0.062*1000</f>
        <v>62</v>
      </c>
      <c r="L50" s="12">
        <f xml:space="preserve"> 0.77*1000</f>
        <v>770</v>
      </c>
      <c r="M50" s="10">
        <v>0.14000000000000001</v>
      </c>
      <c r="N50" s="10">
        <v>0.21</v>
      </c>
      <c r="O50" s="10">
        <v>4.1399999999999997</v>
      </c>
      <c r="R50" s="10">
        <f>J50/D50</f>
        <v>5.4140127388535033</v>
      </c>
      <c r="U50">
        <v>620521</v>
      </c>
      <c r="V50">
        <v>133</v>
      </c>
      <c r="W50">
        <v>75</v>
      </c>
      <c r="X50">
        <v>4643</v>
      </c>
      <c r="Y50">
        <v>357</v>
      </c>
      <c r="Z50">
        <v>5</v>
      </c>
      <c r="AA50">
        <v>0.54</v>
      </c>
      <c r="AC50" s="10">
        <f>F48/AA50</f>
        <v>0.27777777777777773</v>
      </c>
      <c r="AD50" s="10">
        <f>D48/AA50</f>
        <v>0.20370370370370369</v>
      </c>
      <c r="AG50" s="29"/>
      <c r="AH50" s="29"/>
      <c r="AI50" s="29"/>
      <c r="AJ50" s="29"/>
      <c r="AK50" s="29"/>
      <c r="AL50" s="29"/>
      <c r="AM50" s="30"/>
    </row>
    <row r="51" spans="1:39" s="4" customFormat="1" x14ac:dyDescent="0.2">
      <c r="C51" s="31" t="s">
        <v>13</v>
      </c>
      <c r="D51" s="31"/>
      <c r="E51" s="31"/>
      <c r="F51" s="13"/>
      <c r="G51" s="13"/>
      <c r="H51" s="13"/>
      <c r="I51" s="13"/>
      <c r="J51" s="13"/>
      <c r="K51" s="13"/>
      <c r="L51" s="13"/>
      <c r="AG51" s="29"/>
      <c r="AH51" s="29"/>
      <c r="AI51" s="29"/>
      <c r="AJ51" s="29"/>
      <c r="AK51" s="29"/>
      <c r="AL51" s="29"/>
      <c r="AM51" s="30"/>
    </row>
    <row r="52" spans="1:39" ht="17" x14ac:dyDescent="0.2">
      <c r="B52" s="3" t="s">
        <v>2</v>
      </c>
      <c r="C52" s="3" t="s">
        <v>4</v>
      </c>
      <c r="D52" s="3" t="s">
        <v>1</v>
      </c>
      <c r="E52" s="3" t="s">
        <v>3</v>
      </c>
      <c r="F52" s="14" t="s">
        <v>0</v>
      </c>
      <c r="G52" s="14"/>
      <c r="H52" s="14"/>
      <c r="I52" s="14"/>
      <c r="J52" s="14"/>
      <c r="K52" s="14"/>
      <c r="L52" s="14" t="s">
        <v>35</v>
      </c>
      <c r="M52" s="3" t="s">
        <v>5</v>
      </c>
      <c r="N52" s="3" t="s">
        <v>6</v>
      </c>
      <c r="O52" s="3" t="s">
        <v>7</v>
      </c>
      <c r="AG52" s="29"/>
      <c r="AH52" s="29"/>
      <c r="AI52" s="29"/>
      <c r="AJ52" s="29"/>
      <c r="AK52" s="29"/>
      <c r="AL52" s="29"/>
      <c r="AM52" s="30"/>
    </row>
    <row r="53" spans="1:39" hidden="1" x14ac:dyDescent="0.2">
      <c r="A53" t="s">
        <v>15</v>
      </c>
      <c r="B53">
        <v>32.366</v>
      </c>
      <c r="C53">
        <v>41.103000000000002</v>
      </c>
      <c r="D53">
        <v>41.326000000000001</v>
      </c>
      <c r="E53">
        <v>36.713999999999999</v>
      </c>
      <c r="F53" s="12"/>
      <c r="G53" s="12"/>
      <c r="H53" s="12"/>
      <c r="I53" s="12"/>
      <c r="J53" s="12"/>
      <c r="K53" s="12"/>
      <c r="L53" s="12"/>
      <c r="M53">
        <v>25.684999999999999</v>
      </c>
      <c r="N53">
        <v>22.35</v>
      </c>
      <c r="O53">
        <v>24.228999999999999</v>
      </c>
      <c r="AG53" s="29"/>
      <c r="AH53" s="29"/>
      <c r="AI53" s="29"/>
      <c r="AJ53" s="29"/>
      <c r="AK53" s="29"/>
      <c r="AL53" s="29"/>
      <c r="AM53" s="30"/>
    </row>
    <row r="54" spans="1:39" hidden="1" x14ac:dyDescent="0.2">
      <c r="A54" t="s">
        <v>16</v>
      </c>
      <c r="B54">
        <v>67.634</v>
      </c>
      <c r="C54">
        <v>58.896999999999998</v>
      </c>
      <c r="D54">
        <v>58.673999999999999</v>
      </c>
      <c r="E54">
        <v>63.286000000000001</v>
      </c>
      <c r="F54" s="12"/>
      <c r="G54" s="12"/>
      <c r="H54" s="12"/>
      <c r="I54" s="12"/>
      <c r="J54" s="12"/>
      <c r="K54" s="12"/>
      <c r="L54" s="12"/>
      <c r="M54">
        <v>74.314999999999998</v>
      </c>
      <c r="N54">
        <v>77.650000000000006</v>
      </c>
      <c r="O54">
        <v>75.771000000000001</v>
      </c>
      <c r="AG54" s="29"/>
      <c r="AH54" s="29"/>
      <c r="AI54" s="29"/>
      <c r="AJ54" s="29"/>
      <c r="AK54" s="29"/>
      <c r="AL54" s="29"/>
      <c r="AM54" s="30"/>
    </row>
    <row r="55" spans="1:39" hidden="1" x14ac:dyDescent="0.2">
      <c r="A55" t="s">
        <v>17</v>
      </c>
      <c r="B55">
        <v>1.631</v>
      </c>
      <c r="C55">
        <v>95.403999999999996</v>
      </c>
      <c r="D55">
        <v>0.127</v>
      </c>
      <c r="E55">
        <v>0.49099999999999999</v>
      </c>
      <c r="F55" s="12"/>
      <c r="G55" s="12"/>
      <c r="H55" s="12"/>
      <c r="I55" s="12"/>
      <c r="J55" s="12"/>
      <c r="K55" s="12"/>
      <c r="L55" s="12"/>
      <c r="M55">
        <v>1.1000000000000001</v>
      </c>
      <c r="N55">
        <v>1.1000000000000001</v>
      </c>
      <c r="O55">
        <v>0</v>
      </c>
      <c r="AG55" s="29"/>
      <c r="AH55" s="29"/>
      <c r="AI55" s="29"/>
      <c r="AJ55" s="29"/>
      <c r="AK55" s="29"/>
      <c r="AL55" s="29"/>
      <c r="AM55" s="30"/>
    </row>
    <row r="56" spans="1:39" hidden="1" x14ac:dyDescent="0.2">
      <c r="A56" t="s">
        <v>18</v>
      </c>
      <c r="B56">
        <v>0</v>
      </c>
      <c r="C56">
        <v>0</v>
      </c>
      <c r="D56">
        <v>0</v>
      </c>
      <c r="E56">
        <v>0</v>
      </c>
      <c r="F56" s="12"/>
      <c r="G56" s="12"/>
      <c r="H56" s="12"/>
      <c r="I56" s="12"/>
      <c r="J56" s="12"/>
      <c r="K56" s="12"/>
      <c r="L56" s="12"/>
      <c r="M56">
        <v>0</v>
      </c>
      <c r="N56">
        <v>0</v>
      </c>
      <c r="O56">
        <v>0</v>
      </c>
      <c r="AG56" s="29"/>
      <c r="AH56" s="29"/>
      <c r="AI56" s="29"/>
      <c r="AJ56" s="29"/>
      <c r="AK56" s="29"/>
      <c r="AL56" s="29"/>
      <c r="AM56" s="30"/>
    </row>
    <row r="57" spans="1:39" x14ac:dyDescent="0.2">
      <c r="A57" t="s">
        <v>49</v>
      </c>
      <c r="B57" s="16">
        <v>30</v>
      </c>
      <c r="C57" s="16">
        <v>1</v>
      </c>
      <c r="D57" s="16">
        <v>37</v>
      </c>
      <c r="E57" s="16">
        <v>29</v>
      </c>
      <c r="F57" s="12">
        <v>34</v>
      </c>
      <c r="G57" s="12"/>
      <c r="H57" s="12"/>
      <c r="I57" s="12"/>
      <c r="J57" s="12"/>
      <c r="K57" s="12"/>
      <c r="L57" s="22">
        <v>0.6</v>
      </c>
      <c r="M57" s="16">
        <v>23</v>
      </c>
      <c r="N57" s="16">
        <v>20</v>
      </c>
      <c r="O57" s="16">
        <v>20</v>
      </c>
      <c r="AG57" s="29"/>
      <c r="AH57" s="29"/>
      <c r="AI57" s="29"/>
      <c r="AJ57" s="29"/>
      <c r="AK57" s="29"/>
      <c r="AL57" s="29"/>
      <c r="AM57" s="30"/>
    </row>
    <row r="58" spans="1:39" x14ac:dyDescent="0.2">
      <c r="A58" t="s">
        <v>19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1">
        <v>2.25</v>
      </c>
      <c r="G58" s="11"/>
      <c r="H58" s="11"/>
      <c r="I58" s="11"/>
      <c r="J58" s="11"/>
      <c r="K58" s="11">
        <v>4.91</v>
      </c>
      <c r="L58" s="21"/>
      <c r="M58" s="10">
        <v>26</v>
      </c>
      <c r="N58" s="10">
        <v>37.6</v>
      </c>
      <c r="O58" s="10">
        <v>5.97</v>
      </c>
      <c r="S58" s="10">
        <f>D58/F58</f>
        <v>44.48</v>
      </c>
      <c r="AG58" s="29"/>
      <c r="AH58" s="29"/>
      <c r="AI58" s="29"/>
      <c r="AJ58" s="29"/>
      <c r="AK58" s="29"/>
      <c r="AL58" s="29"/>
      <c r="AM58" s="30"/>
    </row>
    <row r="59" spans="1:39" hidden="1" x14ac:dyDescent="0.2">
      <c r="A59" t="s">
        <v>20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2"/>
      <c r="G59" s="12"/>
      <c r="H59" s="12"/>
      <c r="I59" s="12"/>
      <c r="J59" s="12"/>
      <c r="K59" s="12"/>
      <c r="L59" s="12"/>
      <c r="M59" s="10">
        <v>0.16300000000000001</v>
      </c>
      <c r="N59" s="10">
        <v>2.38</v>
      </c>
      <c r="O59" s="10">
        <v>0.40400000000000003</v>
      </c>
      <c r="AG59" s="29"/>
      <c r="AH59" s="29"/>
      <c r="AI59" s="29"/>
      <c r="AJ59" s="29"/>
      <c r="AK59" s="29"/>
      <c r="AL59" s="29"/>
      <c r="AM59" s="30"/>
    </row>
    <row r="60" spans="1:39" x14ac:dyDescent="0.2">
      <c r="A60" t="s">
        <v>23</v>
      </c>
      <c r="B60" s="10">
        <v>25</v>
      </c>
      <c r="C60" s="10">
        <v>4.2300000000000004</v>
      </c>
      <c r="D60" s="10">
        <v>5990</v>
      </c>
      <c r="E60" s="10">
        <v>5897</v>
      </c>
      <c r="F60" s="12">
        <f>344*1000</f>
        <v>344000</v>
      </c>
      <c r="G60" s="12">
        <f>168.36*1000</f>
        <v>168360</v>
      </c>
      <c r="H60" s="12">
        <f>163.8*1000</f>
        <v>163800</v>
      </c>
      <c r="I60" s="11">
        <f>97.11*1000</f>
        <v>97110</v>
      </c>
      <c r="J60" s="11">
        <f>99*1000</f>
        <v>99000</v>
      </c>
      <c r="K60" s="11">
        <f>97*1000</f>
        <v>97000</v>
      </c>
      <c r="L60" s="12">
        <f>1992.633*1000</f>
        <v>1992633</v>
      </c>
      <c r="M60" s="10">
        <v>23.92</v>
      </c>
      <c r="N60" s="10">
        <v>9.92</v>
      </c>
      <c r="O60" s="10">
        <v>434</v>
      </c>
      <c r="R60" s="10">
        <f>J60/D60</f>
        <v>16.527545909849749</v>
      </c>
      <c r="U60">
        <v>1230568</v>
      </c>
      <c r="V60">
        <v>29</v>
      </c>
      <c r="W60">
        <v>22042</v>
      </c>
      <c r="X60">
        <v>41786</v>
      </c>
      <c r="Y60">
        <v>3214</v>
      </c>
      <c r="Z60">
        <v>5</v>
      </c>
      <c r="AA60">
        <v>2.2999999999999998</v>
      </c>
      <c r="AC60" s="10">
        <f>F58/AA60</f>
        <v>0.97826086956521752</v>
      </c>
      <c r="AD60" s="10">
        <f>D58/AA60</f>
        <v>43.513043478260869</v>
      </c>
      <c r="AG60" s="29"/>
      <c r="AH60" s="29"/>
      <c r="AI60" s="29"/>
      <c r="AJ60" s="29"/>
      <c r="AK60" s="29"/>
      <c r="AL60" s="29"/>
      <c r="AM60" s="30"/>
    </row>
    <row r="61" spans="1:39" s="4" customFormat="1" x14ac:dyDescent="0.2">
      <c r="C61" s="31" t="s">
        <v>14</v>
      </c>
      <c r="D61" s="31"/>
      <c r="E61" s="31"/>
      <c r="F61" s="13"/>
      <c r="G61" s="13"/>
      <c r="H61" s="13"/>
      <c r="I61" s="13"/>
      <c r="J61" s="13"/>
      <c r="K61" s="13"/>
      <c r="L61" s="13"/>
      <c r="AG61" s="29"/>
      <c r="AH61" s="29"/>
      <c r="AI61" s="29"/>
      <c r="AJ61" s="29"/>
      <c r="AK61" s="29"/>
      <c r="AL61" s="29"/>
      <c r="AM61" s="30"/>
    </row>
    <row r="62" spans="1:39" ht="17" x14ac:dyDescent="0.2">
      <c r="B62" s="3" t="s">
        <v>2</v>
      </c>
      <c r="C62" s="3" t="s">
        <v>4</v>
      </c>
      <c r="D62" s="3" t="s">
        <v>1</v>
      </c>
      <c r="E62" s="3" t="s">
        <v>3</v>
      </c>
      <c r="F62" s="14" t="s">
        <v>0</v>
      </c>
      <c r="G62" s="14"/>
      <c r="H62" s="14"/>
      <c r="I62" s="14"/>
      <c r="J62" s="14"/>
      <c r="K62" s="14"/>
      <c r="L62" s="14" t="s">
        <v>35</v>
      </c>
      <c r="M62" s="3" t="s">
        <v>5</v>
      </c>
      <c r="N62" s="3" t="s">
        <v>6</v>
      </c>
      <c r="O62" s="3" t="s">
        <v>7</v>
      </c>
      <c r="AG62" s="29"/>
      <c r="AH62" s="29"/>
      <c r="AI62" s="29"/>
      <c r="AJ62" s="29"/>
      <c r="AK62" s="29"/>
      <c r="AL62" s="29"/>
      <c r="AM62" s="30"/>
    </row>
    <row r="63" spans="1:39" hidden="1" x14ac:dyDescent="0.2">
      <c r="A63" t="s">
        <v>15</v>
      </c>
      <c r="B63">
        <v>24.869</v>
      </c>
      <c r="C63">
        <v>60.908000000000001</v>
      </c>
      <c r="D63">
        <v>35.564999999999998</v>
      </c>
      <c r="E63">
        <v>34.033999999999999</v>
      </c>
      <c r="F63" s="12"/>
      <c r="G63" s="12"/>
      <c r="H63" s="12"/>
      <c r="I63" s="12"/>
      <c r="J63" s="12"/>
      <c r="K63" s="12"/>
      <c r="L63" s="12"/>
      <c r="M63">
        <v>23.254000000000001</v>
      </c>
      <c r="N63">
        <v>26.04</v>
      </c>
      <c r="O63">
        <v>24.026</v>
      </c>
      <c r="AG63" s="29"/>
      <c r="AH63" s="29"/>
      <c r="AI63" s="29"/>
      <c r="AJ63" s="29"/>
      <c r="AK63" s="29"/>
      <c r="AL63" s="29"/>
      <c r="AM63" s="30"/>
    </row>
    <row r="64" spans="1:39" hidden="1" x14ac:dyDescent="0.2">
      <c r="A64" t="s">
        <v>16</v>
      </c>
      <c r="B64">
        <v>75.131</v>
      </c>
      <c r="C64">
        <v>39.091999999999999</v>
      </c>
      <c r="D64">
        <v>64.435000000000002</v>
      </c>
      <c r="E64">
        <v>65.965999999999994</v>
      </c>
      <c r="F64" s="12"/>
      <c r="G64" s="12"/>
      <c r="H64" s="12"/>
      <c r="I64" s="12"/>
      <c r="J64" s="12"/>
      <c r="K64" s="12"/>
      <c r="L64" s="12"/>
      <c r="M64">
        <v>76.745999999999995</v>
      </c>
      <c r="N64">
        <v>73.959999999999994</v>
      </c>
      <c r="O64">
        <v>75.974000000000004</v>
      </c>
      <c r="AG64" s="29"/>
      <c r="AH64" s="29"/>
      <c r="AI64" s="29"/>
      <c r="AJ64" s="29"/>
      <c r="AK64" s="29"/>
      <c r="AL64" s="29"/>
      <c r="AM64" s="30"/>
    </row>
    <row r="65" spans="1:39" hidden="1" x14ac:dyDescent="0.2">
      <c r="A65" t="s">
        <v>17</v>
      </c>
      <c r="B65">
        <v>0.32</v>
      </c>
      <c r="C65">
        <v>88.18</v>
      </c>
      <c r="D65">
        <v>4.04</v>
      </c>
      <c r="E65">
        <v>0.74</v>
      </c>
      <c r="F65" s="12"/>
      <c r="G65" s="12"/>
      <c r="H65" s="12"/>
      <c r="I65" s="12"/>
      <c r="J65" s="12"/>
      <c r="K65" s="12"/>
      <c r="L65" s="12"/>
      <c r="M65">
        <v>0.56000000000000005</v>
      </c>
      <c r="N65">
        <v>0.56000000000000005</v>
      </c>
      <c r="O65">
        <v>0</v>
      </c>
      <c r="AG65" s="29"/>
      <c r="AH65" s="29"/>
      <c r="AI65" s="29"/>
      <c r="AJ65" s="29"/>
      <c r="AK65" s="29"/>
      <c r="AL65" s="29"/>
      <c r="AM65" s="30"/>
    </row>
    <row r="66" spans="1:39" hidden="1" x14ac:dyDescent="0.2">
      <c r="A66" t="s">
        <v>18</v>
      </c>
      <c r="B66">
        <v>0.36</v>
      </c>
      <c r="C66">
        <v>0.36</v>
      </c>
      <c r="D66">
        <v>0.36</v>
      </c>
      <c r="E66">
        <v>0.36</v>
      </c>
      <c r="F66" s="12"/>
      <c r="G66" s="12"/>
      <c r="H66" s="12"/>
      <c r="I66" s="12"/>
      <c r="J66" s="12"/>
      <c r="K66" s="12"/>
      <c r="L66" s="12"/>
      <c r="M66">
        <v>0.36</v>
      </c>
      <c r="N66">
        <v>0.36</v>
      </c>
      <c r="O66">
        <v>0.36</v>
      </c>
      <c r="AG66" s="29"/>
      <c r="AH66" s="29"/>
      <c r="AI66" s="29"/>
      <c r="AJ66" s="29"/>
      <c r="AK66" s="29"/>
      <c r="AL66" s="29"/>
      <c r="AM66" s="30"/>
    </row>
    <row r="67" spans="1:39" x14ac:dyDescent="0.2">
      <c r="A67" t="s">
        <v>49</v>
      </c>
      <c r="B67" s="16">
        <v>24.7</v>
      </c>
      <c r="C67" s="16">
        <v>6.98</v>
      </c>
      <c r="D67" s="16">
        <v>34</v>
      </c>
      <c r="E67" s="16">
        <v>33.659999999999997</v>
      </c>
      <c r="F67" s="12">
        <v>29</v>
      </c>
      <c r="G67" s="12"/>
      <c r="H67" s="12"/>
      <c r="I67" s="12"/>
      <c r="J67" s="12"/>
      <c r="K67" s="12"/>
      <c r="L67" s="11">
        <v>0.38</v>
      </c>
      <c r="M67" s="16">
        <v>23.04</v>
      </c>
      <c r="N67" s="16">
        <v>25.8</v>
      </c>
      <c r="O67" s="16">
        <v>25</v>
      </c>
      <c r="AG67" s="29"/>
      <c r="AH67" s="29"/>
      <c r="AI67" s="29"/>
      <c r="AJ67" s="29"/>
      <c r="AK67" s="29"/>
      <c r="AL67" s="29"/>
      <c r="AM67" s="30"/>
    </row>
    <row r="68" spans="1:39" x14ac:dyDescent="0.2">
      <c r="A68" t="s">
        <v>19</v>
      </c>
      <c r="B68" s="10">
        <v>0.83</v>
      </c>
      <c r="C68" s="10">
        <v>25.28</v>
      </c>
      <c r="D68" s="10">
        <v>1.36</v>
      </c>
      <c r="E68" s="10">
        <v>1.85</v>
      </c>
      <c r="F68" s="11">
        <v>0.61</v>
      </c>
      <c r="G68" s="11"/>
      <c r="H68" s="11"/>
      <c r="I68" s="11"/>
      <c r="J68" s="11"/>
      <c r="K68" s="11" t="s">
        <v>74</v>
      </c>
      <c r="L68" s="21"/>
      <c r="M68" s="10">
        <v>0.32</v>
      </c>
      <c r="N68" s="10">
        <v>6.52</v>
      </c>
      <c r="O68" s="10">
        <v>1</v>
      </c>
      <c r="S68" s="10">
        <f>D68/F68</f>
        <v>2.2295081967213117</v>
      </c>
      <c r="AG68" s="29"/>
      <c r="AH68" s="29"/>
      <c r="AI68" s="29"/>
      <c r="AJ68" s="29"/>
      <c r="AK68" s="29"/>
      <c r="AL68" s="29"/>
      <c r="AM68" s="30"/>
    </row>
    <row r="69" spans="1:39" hidden="1" x14ac:dyDescent="0.2">
      <c r="A69" t="s">
        <v>20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1"/>
      <c r="G69" s="11"/>
      <c r="H69" s="11"/>
      <c r="I69" s="11"/>
      <c r="J69" s="11"/>
      <c r="K69" s="11"/>
      <c r="L69" s="11"/>
      <c r="M69" s="10">
        <v>1.0999999999999999E-2</v>
      </c>
      <c r="N69" s="10">
        <v>0.27400000000000002</v>
      </c>
      <c r="O69" s="10">
        <v>4.1000000000000002E-2</v>
      </c>
      <c r="AG69" s="29"/>
      <c r="AH69" s="29"/>
      <c r="AI69" s="29"/>
      <c r="AJ69" s="29"/>
      <c r="AK69" s="29"/>
      <c r="AL69" s="29"/>
      <c r="AM69" s="30"/>
    </row>
    <row r="70" spans="1:39" x14ac:dyDescent="0.2">
      <c r="A70" t="s">
        <v>23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1">
        <f>6.75*1000</f>
        <v>6750</v>
      </c>
      <c r="G70" s="11">
        <f>2.17*1000</f>
        <v>2170</v>
      </c>
      <c r="H70" s="11">
        <f>2.16*1000</f>
        <v>2160</v>
      </c>
      <c r="I70" s="5">
        <f>1.19*1000</f>
        <v>1190</v>
      </c>
      <c r="J70" s="5">
        <f>1.1*1000</f>
        <v>1100</v>
      </c>
      <c r="K70" s="5">
        <f>1.1*1000</f>
        <v>1100</v>
      </c>
      <c r="L70" s="12">
        <f>18.143*1000</f>
        <v>18143</v>
      </c>
      <c r="M70" s="10">
        <v>0.78</v>
      </c>
      <c r="N70" s="10">
        <v>1</v>
      </c>
      <c r="O70" s="10">
        <v>7.21</v>
      </c>
      <c r="R70" s="10">
        <f>J70/D70</f>
        <v>16.868578438889742</v>
      </c>
      <c r="U70">
        <v>190412</v>
      </c>
      <c r="V70">
        <v>41</v>
      </c>
      <c r="W70">
        <v>2591</v>
      </c>
      <c r="X70">
        <v>4643</v>
      </c>
      <c r="Y70">
        <v>355</v>
      </c>
      <c r="Z70">
        <v>5</v>
      </c>
      <c r="AA70">
        <v>0.28000000000000003</v>
      </c>
      <c r="AC70" s="10">
        <f>F68/AA70</f>
        <v>2.1785714285714284</v>
      </c>
      <c r="AD70" s="10">
        <f>D68/AA70</f>
        <v>4.8571428571428568</v>
      </c>
      <c r="AG70" s="29"/>
      <c r="AH70" s="29"/>
      <c r="AI70" s="29"/>
      <c r="AJ70" s="29"/>
      <c r="AK70" s="29"/>
      <c r="AL70" s="29"/>
      <c r="AM70" s="30"/>
    </row>
    <row r="71" spans="1:39" x14ac:dyDescent="0.2">
      <c r="X71" s="1"/>
    </row>
    <row r="72" spans="1:39" x14ac:dyDescent="0.2">
      <c r="X72" s="1"/>
    </row>
    <row r="73" spans="1:39" x14ac:dyDescent="0.2">
      <c r="X73" s="1"/>
    </row>
    <row r="74" spans="1:39" x14ac:dyDescent="0.2">
      <c r="X74" s="1"/>
    </row>
    <row r="75" spans="1:39" s="8" customFormat="1" hidden="1" x14ac:dyDescent="0.2">
      <c r="C75" s="8" t="s">
        <v>27</v>
      </c>
      <c r="X75" s="19"/>
    </row>
    <row r="76" spans="1:39" hidden="1" x14ac:dyDescent="0.2">
      <c r="D76" t="s">
        <v>24</v>
      </c>
      <c r="M76" t="s">
        <v>26</v>
      </c>
      <c r="X76" s="1"/>
    </row>
    <row r="77" spans="1:39" hidden="1" x14ac:dyDescent="0.2">
      <c r="D77">
        <v>75</v>
      </c>
      <c r="E77" t="s">
        <v>33</v>
      </c>
      <c r="M77">
        <v>625</v>
      </c>
      <c r="N77" t="s">
        <v>28</v>
      </c>
      <c r="X77" s="1"/>
    </row>
    <row r="78" spans="1:39" hidden="1" x14ac:dyDescent="0.2">
      <c r="D78">
        <v>64</v>
      </c>
      <c r="E78" t="s">
        <v>32</v>
      </c>
      <c r="M78">
        <v>122</v>
      </c>
      <c r="N78" t="s">
        <v>29</v>
      </c>
      <c r="X78" s="1"/>
    </row>
    <row r="79" spans="1:39" hidden="1" x14ac:dyDescent="0.2">
      <c r="D79">
        <f>12*8*8</f>
        <v>768</v>
      </c>
      <c r="E79" t="s">
        <v>31</v>
      </c>
      <c r="M79">
        <f>32+75*4*8</f>
        <v>2432</v>
      </c>
      <c r="N79" t="s">
        <v>30</v>
      </c>
      <c r="X79" s="1"/>
    </row>
    <row r="80" spans="1:39" hidden="1" x14ac:dyDescent="0.2">
      <c r="C80" t="s">
        <v>25</v>
      </c>
      <c r="D80" s="3">
        <f>D77+D78+D79</f>
        <v>907</v>
      </c>
      <c r="M80" s="3">
        <f>M77+M78+M79</f>
        <v>3179</v>
      </c>
      <c r="X80" s="1"/>
    </row>
    <row r="81" spans="4:24" hidden="1" x14ac:dyDescent="0.2">
      <c r="X81" s="1"/>
    </row>
    <row r="82" spans="4:24" hidden="1" x14ac:dyDescent="0.2">
      <c r="D82" t="s">
        <v>43</v>
      </c>
      <c r="X82" s="1"/>
    </row>
    <row r="83" spans="4:24" x14ac:dyDescent="0.2">
      <c r="T83" s="3" t="s">
        <v>46</v>
      </c>
      <c r="X83" s="1"/>
    </row>
    <row r="84" spans="4:24" x14ac:dyDescent="0.2">
      <c r="X84" s="1"/>
    </row>
    <row r="85" spans="4:24" x14ac:dyDescent="0.2">
      <c r="X85" s="1"/>
    </row>
    <row r="86" spans="4:24" x14ac:dyDescent="0.2">
      <c r="X86" s="1"/>
    </row>
    <row r="87" spans="4:24" x14ac:dyDescent="0.2">
      <c r="X87" s="1"/>
    </row>
    <row r="88" spans="4:24" x14ac:dyDescent="0.2">
      <c r="X88" s="1"/>
    </row>
    <row r="89" spans="4:24" x14ac:dyDescent="0.2">
      <c r="X89" s="1"/>
    </row>
    <row r="90" spans="4:24" x14ac:dyDescent="0.2">
      <c r="X90" s="1"/>
    </row>
    <row r="91" spans="4:24" x14ac:dyDescent="0.2">
      <c r="X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3"/>
  <sheetViews>
    <sheetView zoomScale="83" workbookViewId="0">
      <selection activeCell="AJ3" sqref="AJ3"/>
    </sheetView>
  </sheetViews>
  <sheetFormatPr baseColWidth="10" defaultRowHeight="16" x14ac:dyDescent="0.2"/>
  <cols>
    <col min="1" max="1" width="20.83203125" customWidth="1"/>
    <col min="6" max="7" width="10.83203125" style="5"/>
    <col min="19" max="19" width="13.5" customWidth="1"/>
  </cols>
  <sheetData>
    <row r="1" spans="1:25" s="4" customFormat="1" x14ac:dyDescent="0.2">
      <c r="A1" s="24"/>
      <c r="B1" s="24"/>
      <c r="C1" s="34" t="s">
        <v>50</v>
      </c>
      <c r="D1" s="34"/>
      <c r="E1" s="34"/>
      <c r="F1" s="13"/>
      <c r="G1" s="13"/>
      <c r="H1" s="24"/>
      <c r="I1" s="24"/>
      <c r="J1" s="24"/>
    </row>
    <row r="2" spans="1:25" ht="80" x14ac:dyDescent="0.2">
      <c r="A2" s="16"/>
      <c r="B2" s="25" t="s">
        <v>2</v>
      </c>
      <c r="C2" s="25" t="s">
        <v>4</v>
      </c>
      <c r="D2" s="25" t="s">
        <v>1</v>
      </c>
      <c r="E2" s="25" t="s">
        <v>3</v>
      </c>
      <c r="F2" s="14" t="s">
        <v>66</v>
      </c>
      <c r="G2" s="14" t="s">
        <v>34</v>
      </c>
      <c r="H2" s="25" t="s">
        <v>5</v>
      </c>
      <c r="I2" s="25" t="s">
        <v>6</v>
      </c>
      <c r="J2" s="25" t="s">
        <v>7</v>
      </c>
      <c r="M2" s="2" t="s">
        <v>47</v>
      </c>
      <c r="N2" s="2" t="s">
        <v>48</v>
      </c>
      <c r="P2" s="2" t="s">
        <v>36</v>
      </c>
      <c r="Q2" s="2" t="s">
        <v>42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X2" s="2" t="s">
        <v>44</v>
      </c>
      <c r="Y2" s="2" t="s">
        <v>45</v>
      </c>
    </row>
    <row r="3" spans="1:25" x14ac:dyDescent="0.2">
      <c r="A3" s="16" t="s">
        <v>49</v>
      </c>
      <c r="B3" s="16">
        <v>67.760000000000005</v>
      </c>
      <c r="C3" s="16">
        <v>61.86</v>
      </c>
      <c r="D3" s="16">
        <v>67.760000000000005</v>
      </c>
      <c r="E3" s="16">
        <v>67.760000000000005</v>
      </c>
      <c r="F3" s="12">
        <v>64</v>
      </c>
      <c r="G3" s="12">
        <v>47.5</v>
      </c>
      <c r="H3" s="12">
        <v>63.66</v>
      </c>
      <c r="I3" s="12">
        <v>62.28</v>
      </c>
      <c r="J3" s="16">
        <v>63.52</v>
      </c>
    </row>
    <row r="4" spans="1:25" x14ac:dyDescent="0.2">
      <c r="A4" s="16" t="s">
        <v>19</v>
      </c>
      <c r="B4" s="10">
        <v>1.44E-4</v>
      </c>
      <c r="C4" s="10">
        <v>6.1200960000000002</v>
      </c>
      <c r="D4" s="10">
        <v>8.6183999999999997E-2</v>
      </c>
      <c r="E4" s="10">
        <v>0.1739</v>
      </c>
      <c r="F4" s="11">
        <v>0.21460000000000001</v>
      </c>
      <c r="G4" s="21"/>
      <c r="H4" s="10">
        <v>1.44E-4</v>
      </c>
      <c r="I4" s="10">
        <v>4.0067999999999999E-2</v>
      </c>
      <c r="J4" s="10">
        <v>8.3239999999999995E-2</v>
      </c>
      <c r="M4" s="10"/>
      <c r="N4" s="10">
        <f>D4/F4</f>
        <v>0.40160298229263741</v>
      </c>
    </row>
    <row r="5" spans="1:25" x14ac:dyDescent="0.2">
      <c r="A5" s="16" t="s">
        <v>23</v>
      </c>
      <c r="B5" s="16"/>
      <c r="C5" s="16"/>
      <c r="D5" s="16"/>
      <c r="E5" s="16"/>
      <c r="F5" s="12"/>
      <c r="G5" s="12"/>
      <c r="H5" s="16"/>
      <c r="I5" s="16"/>
      <c r="J5" s="16"/>
      <c r="M5" s="10" t="e">
        <f>F5/D5</f>
        <v>#DIV/0!</v>
      </c>
      <c r="N5" s="10"/>
      <c r="X5" s="10" t="e">
        <f>F4/V5</f>
        <v>#DIV/0!</v>
      </c>
      <c r="Y5" s="10" t="e">
        <f>D4/V5</f>
        <v>#DIV/0!</v>
      </c>
    </row>
    <row r="6" spans="1:25" x14ac:dyDescent="0.2">
      <c r="A6" s="24"/>
      <c r="B6" s="24"/>
      <c r="C6" s="34" t="s">
        <v>51</v>
      </c>
      <c r="D6" s="34"/>
      <c r="E6" s="34"/>
      <c r="F6" s="13"/>
      <c r="G6" s="13"/>
      <c r="H6" s="24"/>
      <c r="I6" s="24"/>
      <c r="J6" s="2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80" x14ac:dyDescent="0.2">
      <c r="A7" s="16"/>
      <c r="B7" s="25" t="s">
        <v>2</v>
      </c>
      <c r="C7" s="25" t="s">
        <v>4</v>
      </c>
      <c r="D7" s="25" t="s">
        <v>1</v>
      </c>
      <c r="E7" s="25" t="s">
        <v>3</v>
      </c>
      <c r="F7" s="14" t="s">
        <v>22</v>
      </c>
      <c r="G7" s="14" t="s">
        <v>34</v>
      </c>
      <c r="H7" s="25" t="s">
        <v>5</v>
      </c>
      <c r="I7" s="25" t="s">
        <v>6</v>
      </c>
      <c r="J7" s="25" t="s">
        <v>7</v>
      </c>
      <c r="M7" s="2" t="s">
        <v>47</v>
      </c>
      <c r="N7" s="2" t="s">
        <v>48</v>
      </c>
      <c r="P7" s="2" t="s">
        <v>36</v>
      </c>
      <c r="Q7" s="2" t="s">
        <v>42</v>
      </c>
      <c r="R7" s="2" t="s">
        <v>37</v>
      </c>
      <c r="S7" s="2" t="s">
        <v>38</v>
      </c>
      <c r="T7" s="2" t="s">
        <v>39</v>
      </c>
      <c r="U7" s="2" t="s">
        <v>40</v>
      </c>
      <c r="V7" s="2" t="s">
        <v>41</v>
      </c>
      <c r="X7" s="2" t="s">
        <v>44</v>
      </c>
      <c r="Y7" s="2" t="s">
        <v>45</v>
      </c>
    </row>
    <row r="8" spans="1:25" x14ac:dyDescent="0.2">
      <c r="A8" s="16" t="s">
        <v>49</v>
      </c>
      <c r="B8" s="16">
        <v>26.88</v>
      </c>
      <c r="C8" s="16">
        <v>8.16</v>
      </c>
      <c r="D8" s="16">
        <v>26.64</v>
      </c>
      <c r="E8" s="16">
        <v>26.8</v>
      </c>
      <c r="F8" s="12">
        <v>25.9</v>
      </c>
      <c r="G8" s="12">
        <v>26.8</v>
      </c>
      <c r="H8" s="12">
        <v>26.88</v>
      </c>
      <c r="I8" s="12">
        <v>15.3</v>
      </c>
      <c r="J8" s="16">
        <v>25.58</v>
      </c>
    </row>
    <row r="9" spans="1:25" x14ac:dyDescent="0.2">
      <c r="A9" s="16" t="s">
        <v>19</v>
      </c>
      <c r="B9" s="10">
        <v>3.2000000000000002E-3</v>
      </c>
      <c r="C9" s="10">
        <v>26.134599999999999</v>
      </c>
      <c r="D9" s="10">
        <v>0.107</v>
      </c>
      <c r="E9" s="10">
        <v>0.467084</v>
      </c>
      <c r="F9" s="11">
        <v>0.64</v>
      </c>
      <c r="G9" s="21"/>
      <c r="H9" s="10">
        <v>3.2799999999999999E-3</v>
      </c>
      <c r="I9" s="10">
        <v>4.0913000000000004</v>
      </c>
      <c r="J9" s="10">
        <v>0.72475000000000001</v>
      </c>
      <c r="M9" s="10"/>
      <c r="N9" s="10">
        <f>D9/F9</f>
        <v>0.16718749999999999</v>
      </c>
    </row>
    <row r="10" spans="1:25" x14ac:dyDescent="0.2">
      <c r="A10" s="16" t="s">
        <v>23</v>
      </c>
      <c r="B10" s="16"/>
      <c r="C10" s="16"/>
      <c r="D10" s="16"/>
      <c r="E10" s="16"/>
      <c r="F10" s="12"/>
      <c r="G10" s="12"/>
      <c r="H10" s="16"/>
      <c r="I10" s="16"/>
      <c r="J10" s="16"/>
      <c r="M10" s="18" t="e">
        <v>#DIV/0!</v>
      </c>
      <c r="N10" s="10"/>
      <c r="X10" s="10" t="e">
        <f t="shared" ref="X10" si="0">F9/V10</f>
        <v>#DIV/0!</v>
      </c>
      <c r="Y10" s="10" t="e">
        <f t="shared" ref="Y10" si="1">D9/V10</f>
        <v>#DIV/0!</v>
      </c>
    </row>
    <row r="11" spans="1:25" x14ac:dyDescent="0.2">
      <c r="A11" s="24"/>
      <c r="B11" s="24"/>
      <c r="C11" s="34" t="s">
        <v>52</v>
      </c>
      <c r="D11" s="34"/>
      <c r="E11" s="34"/>
      <c r="F11" s="13"/>
      <c r="G11" s="13"/>
      <c r="H11" s="24"/>
      <c r="I11" s="24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80" x14ac:dyDescent="0.2">
      <c r="A12" s="16"/>
      <c r="B12" s="25" t="s">
        <v>2</v>
      </c>
      <c r="C12" s="25" t="s">
        <v>4</v>
      </c>
      <c r="D12" s="25" t="s">
        <v>1</v>
      </c>
      <c r="E12" s="25" t="s">
        <v>3</v>
      </c>
      <c r="F12" s="14" t="s">
        <v>22</v>
      </c>
      <c r="G12" s="14" t="s">
        <v>34</v>
      </c>
      <c r="H12" s="25" t="s">
        <v>5</v>
      </c>
      <c r="I12" s="25" t="s">
        <v>6</v>
      </c>
      <c r="J12" s="25" t="s">
        <v>7</v>
      </c>
      <c r="M12" s="2" t="s">
        <v>47</v>
      </c>
      <c r="N12" s="2" t="s">
        <v>48</v>
      </c>
      <c r="P12" s="2" t="s">
        <v>36</v>
      </c>
      <c r="Q12" s="2" t="s">
        <v>42</v>
      </c>
      <c r="R12" s="2" t="s">
        <v>37</v>
      </c>
      <c r="S12" s="2" t="s">
        <v>38</v>
      </c>
      <c r="T12" s="2" t="s">
        <v>39</v>
      </c>
      <c r="U12" s="2" t="s">
        <v>40</v>
      </c>
      <c r="V12" s="2" t="s">
        <v>41</v>
      </c>
      <c r="X12" s="2" t="s">
        <v>44</v>
      </c>
      <c r="Y12" s="2" t="s">
        <v>45</v>
      </c>
    </row>
    <row r="13" spans="1:25" x14ac:dyDescent="0.2">
      <c r="A13" s="16" t="s">
        <v>49</v>
      </c>
      <c r="B13" s="16">
        <v>36.5</v>
      </c>
      <c r="C13" s="16">
        <v>26.88</v>
      </c>
      <c r="D13" s="16">
        <v>36.5</v>
      </c>
      <c r="E13" s="16">
        <v>36.5</v>
      </c>
      <c r="F13" s="12">
        <v>36.4</v>
      </c>
      <c r="G13" s="12">
        <v>36.799999999999997</v>
      </c>
      <c r="H13" s="12">
        <v>36.5</v>
      </c>
      <c r="I13" s="12">
        <v>30.82</v>
      </c>
      <c r="J13" s="16">
        <v>36.380000000000003</v>
      </c>
    </row>
    <row r="14" spans="1:25" x14ac:dyDescent="0.2">
      <c r="A14" s="16" t="s">
        <v>19</v>
      </c>
      <c r="B14" s="10">
        <v>8.4000000000000003E-4</v>
      </c>
      <c r="C14" s="10">
        <v>26.493300000000001</v>
      </c>
      <c r="D14" s="10">
        <v>0.11</v>
      </c>
      <c r="E14" s="10">
        <v>0.41660000000000003</v>
      </c>
      <c r="F14" s="11">
        <v>0.65</v>
      </c>
      <c r="G14" s="21"/>
      <c r="H14" s="10">
        <v>8.4000000000000003E-4</v>
      </c>
      <c r="I14" s="10">
        <v>1.94767</v>
      </c>
      <c r="J14" s="10">
        <v>0.59789999999999999</v>
      </c>
      <c r="M14" s="10"/>
      <c r="N14" s="10">
        <f>D14/F14</f>
        <v>0.16923076923076921</v>
      </c>
    </row>
    <row r="15" spans="1:25" x14ac:dyDescent="0.2">
      <c r="A15" s="16" t="s">
        <v>23</v>
      </c>
      <c r="B15" s="16"/>
      <c r="C15" s="16"/>
      <c r="D15" s="16"/>
      <c r="E15" s="16"/>
      <c r="F15" s="12"/>
      <c r="G15" s="12"/>
      <c r="H15" s="16"/>
      <c r="I15" s="16"/>
      <c r="J15" s="16"/>
      <c r="M15" s="18" t="e">
        <v>#DIV/0!</v>
      </c>
      <c r="N15" s="10"/>
      <c r="X15" s="10" t="e">
        <f t="shared" ref="X15" si="2">F14/V15</f>
        <v>#DIV/0!</v>
      </c>
      <c r="Y15" s="10" t="e">
        <f t="shared" ref="Y15" si="3">D14/V15</f>
        <v>#DIV/0!</v>
      </c>
    </row>
    <row r="16" spans="1:25" x14ac:dyDescent="0.2">
      <c r="A16" s="24"/>
      <c r="B16" s="24"/>
      <c r="C16" s="34" t="s">
        <v>53</v>
      </c>
      <c r="D16" s="34"/>
      <c r="E16" s="34"/>
      <c r="F16" s="13"/>
      <c r="G16" s="13"/>
      <c r="H16" s="24"/>
      <c r="I16" s="24"/>
      <c r="J16" s="2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80" x14ac:dyDescent="0.2">
      <c r="A17" s="16"/>
      <c r="B17" s="25" t="s">
        <v>2</v>
      </c>
      <c r="C17" s="25" t="s">
        <v>4</v>
      </c>
      <c r="D17" s="25" t="s">
        <v>1</v>
      </c>
      <c r="E17" s="25" t="s">
        <v>3</v>
      </c>
      <c r="F17" s="14" t="s">
        <v>22</v>
      </c>
      <c r="G17" s="14" t="s">
        <v>34</v>
      </c>
      <c r="H17" s="25" t="s">
        <v>5</v>
      </c>
      <c r="I17" s="25" t="s">
        <v>6</v>
      </c>
      <c r="J17" s="25" t="s">
        <v>7</v>
      </c>
      <c r="M17" s="2" t="s">
        <v>47</v>
      </c>
      <c r="N17" s="2" t="s">
        <v>48</v>
      </c>
      <c r="P17" s="2" t="s">
        <v>36</v>
      </c>
      <c r="Q17" s="2" t="s">
        <v>42</v>
      </c>
      <c r="R17" s="2" t="s">
        <v>37</v>
      </c>
      <c r="S17" s="2" t="s">
        <v>38</v>
      </c>
      <c r="T17" s="2" t="s">
        <v>39</v>
      </c>
      <c r="U17" s="2" t="s">
        <v>40</v>
      </c>
      <c r="V17" s="2" t="s">
        <v>41</v>
      </c>
      <c r="X17" s="2" t="s">
        <v>44</v>
      </c>
      <c r="Y17" s="2" t="s">
        <v>45</v>
      </c>
    </row>
    <row r="18" spans="1:25" x14ac:dyDescent="0.2">
      <c r="A18" s="16" t="s">
        <v>49</v>
      </c>
      <c r="B18" s="16">
        <v>26.28</v>
      </c>
      <c r="C18" s="16">
        <v>21.12</v>
      </c>
      <c r="D18" s="16">
        <v>26.44</v>
      </c>
      <c r="E18" s="16">
        <v>26.52</v>
      </c>
      <c r="F18" s="12">
        <v>29.1</v>
      </c>
      <c r="G18" s="12">
        <v>28.6</v>
      </c>
      <c r="H18" s="12">
        <v>28</v>
      </c>
      <c r="I18" s="12">
        <v>27.1</v>
      </c>
      <c r="J18" s="16">
        <v>27.74</v>
      </c>
    </row>
    <row r="19" spans="1:25" x14ac:dyDescent="0.2">
      <c r="A19" s="16" t="s">
        <v>19</v>
      </c>
      <c r="B19" s="10">
        <v>1E-3</v>
      </c>
      <c r="C19" s="10">
        <v>26.983000000000001</v>
      </c>
      <c r="D19" s="10">
        <v>0.11</v>
      </c>
      <c r="E19" s="10">
        <v>0.41899999999999998</v>
      </c>
      <c r="F19" s="11">
        <v>0.65</v>
      </c>
      <c r="G19" s="21"/>
      <c r="H19" s="11">
        <v>1E-3</v>
      </c>
      <c r="I19" s="11">
        <v>2.0310000000000001</v>
      </c>
      <c r="J19" s="10">
        <v>0.61299999999999999</v>
      </c>
      <c r="M19" s="10"/>
      <c r="N19" s="10">
        <f>D19/F19</f>
        <v>0.16923076923076921</v>
      </c>
    </row>
    <row r="20" spans="1:25" x14ac:dyDescent="0.2">
      <c r="A20" s="16" t="s">
        <v>23</v>
      </c>
      <c r="I20" s="16"/>
      <c r="J20" s="16"/>
      <c r="M20" s="18" t="e">
        <v>#DIV/0!</v>
      </c>
      <c r="N20" s="10"/>
      <c r="X20" s="10" t="e">
        <f>F19/V20</f>
        <v>#DIV/0!</v>
      </c>
      <c r="Y20" s="10" t="e">
        <f>#REF!/V20</f>
        <v>#REF!</v>
      </c>
    </row>
    <row r="21" spans="1:25" x14ac:dyDescent="0.2">
      <c r="A21" s="24"/>
      <c r="B21" s="24"/>
      <c r="C21" s="34" t="s">
        <v>54</v>
      </c>
      <c r="D21" s="34"/>
      <c r="E21" s="34"/>
      <c r="F21" s="13"/>
      <c r="G21" s="13"/>
      <c r="H21" s="24"/>
      <c r="I21" s="24"/>
      <c r="J21" s="2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80" x14ac:dyDescent="0.2">
      <c r="A22" s="16"/>
      <c r="B22" s="25" t="s">
        <v>2</v>
      </c>
      <c r="C22" s="25" t="s">
        <v>4</v>
      </c>
      <c r="D22" s="25" t="s">
        <v>1</v>
      </c>
      <c r="E22" s="25" t="s">
        <v>3</v>
      </c>
      <c r="F22" s="14" t="s">
        <v>22</v>
      </c>
      <c r="G22" s="14" t="s">
        <v>34</v>
      </c>
      <c r="H22" s="25" t="s">
        <v>5</v>
      </c>
      <c r="I22" s="25" t="s">
        <v>6</v>
      </c>
      <c r="J22" s="25" t="s">
        <v>7</v>
      </c>
      <c r="M22" s="2" t="s">
        <v>47</v>
      </c>
      <c r="N22" s="2" t="s">
        <v>48</v>
      </c>
      <c r="P22" s="2" t="s">
        <v>36</v>
      </c>
      <c r="Q22" s="2" t="s">
        <v>42</v>
      </c>
      <c r="R22" s="2" t="s">
        <v>37</v>
      </c>
      <c r="S22" s="2" t="s">
        <v>38</v>
      </c>
      <c r="T22" s="2" t="s">
        <v>39</v>
      </c>
      <c r="U22" s="2" t="s">
        <v>40</v>
      </c>
      <c r="V22" s="2" t="s">
        <v>41</v>
      </c>
      <c r="X22" s="2" t="s">
        <v>44</v>
      </c>
      <c r="Y22" s="2" t="s">
        <v>45</v>
      </c>
    </row>
    <row r="23" spans="1:25" x14ac:dyDescent="0.2">
      <c r="A23" s="16" t="s">
        <v>49</v>
      </c>
      <c r="B23" s="16">
        <v>76.966999999999999</v>
      </c>
      <c r="C23" s="16">
        <v>59.064999999999998</v>
      </c>
      <c r="D23" s="16">
        <v>57.107999999999997</v>
      </c>
      <c r="E23" s="16">
        <v>63.247</v>
      </c>
      <c r="F23" s="12">
        <v>72.3</v>
      </c>
      <c r="G23" s="12">
        <v>71.5</v>
      </c>
      <c r="H23" s="12">
        <v>63.658999999999999</v>
      </c>
      <c r="I23" s="12">
        <v>73.671000000000006</v>
      </c>
      <c r="J23" s="16">
        <v>69.055999999999997</v>
      </c>
    </row>
    <row r="24" spans="1:25" x14ac:dyDescent="0.2">
      <c r="A24" s="16" t="s">
        <v>19</v>
      </c>
      <c r="B24" s="10">
        <v>6.0000000000000001E-3</v>
      </c>
      <c r="C24" s="10">
        <v>3.6720000000000002</v>
      </c>
      <c r="D24" s="10">
        <v>0.12</v>
      </c>
      <c r="E24" s="10">
        <v>0.25800000000000001</v>
      </c>
      <c r="F24" s="11">
        <v>0.15</v>
      </c>
      <c r="G24" s="21"/>
      <c r="H24" s="11">
        <v>4.0000000000000001E-3</v>
      </c>
      <c r="I24" s="11">
        <v>0.26200000000000001</v>
      </c>
      <c r="J24" s="10">
        <v>9.8000000000000004E-2</v>
      </c>
      <c r="M24" s="10"/>
      <c r="N24" s="10">
        <f>D24/F24</f>
        <v>0.8</v>
      </c>
    </row>
    <row r="25" spans="1:25" x14ac:dyDescent="0.2">
      <c r="A25" s="16" t="s">
        <v>23</v>
      </c>
      <c r="I25" s="16"/>
      <c r="J25" s="16"/>
      <c r="M25" s="18" t="e">
        <v>#DIV/0!</v>
      </c>
      <c r="N25" s="10"/>
      <c r="X25" s="10" t="e">
        <f t="shared" ref="X25" si="4">F24/V25</f>
        <v>#DIV/0!</v>
      </c>
      <c r="Y25" s="10" t="e">
        <f>#REF!/V25</f>
        <v>#REF!</v>
      </c>
    </row>
    <row r="26" spans="1:25" x14ac:dyDescent="0.2">
      <c r="A26" s="24"/>
      <c r="B26" s="24"/>
      <c r="C26" s="34" t="s">
        <v>55</v>
      </c>
      <c r="D26" s="34"/>
      <c r="E26" s="34"/>
      <c r="F26" s="13"/>
      <c r="G26" s="13"/>
      <c r="H26" s="24"/>
      <c r="I26" s="24"/>
      <c r="J26" s="2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80" x14ac:dyDescent="0.2">
      <c r="A27" s="16"/>
      <c r="B27" s="25" t="s">
        <v>2</v>
      </c>
      <c r="C27" s="25" t="s">
        <v>4</v>
      </c>
      <c r="D27" s="25" t="s">
        <v>1</v>
      </c>
      <c r="E27" s="25" t="s">
        <v>3</v>
      </c>
      <c r="F27" s="14" t="s">
        <v>22</v>
      </c>
      <c r="G27" s="14" t="s">
        <v>34</v>
      </c>
      <c r="H27" s="25" t="s">
        <v>5</v>
      </c>
      <c r="I27" s="25" t="s">
        <v>6</v>
      </c>
      <c r="J27" s="25" t="s">
        <v>7</v>
      </c>
      <c r="M27" s="2" t="s">
        <v>47</v>
      </c>
      <c r="N27" s="2" t="s">
        <v>48</v>
      </c>
      <c r="P27" s="2" t="s">
        <v>36</v>
      </c>
      <c r="Q27" s="2" t="s">
        <v>42</v>
      </c>
      <c r="R27" s="2" t="s">
        <v>37</v>
      </c>
      <c r="S27" s="2" t="s">
        <v>38</v>
      </c>
      <c r="T27" s="2" t="s">
        <v>39</v>
      </c>
      <c r="U27" s="2" t="s">
        <v>40</v>
      </c>
      <c r="V27" s="2" t="s">
        <v>41</v>
      </c>
      <c r="X27" s="2" t="s">
        <v>44</v>
      </c>
      <c r="Y27" s="2" t="s">
        <v>45</v>
      </c>
    </row>
    <row r="28" spans="1:25" x14ac:dyDescent="0.2">
      <c r="A28" s="16" t="s">
        <v>49</v>
      </c>
      <c r="B28" s="16">
        <v>0.7</v>
      </c>
      <c r="C28" s="16">
        <v>84.4</v>
      </c>
      <c r="D28" s="16">
        <v>99.9</v>
      </c>
      <c r="E28" s="16">
        <v>99.94</v>
      </c>
      <c r="F28" s="12">
        <v>74.5</v>
      </c>
      <c r="G28" s="12">
        <v>54</v>
      </c>
      <c r="H28" s="12">
        <v>58.66</v>
      </c>
      <c r="I28" s="12">
        <v>85.56</v>
      </c>
      <c r="J28" s="16">
        <v>78.819999999999993</v>
      </c>
    </row>
    <row r="29" spans="1:25" x14ac:dyDescent="0.2">
      <c r="A29" s="16" t="s">
        <v>19</v>
      </c>
      <c r="B29" s="10">
        <v>1.0999999999999999E-2</v>
      </c>
      <c r="C29" s="10">
        <v>78.534999999999997</v>
      </c>
      <c r="D29" s="10">
        <v>0.106</v>
      </c>
      <c r="E29" s="10">
        <v>0.32700000000000001</v>
      </c>
      <c r="F29" s="11">
        <v>1.7</v>
      </c>
      <c r="G29" s="21"/>
      <c r="H29" s="11">
        <v>6.0000000000000001E-3</v>
      </c>
      <c r="I29" s="11">
        <v>1.8240000000000001</v>
      </c>
      <c r="J29" s="10">
        <v>1.385</v>
      </c>
      <c r="M29" s="10"/>
      <c r="N29" s="10">
        <f>D29/F29</f>
        <v>6.235294117647059E-2</v>
      </c>
    </row>
    <row r="30" spans="1:25" x14ac:dyDescent="0.2">
      <c r="A30" s="16" t="s">
        <v>23</v>
      </c>
      <c r="I30" s="16"/>
      <c r="J30" s="16"/>
      <c r="M30" s="18" t="e">
        <v>#DIV/0!</v>
      </c>
      <c r="N30" s="10"/>
      <c r="X30" s="10" t="e">
        <f>F29/V30</f>
        <v>#DIV/0!</v>
      </c>
      <c r="Y30" s="10" t="e">
        <f>#REF!/V30</f>
        <v>#REF!</v>
      </c>
    </row>
    <row r="31" spans="1:25" x14ac:dyDescent="0.2">
      <c r="A31" s="24"/>
      <c r="B31" s="24"/>
      <c r="C31" s="34" t="s">
        <v>56</v>
      </c>
      <c r="D31" s="34"/>
      <c r="E31" s="34"/>
      <c r="F31" s="13"/>
      <c r="G31" s="13"/>
      <c r="H31" s="24"/>
      <c r="I31" s="24"/>
      <c r="J31" s="2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80" x14ac:dyDescent="0.2">
      <c r="A32" s="16"/>
      <c r="B32" s="25" t="s">
        <v>2</v>
      </c>
      <c r="C32" s="25" t="s">
        <v>4</v>
      </c>
      <c r="D32" s="25" t="s">
        <v>1</v>
      </c>
      <c r="E32" s="25" t="s">
        <v>3</v>
      </c>
      <c r="F32" s="14" t="s">
        <v>22</v>
      </c>
      <c r="G32" s="14" t="s">
        <v>34</v>
      </c>
      <c r="H32" s="25" t="s">
        <v>5</v>
      </c>
      <c r="I32" s="25" t="s">
        <v>6</v>
      </c>
      <c r="J32" s="25" t="s">
        <v>7</v>
      </c>
      <c r="M32" s="2" t="s">
        <v>47</v>
      </c>
      <c r="N32" s="2" t="s">
        <v>48</v>
      </c>
      <c r="P32" s="2" t="s">
        <v>36</v>
      </c>
      <c r="Q32" s="2" t="s">
        <v>42</v>
      </c>
      <c r="R32" s="2" t="s">
        <v>37</v>
      </c>
      <c r="S32" s="2" t="s">
        <v>38</v>
      </c>
      <c r="T32" s="2" t="s">
        <v>39</v>
      </c>
      <c r="U32" s="2" t="s">
        <v>40</v>
      </c>
      <c r="V32" s="2" t="s">
        <v>41</v>
      </c>
      <c r="X32" s="2" t="s">
        <v>44</v>
      </c>
      <c r="Y32" s="2" t="s">
        <v>45</v>
      </c>
    </row>
    <row r="33" spans="1:25" x14ac:dyDescent="0.2">
      <c r="A33" s="16" t="s">
        <v>49</v>
      </c>
      <c r="B33" s="16">
        <v>29.983000000000001</v>
      </c>
      <c r="C33" s="16">
        <v>34.106000000000002</v>
      </c>
      <c r="D33" s="16">
        <v>28.225999999999999</v>
      </c>
      <c r="E33" s="16">
        <v>29.373000000000001</v>
      </c>
      <c r="F33" s="12">
        <v>30.9</v>
      </c>
      <c r="G33" s="12">
        <v>19.7</v>
      </c>
      <c r="H33" s="12">
        <v>28.908999999999999</v>
      </c>
      <c r="I33" s="12">
        <v>41.985999999999997</v>
      </c>
      <c r="J33" s="16">
        <v>36.594000000000001</v>
      </c>
    </row>
    <row r="34" spans="1:25" x14ac:dyDescent="0.2">
      <c r="A34" s="16" t="s">
        <v>19</v>
      </c>
      <c r="B34">
        <v>5.0000000000000001E-3</v>
      </c>
      <c r="C34">
        <v>14.763</v>
      </c>
      <c r="D34">
        <v>8.8999999999999996E-2</v>
      </c>
      <c r="E34">
        <v>0.32</v>
      </c>
      <c r="F34" s="11">
        <v>0.39</v>
      </c>
      <c r="G34" s="21"/>
      <c r="H34" s="5">
        <v>4.0000000000000001E-3</v>
      </c>
      <c r="I34" s="5">
        <v>1.454</v>
      </c>
      <c r="J34">
        <v>0.34</v>
      </c>
      <c r="M34" s="10"/>
      <c r="N34" s="10">
        <f>D34/F34</f>
        <v>0.2282051282051282</v>
      </c>
    </row>
    <row r="35" spans="1:25" x14ac:dyDescent="0.2">
      <c r="A35" s="16" t="s">
        <v>23</v>
      </c>
      <c r="I35" s="16"/>
      <c r="J35" s="16"/>
      <c r="M35" s="18" t="e">
        <v>#DIV/0!</v>
      </c>
      <c r="N35" s="10"/>
      <c r="X35" s="10" t="e">
        <f t="shared" ref="X35" si="5">F34/V35</f>
        <v>#DIV/0!</v>
      </c>
      <c r="Y35" s="10" t="e">
        <f>#REF!/V35</f>
        <v>#REF!</v>
      </c>
    </row>
    <row r="36" spans="1:25" x14ac:dyDescent="0.2">
      <c r="A36" s="24"/>
      <c r="B36" s="24"/>
      <c r="C36" s="34" t="s">
        <v>57</v>
      </c>
      <c r="D36" s="34"/>
      <c r="E36" s="34"/>
      <c r="F36" s="13"/>
      <c r="G36" s="13"/>
      <c r="H36" s="24"/>
      <c r="I36" s="24"/>
      <c r="J36" s="2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85" x14ac:dyDescent="0.2">
      <c r="A37" s="16"/>
      <c r="B37" s="25" t="s">
        <v>2</v>
      </c>
      <c r="C37" s="25" t="s">
        <v>4</v>
      </c>
      <c r="D37" s="25" t="s">
        <v>1</v>
      </c>
      <c r="E37" s="25" t="s">
        <v>3</v>
      </c>
      <c r="F37" s="14" t="s">
        <v>22</v>
      </c>
      <c r="G37" s="14" t="s">
        <v>34</v>
      </c>
      <c r="H37" s="25" t="s">
        <v>5</v>
      </c>
      <c r="I37" s="25" t="s">
        <v>6</v>
      </c>
      <c r="J37" s="25" t="s">
        <v>7</v>
      </c>
      <c r="M37" s="2" t="s">
        <v>47</v>
      </c>
      <c r="N37" s="2" t="s">
        <v>48</v>
      </c>
      <c r="P37" s="2" t="s">
        <v>36</v>
      </c>
      <c r="Q37" s="2" t="s">
        <v>42</v>
      </c>
      <c r="R37" s="2" t="s">
        <v>37</v>
      </c>
      <c r="S37" s="2" t="s">
        <v>38</v>
      </c>
      <c r="T37" s="2" t="s">
        <v>39</v>
      </c>
      <c r="U37" s="2" t="s">
        <v>40</v>
      </c>
      <c r="V37" s="2" t="s">
        <v>41</v>
      </c>
      <c r="X37" s="2" t="s">
        <v>44</v>
      </c>
      <c r="Y37" s="2" t="s">
        <v>45</v>
      </c>
    </row>
    <row r="38" spans="1:25" x14ac:dyDescent="0.2">
      <c r="A38" s="16" t="s">
        <v>49</v>
      </c>
      <c r="B38" s="16">
        <v>54.92</v>
      </c>
      <c r="C38" s="16">
        <v>22.68</v>
      </c>
      <c r="D38" s="16">
        <v>56.14</v>
      </c>
      <c r="E38" s="16">
        <v>56.56</v>
      </c>
      <c r="F38" s="12">
        <v>57.3</v>
      </c>
      <c r="G38" s="12">
        <v>40</v>
      </c>
      <c r="H38" s="12">
        <v>54.5</v>
      </c>
      <c r="I38" s="12">
        <v>25.28</v>
      </c>
      <c r="J38" s="16">
        <v>44.04</v>
      </c>
    </row>
    <row r="39" spans="1:25" x14ac:dyDescent="0.2">
      <c r="A39" s="16" t="s">
        <v>19</v>
      </c>
      <c r="B39" s="10">
        <v>3.0000000000000001E-3</v>
      </c>
      <c r="C39" s="10">
        <v>37.884</v>
      </c>
      <c r="D39" s="10">
        <v>0.108</v>
      </c>
      <c r="E39" s="10">
        <v>0.34499999999999997</v>
      </c>
      <c r="F39" s="11">
        <v>0.9</v>
      </c>
      <c r="G39" s="21"/>
      <c r="H39" s="11">
        <v>3.0000000000000001E-3</v>
      </c>
      <c r="I39" s="11">
        <v>3.21</v>
      </c>
      <c r="J39" s="10">
        <v>0.88500000000000001</v>
      </c>
      <c r="M39" s="10"/>
      <c r="N39" s="10">
        <f>D39/F39</f>
        <v>0.12</v>
      </c>
    </row>
    <row r="40" spans="1:25" x14ac:dyDescent="0.2">
      <c r="A40" s="16" t="s">
        <v>23</v>
      </c>
      <c r="I40" s="16"/>
      <c r="J40" s="16"/>
      <c r="M40" s="10" t="e">
        <f>F40/D40</f>
        <v>#DIV/0!</v>
      </c>
      <c r="N40" s="10"/>
      <c r="X40" s="10" t="e">
        <f t="shared" ref="X40" si="6">F39/V40</f>
        <v>#DIV/0!</v>
      </c>
      <c r="Y40" s="10" t="e">
        <f>#REF!/V40</f>
        <v>#REF!</v>
      </c>
    </row>
    <row r="41" spans="1:25" x14ac:dyDescent="0.2">
      <c r="A41" s="24"/>
      <c r="B41" s="24"/>
      <c r="C41" s="34" t="s">
        <v>58</v>
      </c>
      <c r="D41" s="34"/>
      <c r="E41" s="34"/>
      <c r="F41" s="13"/>
      <c r="G41" s="13"/>
      <c r="H41" s="24"/>
      <c r="I41" s="24"/>
      <c r="J41" s="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85" x14ac:dyDescent="0.2">
      <c r="A42" s="16"/>
      <c r="B42" s="25" t="s">
        <v>2</v>
      </c>
      <c r="C42" s="25" t="s">
        <v>4</v>
      </c>
      <c r="D42" s="25" t="s">
        <v>1</v>
      </c>
      <c r="E42" s="25" t="s">
        <v>3</v>
      </c>
      <c r="F42" s="14" t="s">
        <v>22</v>
      </c>
      <c r="G42" s="14" t="s">
        <v>34</v>
      </c>
      <c r="H42" s="25" t="s">
        <v>5</v>
      </c>
      <c r="I42" s="25" t="s">
        <v>6</v>
      </c>
      <c r="J42" s="25" t="s">
        <v>7</v>
      </c>
      <c r="M42" s="2" t="s">
        <v>47</v>
      </c>
      <c r="N42" s="2" t="s">
        <v>48</v>
      </c>
      <c r="P42" s="2" t="s">
        <v>36</v>
      </c>
      <c r="Q42" s="2" t="s">
        <v>42</v>
      </c>
      <c r="R42" s="2" t="s">
        <v>37</v>
      </c>
      <c r="S42" s="2" t="s">
        <v>38</v>
      </c>
      <c r="T42" s="2" t="s">
        <v>39</v>
      </c>
      <c r="U42" s="2" t="s">
        <v>40</v>
      </c>
      <c r="V42" s="2" t="s">
        <v>41</v>
      </c>
      <c r="X42" s="2" t="s">
        <v>44</v>
      </c>
      <c r="Y42" s="2" t="s">
        <v>45</v>
      </c>
    </row>
    <row r="43" spans="1:25" x14ac:dyDescent="0.2">
      <c r="A43" s="16" t="s">
        <v>49</v>
      </c>
      <c r="B43" s="16">
        <v>37.380000000000003</v>
      </c>
      <c r="C43" s="16">
        <v>40.020000000000003</v>
      </c>
      <c r="D43" s="16">
        <v>96.64</v>
      </c>
      <c r="E43" s="16">
        <v>96.9</v>
      </c>
      <c r="F43" s="12">
        <v>45.9</v>
      </c>
      <c r="G43" s="12">
        <v>31.3</v>
      </c>
      <c r="H43" s="12">
        <v>27.22</v>
      </c>
      <c r="I43" s="12">
        <v>46.96</v>
      </c>
      <c r="J43" s="16">
        <v>41.92</v>
      </c>
    </row>
    <row r="44" spans="1:25" x14ac:dyDescent="0.2">
      <c r="A44" s="16" t="s">
        <v>19</v>
      </c>
      <c r="B44" s="10">
        <v>1.0999999999999999E-2</v>
      </c>
      <c r="C44" s="10">
        <v>19.535</v>
      </c>
      <c r="D44" s="10">
        <v>0.124</v>
      </c>
      <c r="E44" s="10">
        <v>0.42</v>
      </c>
      <c r="F44" s="11">
        <v>0.5</v>
      </c>
      <c r="G44" s="21"/>
      <c r="H44" s="11">
        <v>8.0000000000000002E-3</v>
      </c>
      <c r="I44" s="11">
        <v>1.54</v>
      </c>
      <c r="J44" s="10">
        <v>0.442</v>
      </c>
      <c r="M44" s="10"/>
      <c r="N44" s="10">
        <f>D44/F44</f>
        <v>0.248</v>
      </c>
    </row>
    <row r="45" spans="1:25" x14ac:dyDescent="0.2">
      <c r="A45" s="16" t="s">
        <v>23</v>
      </c>
      <c r="I45" s="16"/>
      <c r="J45" s="16"/>
      <c r="M45" s="10" t="e">
        <f>F45/D45</f>
        <v>#DIV/0!</v>
      </c>
      <c r="N45" s="10"/>
      <c r="X45" s="10" t="e">
        <f t="shared" ref="X45" si="7">F44/V45</f>
        <v>#DIV/0!</v>
      </c>
      <c r="Y45" s="10" t="e">
        <f>#REF!/V45</f>
        <v>#REF!</v>
      </c>
    </row>
    <row r="46" spans="1:25" x14ac:dyDescent="0.2">
      <c r="A46" s="24"/>
      <c r="B46" s="24"/>
      <c r="C46" s="34" t="s">
        <v>59</v>
      </c>
      <c r="D46" s="34"/>
      <c r="E46" s="34"/>
      <c r="F46" s="13"/>
      <c r="G46" s="13"/>
      <c r="H46" s="24"/>
      <c r="I46" s="24"/>
      <c r="J46" s="2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85" x14ac:dyDescent="0.2">
      <c r="A47" s="16"/>
      <c r="B47" s="25" t="s">
        <v>2</v>
      </c>
      <c r="C47" s="25" t="s">
        <v>4</v>
      </c>
      <c r="D47" s="25" t="s">
        <v>1</v>
      </c>
      <c r="E47" s="25" t="s">
        <v>3</v>
      </c>
      <c r="F47" s="14" t="s">
        <v>22</v>
      </c>
      <c r="G47" s="14" t="s">
        <v>34</v>
      </c>
      <c r="H47" s="25" t="s">
        <v>5</v>
      </c>
      <c r="I47" s="25" t="s">
        <v>6</v>
      </c>
      <c r="J47" s="25" t="s">
        <v>7</v>
      </c>
      <c r="M47" s="2" t="s">
        <v>47</v>
      </c>
      <c r="N47" s="2" t="s">
        <v>48</v>
      </c>
      <c r="P47" s="2" t="s">
        <v>36</v>
      </c>
      <c r="Q47" s="2" t="s">
        <v>42</v>
      </c>
      <c r="R47" s="2" t="s">
        <v>37</v>
      </c>
      <c r="S47" s="2" t="s">
        <v>38</v>
      </c>
      <c r="T47" s="2" t="s">
        <v>39</v>
      </c>
      <c r="U47" s="2" t="s">
        <v>40</v>
      </c>
      <c r="V47" s="2" t="s">
        <v>41</v>
      </c>
      <c r="X47" s="2" t="s">
        <v>44</v>
      </c>
      <c r="Y47" s="2" t="s">
        <v>45</v>
      </c>
    </row>
    <row r="48" spans="1:25" x14ac:dyDescent="0.2">
      <c r="A48" s="16" t="s">
        <v>49</v>
      </c>
      <c r="B48" s="16">
        <v>49.097000000000001</v>
      </c>
      <c r="C48" s="16">
        <v>61.011000000000003</v>
      </c>
      <c r="D48" s="16">
        <v>49.146000000000001</v>
      </c>
      <c r="E48" s="16">
        <v>53.344999999999999</v>
      </c>
      <c r="F48" s="12">
        <v>64.599999999999994</v>
      </c>
      <c r="G48" s="12">
        <v>30</v>
      </c>
      <c r="H48" s="12">
        <v>51.293999999999997</v>
      </c>
      <c r="I48" s="12">
        <v>64.209000000000003</v>
      </c>
      <c r="J48" s="16">
        <v>52.295000000000002</v>
      </c>
    </row>
    <row r="49" spans="1:25" x14ac:dyDescent="0.2">
      <c r="A49" s="16" t="s">
        <v>19</v>
      </c>
      <c r="B49" s="10">
        <v>1E-3</v>
      </c>
      <c r="C49" s="10">
        <v>15.207000000000001</v>
      </c>
      <c r="D49" s="10">
        <v>7.5999999999999998E-2</v>
      </c>
      <c r="E49" s="10">
        <v>0.22700000000000001</v>
      </c>
      <c r="F49" s="11">
        <v>0.41</v>
      </c>
      <c r="G49" s="21"/>
      <c r="H49" s="11">
        <v>1E-3</v>
      </c>
      <c r="I49" s="11">
        <v>0.504</v>
      </c>
      <c r="J49" s="10">
        <v>0.23699999999999999</v>
      </c>
      <c r="M49" s="10"/>
      <c r="N49" s="10">
        <f>D49/F49</f>
        <v>0.18536585365853658</v>
      </c>
    </row>
    <row r="50" spans="1:25" x14ac:dyDescent="0.2">
      <c r="A50" s="16" t="s">
        <v>23</v>
      </c>
      <c r="I50" s="16"/>
      <c r="J50" s="16"/>
      <c r="M50" s="10" t="e">
        <f>F50/D50</f>
        <v>#DIV/0!</v>
      </c>
      <c r="N50" s="10"/>
      <c r="X50" s="10" t="e">
        <f t="shared" ref="X50" si="8">F49/V50</f>
        <v>#DIV/0!</v>
      </c>
      <c r="Y50" s="10" t="e">
        <f>#REF!/V50</f>
        <v>#REF!</v>
      </c>
    </row>
    <row r="51" spans="1:25" x14ac:dyDescent="0.2">
      <c r="A51" s="24"/>
      <c r="B51" s="24"/>
      <c r="C51" s="34" t="s">
        <v>60</v>
      </c>
      <c r="D51" s="34"/>
      <c r="E51" s="34"/>
      <c r="F51" s="13"/>
      <c r="G51" s="13"/>
      <c r="H51" s="24"/>
      <c r="I51" s="24"/>
      <c r="J51" s="2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85" x14ac:dyDescent="0.2">
      <c r="A52" s="16"/>
      <c r="B52" s="25" t="s">
        <v>2</v>
      </c>
      <c r="C52" s="25" t="s">
        <v>4</v>
      </c>
      <c r="D52" s="25" t="s">
        <v>1</v>
      </c>
      <c r="E52" s="25" t="s">
        <v>3</v>
      </c>
      <c r="F52" s="14" t="s">
        <v>22</v>
      </c>
      <c r="G52" s="14" t="s">
        <v>34</v>
      </c>
      <c r="H52" s="25" t="s">
        <v>5</v>
      </c>
      <c r="I52" s="25" t="s">
        <v>6</v>
      </c>
      <c r="J52" s="25" t="s">
        <v>7</v>
      </c>
      <c r="M52" s="2" t="s">
        <v>47</v>
      </c>
      <c r="N52" s="2" t="s">
        <v>48</v>
      </c>
      <c r="P52" s="2" t="s">
        <v>36</v>
      </c>
      <c r="Q52" s="2" t="s">
        <v>42</v>
      </c>
      <c r="R52" s="2" t="s">
        <v>37</v>
      </c>
      <c r="S52" s="2" t="s">
        <v>38</v>
      </c>
      <c r="T52" s="2" t="s">
        <v>39</v>
      </c>
      <c r="U52" s="2" t="s">
        <v>40</v>
      </c>
      <c r="V52" s="2" t="s">
        <v>41</v>
      </c>
      <c r="X52" s="2" t="s">
        <v>44</v>
      </c>
      <c r="Y52" s="2" t="s">
        <v>45</v>
      </c>
    </row>
    <row r="53" spans="1:25" x14ac:dyDescent="0.2">
      <c r="A53" s="16" t="s">
        <v>49</v>
      </c>
      <c r="B53" s="16">
        <v>12.98</v>
      </c>
      <c r="C53" s="16">
        <v>83.5</v>
      </c>
      <c r="D53" s="16">
        <v>95.94</v>
      </c>
      <c r="E53" s="16">
        <v>95.92</v>
      </c>
      <c r="F53" s="12">
        <v>92</v>
      </c>
      <c r="G53" s="12">
        <v>3.9</v>
      </c>
      <c r="H53" s="12">
        <v>40.299999999999997</v>
      </c>
      <c r="I53" s="12">
        <v>86.54</v>
      </c>
      <c r="J53" s="16">
        <v>82.2</v>
      </c>
    </row>
    <row r="54" spans="1:25" x14ac:dyDescent="0.2">
      <c r="A54" s="16" t="s">
        <v>19</v>
      </c>
      <c r="B54" s="10">
        <v>3.0000000000000001E-3</v>
      </c>
      <c r="C54" s="10">
        <v>22.076000000000001</v>
      </c>
      <c r="D54" s="10">
        <v>9.6000000000000002E-2</v>
      </c>
      <c r="E54" s="10">
        <v>0.253</v>
      </c>
      <c r="F54" s="12">
        <v>0.56000000000000005</v>
      </c>
      <c r="G54" s="26"/>
      <c r="H54" s="11">
        <v>3.0000000000000001E-3</v>
      </c>
      <c r="I54" s="11">
        <v>1.476</v>
      </c>
      <c r="J54" s="10">
        <v>0.45100000000000001</v>
      </c>
      <c r="M54" s="10"/>
      <c r="N54" s="10">
        <f>D54/F54</f>
        <v>0.1714285714285714</v>
      </c>
    </row>
    <row r="55" spans="1:25" x14ac:dyDescent="0.2">
      <c r="A55" s="16" t="s">
        <v>23</v>
      </c>
      <c r="I55" s="16"/>
      <c r="J55" s="16"/>
      <c r="M55" s="10" t="e">
        <f>F55/D55</f>
        <v>#DIV/0!</v>
      </c>
      <c r="N55" s="10"/>
      <c r="X55" s="10" t="e">
        <f>F54/V55</f>
        <v>#DIV/0!</v>
      </c>
      <c r="Y55" s="10" t="e">
        <f>#REF!/V55</f>
        <v>#REF!</v>
      </c>
    </row>
    <row r="56" spans="1:25" x14ac:dyDescent="0.2">
      <c r="A56" s="24"/>
      <c r="B56" s="24"/>
      <c r="C56" s="34" t="s">
        <v>61</v>
      </c>
      <c r="D56" s="34"/>
      <c r="E56" s="34"/>
      <c r="F56" s="13"/>
      <c r="G56" s="13"/>
      <c r="H56" s="24"/>
      <c r="I56" s="24"/>
      <c r="J56" s="2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85" x14ac:dyDescent="0.2">
      <c r="A57" s="16"/>
      <c r="B57" s="25" t="s">
        <v>2</v>
      </c>
      <c r="C57" s="25" t="s">
        <v>4</v>
      </c>
      <c r="D57" s="25" t="s">
        <v>1</v>
      </c>
      <c r="E57" s="25" t="s">
        <v>3</v>
      </c>
      <c r="F57" s="14" t="s">
        <v>22</v>
      </c>
      <c r="G57" s="14" t="s">
        <v>34</v>
      </c>
      <c r="H57" s="25" t="s">
        <v>5</v>
      </c>
      <c r="I57" s="25" t="s">
        <v>6</v>
      </c>
      <c r="J57" s="25" t="s">
        <v>7</v>
      </c>
      <c r="M57" s="2" t="s">
        <v>47</v>
      </c>
      <c r="N57" s="2" t="s">
        <v>48</v>
      </c>
      <c r="P57" s="2" t="s">
        <v>36</v>
      </c>
      <c r="Q57" s="2" t="s">
        <v>42</v>
      </c>
      <c r="R57" s="2" t="s">
        <v>37</v>
      </c>
      <c r="S57" s="2" t="s">
        <v>38</v>
      </c>
      <c r="T57" s="2" t="s">
        <v>39</v>
      </c>
      <c r="U57" s="2" t="s">
        <v>40</v>
      </c>
      <c r="V57" s="2" t="s">
        <v>41</v>
      </c>
      <c r="X57" s="2" t="s">
        <v>44</v>
      </c>
      <c r="Y57" s="2" t="s">
        <v>45</v>
      </c>
    </row>
    <row r="58" spans="1:25" x14ac:dyDescent="0.2">
      <c r="A58" s="16" t="s">
        <v>49</v>
      </c>
      <c r="B58" s="16">
        <v>48.3</v>
      </c>
      <c r="C58" s="16">
        <v>13.5</v>
      </c>
      <c r="D58" s="16">
        <v>90.72</v>
      </c>
      <c r="E58" s="16">
        <v>81.739999999999995</v>
      </c>
      <c r="F58" s="12">
        <v>67.3</v>
      </c>
      <c r="G58" s="12">
        <v>22.9</v>
      </c>
      <c r="H58" s="12">
        <v>22.68</v>
      </c>
      <c r="I58" s="12">
        <v>28.68</v>
      </c>
      <c r="J58" s="16">
        <v>23.76</v>
      </c>
    </row>
    <row r="59" spans="1:25" x14ac:dyDescent="0.2">
      <c r="A59" s="16" t="s">
        <v>19</v>
      </c>
      <c r="B59" s="10">
        <v>0.39400000000000002</v>
      </c>
      <c r="C59" s="10">
        <v>6.3929999999999998</v>
      </c>
      <c r="D59" s="10">
        <v>1.4379999999999999</v>
      </c>
      <c r="E59" s="10">
        <v>1.792</v>
      </c>
      <c r="F59" s="11">
        <v>0.22</v>
      </c>
      <c r="G59" s="21"/>
      <c r="H59" s="11">
        <v>0.123</v>
      </c>
      <c r="I59" s="11">
        <v>1.5249999999999999</v>
      </c>
      <c r="J59" s="10">
        <v>0.26800000000000002</v>
      </c>
      <c r="M59" s="10"/>
      <c r="N59" s="10">
        <f>D59/F59</f>
        <v>6.5363636363636362</v>
      </c>
    </row>
    <row r="60" spans="1:25" x14ac:dyDescent="0.2">
      <c r="A60" s="16" t="s">
        <v>23</v>
      </c>
      <c r="I60" s="16"/>
      <c r="J60" s="16"/>
      <c r="M60" s="10" t="e">
        <f>F60/D60</f>
        <v>#DIV/0!</v>
      </c>
      <c r="N60" s="10"/>
      <c r="X60" s="10" t="e">
        <f t="shared" ref="X60" si="9">F59/V60</f>
        <v>#DIV/0!</v>
      </c>
      <c r="Y60" s="10" t="e">
        <f>#REF!/V60</f>
        <v>#REF!</v>
      </c>
    </row>
    <row r="61" spans="1:25" x14ac:dyDescent="0.2">
      <c r="A61" s="24"/>
      <c r="B61" s="24"/>
      <c r="C61" s="34" t="s">
        <v>62</v>
      </c>
      <c r="D61" s="34"/>
      <c r="E61" s="34"/>
      <c r="F61" s="13"/>
      <c r="G61" s="13"/>
      <c r="H61" s="24"/>
      <c r="I61" s="24"/>
      <c r="J61" s="2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85" x14ac:dyDescent="0.2">
      <c r="A62" s="16"/>
      <c r="B62" s="25" t="s">
        <v>2</v>
      </c>
      <c r="C62" s="25" t="s">
        <v>4</v>
      </c>
      <c r="D62" s="25" t="s">
        <v>1</v>
      </c>
      <c r="E62" s="25" t="s">
        <v>3</v>
      </c>
      <c r="F62" s="14" t="s">
        <v>22</v>
      </c>
      <c r="G62" s="14" t="s">
        <v>34</v>
      </c>
      <c r="H62" s="25" t="s">
        <v>5</v>
      </c>
      <c r="I62" s="25" t="s">
        <v>6</v>
      </c>
      <c r="J62" s="25" t="s">
        <v>7</v>
      </c>
      <c r="M62" s="2" t="s">
        <v>47</v>
      </c>
      <c r="N62" s="2" t="s">
        <v>48</v>
      </c>
      <c r="P62" s="2" t="s">
        <v>36</v>
      </c>
      <c r="Q62" s="2" t="s">
        <v>42</v>
      </c>
      <c r="R62" s="2" t="s">
        <v>37</v>
      </c>
      <c r="S62" s="2" t="s">
        <v>38</v>
      </c>
      <c r="T62" s="2" t="s">
        <v>39</v>
      </c>
      <c r="U62" s="2" t="s">
        <v>40</v>
      </c>
      <c r="V62" s="2" t="s">
        <v>41</v>
      </c>
      <c r="X62" s="2" t="s">
        <v>44</v>
      </c>
      <c r="Y62" s="2" t="s">
        <v>45</v>
      </c>
    </row>
    <row r="63" spans="1:25" x14ac:dyDescent="0.2">
      <c r="A63" s="16" t="s">
        <v>49</v>
      </c>
      <c r="B63" s="16">
        <v>12.4</v>
      </c>
      <c r="C63" s="16">
        <v>4.6399999999999997</v>
      </c>
      <c r="D63" s="16">
        <v>11.34</v>
      </c>
      <c r="E63" s="16">
        <v>12.08</v>
      </c>
      <c r="F63" s="12">
        <v>12</v>
      </c>
      <c r="G63" s="12">
        <v>13</v>
      </c>
      <c r="H63" s="12">
        <v>12.58</v>
      </c>
      <c r="I63" s="12">
        <v>11.32</v>
      </c>
      <c r="J63" s="16">
        <v>11.94</v>
      </c>
    </row>
    <row r="64" spans="1:25" x14ac:dyDescent="0.2">
      <c r="A64" s="16" t="s">
        <v>19</v>
      </c>
      <c r="B64" s="10">
        <v>4.0000000000000001E-3</v>
      </c>
      <c r="C64" s="10">
        <v>20.518000000000001</v>
      </c>
      <c r="D64" s="10">
        <v>0.108</v>
      </c>
      <c r="E64" s="10">
        <v>0.46400000000000002</v>
      </c>
      <c r="F64" s="11">
        <v>0.52</v>
      </c>
      <c r="G64" s="21"/>
      <c r="H64" s="11">
        <v>4.0000000000000001E-3</v>
      </c>
      <c r="I64" s="11">
        <v>3.8079999999999998</v>
      </c>
      <c r="J64" s="10">
        <v>0.61399999999999999</v>
      </c>
      <c r="M64" s="10"/>
      <c r="N64" s="10">
        <f>D64/F64</f>
        <v>0.20769230769230768</v>
      </c>
    </row>
    <row r="65" spans="1:25" x14ac:dyDescent="0.2">
      <c r="A65" s="16" t="s">
        <v>23</v>
      </c>
      <c r="I65" s="16"/>
      <c r="J65" s="16"/>
      <c r="M65" s="10" t="e">
        <f>F65/D65</f>
        <v>#DIV/0!</v>
      </c>
      <c r="N65" s="10"/>
      <c r="X65" s="10" t="e">
        <f t="shared" ref="X65" si="10">F64/V65</f>
        <v>#DIV/0!</v>
      </c>
      <c r="Y65" s="10" t="e">
        <f>#REF!/V65</f>
        <v>#REF!</v>
      </c>
    </row>
    <row r="66" spans="1:25" x14ac:dyDescent="0.2">
      <c r="A66" s="24"/>
      <c r="B66" s="24"/>
      <c r="C66" s="34" t="s">
        <v>63</v>
      </c>
      <c r="D66" s="34"/>
      <c r="E66" s="34"/>
      <c r="F66" s="13"/>
      <c r="G66" s="13"/>
      <c r="H66" s="24"/>
      <c r="I66" s="24"/>
      <c r="J66" s="2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85" x14ac:dyDescent="0.2">
      <c r="A67" s="16"/>
      <c r="B67" s="25" t="s">
        <v>2</v>
      </c>
      <c r="C67" s="25" t="s">
        <v>4</v>
      </c>
      <c r="D67" s="25" t="s">
        <v>1</v>
      </c>
      <c r="E67" s="25" t="s">
        <v>3</v>
      </c>
      <c r="F67" s="14" t="s">
        <v>22</v>
      </c>
      <c r="G67" s="14" t="s">
        <v>34</v>
      </c>
      <c r="H67" s="25" t="s">
        <v>5</v>
      </c>
      <c r="I67" s="25" t="s">
        <v>6</v>
      </c>
      <c r="J67" s="25" t="s">
        <v>7</v>
      </c>
      <c r="M67" s="2" t="s">
        <v>47</v>
      </c>
      <c r="N67" s="2" t="s">
        <v>48</v>
      </c>
      <c r="P67" s="2" t="s">
        <v>36</v>
      </c>
      <c r="Q67" s="2" t="s">
        <v>42</v>
      </c>
      <c r="R67" s="2" t="s">
        <v>37</v>
      </c>
      <c r="S67" s="2" t="s">
        <v>38</v>
      </c>
      <c r="T67" s="2" t="s">
        <v>39</v>
      </c>
      <c r="U67" s="2" t="s">
        <v>40</v>
      </c>
      <c r="V67" s="2" t="s">
        <v>41</v>
      </c>
      <c r="X67" s="2" t="s">
        <v>44</v>
      </c>
      <c r="Y67" s="2" t="s">
        <v>45</v>
      </c>
    </row>
    <row r="68" spans="1:25" x14ac:dyDescent="0.2">
      <c r="A68" s="16" t="s">
        <v>49</v>
      </c>
      <c r="B68" s="16">
        <v>41.92</v>
      </c>
      <c r="C68" s="16">
        <v>21.52</v>
      </c>
      <c r="D68" s="16">
        <v>36.9</v>
      </c>
      <c r="E68" s="16">
        <v>37.44</v>
      </c>
      <c r="F68" s="12">
        <v>40</v>
      </c>
      <c r="G68" s="12">
        <v>30</v>
      </c>
      <c r="H68" s="12">
        <v>38.340000000000003</v>
      </c>
      <c r="I68" s="12">
        <v>44.58</v>
      </c>
      <c r="J68" s="16">
        <v>41.06</v>
      </c>
    </row>
    <row r="69" spans="1:25" x14ac:dyDescent="0.2">
      <c r="A69" s="16" t="s">
        <v>19</v>
      </c>
      <c r="B69" s="10">
        <v>5.8000000000000003E-2</v>
      </c>
      <c r="C69" s="10">
        <v>3.831</v>
      </c>
      <c r="D69" s="10">
        <v>0.33</v>
      </c>
      <c r="E69" s="10">
        <v>0.54100000000000004</v>
      </c>
      <c r="F69" s="11">
        <v>0.15</v>
      </c>
      <c r="G69" s="21"/>
      <c r="H69" s="11">
        <v>2.7E-2</v>
      </c>
      <c r="I69" s="11">
        <v>0.59</v>
      </c>
      <c r="J69" s="10">
        <v>0.14599999999999999</v>
      </c>
      <c r="M69" s="10"/>
      <c r="N69" s="10">
        <f>D69/F69</f>
        <v>2.2000000000000002</v>
      </c>
    </row>
    <row r="70" spans="1:25" x14ac:dyDescent="0.2">
      <c r="A70" s="16" t="s">
        <v>23</v>
      </c>
      <c r="I70" s="16"/>
      <c r="J70" s="16"/>
      <c r="M70" s="10" t="e">
        <f>F70/D70</f>
        <v>#DIV/0!</v>
      </c>
      <c r="N70" s="10"/>
      <c r="X70" s="10" t="e">
        <f t="shared" ref="X70" si="11">F69/V70</f>
        <v>#DIV/0!</v>
      </c>
      <c r="Y70" s="10" t="e">
        <f>#REF!/V70</f>
        <v>#REF!</v>
      </c>
    </row>
    <row r="71" spans="1:25" x14ac:dyDescent="0.2">
      <c r="A71" s="24"/>
      <c r="B71" s="24"/>
      <c r="C71" s="34" t="s">
        <v>64</v>
      </c>
      <c r="D71" s="34"/>
      <c r="E71" s="34"/>
      <c r="F71" s="13"/>
      <c r="G71" s="13"/>
      <c r="H71" s="24"/>
      <c r="I71" s="24"/>
      <c r="J71" s="2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85" x14ac:dyDescent="0.2">
      <c r="A72" s="16"/>
      <c r="B72" s="25" t="s">
        <v>2</v>
      </c>
      <c r="C72" s="25" t="s">
        <v>4</v>
      </c>
      <c r="D72" s="25" t="s">
        <v>1</v>
      </c>
      <c r="E72" s="25" t="s">
        <v>3</v>
      </c>
      <c r="F72" s="14" t="s">
        <v>22</v>
      </c>
      <c r="G72" s="14" t="s">
        <v>34</v>
      </c>
      <c r="H72" s="25" t="s">
        <v>5</v>
      </c>
      <c r="I72" s="25" t="s">
        <v>6</v>
      </c>
      <c r="J72" s="25" t="s">
        <v>7</v>
      </c>
      <c r="M72" s="2" t="s">
        <v>47</v>
      </c>
      <c r="N72" s="2" t="s">
        <v>48</v>
      </c>
      <c r="P72" s="2" t="s">
        <v>36</v>
      </c>
      <c r="Q72" s="2" t="s">
        <v>42</v>
      </c>
      <c r="R72" s="2" t="s">
        <v>37</v>
      </c>
      <c r="S72" s="2" t="s">
        <v>38</v>
      </c>
      <c r="T72" s="2" t="s">
        <v>39</v>
      </c>
      <c r="U72" s="2" t="s">
        <v>40</v>
      </c>
      <c r="V72" s="2" t="s">
        <v>41</v>
      </c>
      <c r="X72" s="2" t="s">
        <v>44</v>
      </c>
      <c r="Y72" s="2" t="s">
        <v>45</v>
      </c>
    </row>
    <row r="73" spans="1:25" x14ac:dyDescent="0.2">
      <c r="A73" s="16" t="s">
        <v>49</v>
      </c>
      <c r="B73" s="16">
        <v>59.52</v>
      </c>
      <c r="C73" s="16">
        <v>73.62</v>
      </c>
      <c r="D73" s="16">
        <v>55.06</v>
      </c>
      <c r="E73" s="16">
        <v>55.38</v>
      </c>
      <c r="F73" s="12">
        <v>58.12</v>
      </c>
      <c r="G73" s="12">
        <v>54.49</v>
      </c>
      <c r="H73" s="12">
        <v>59.78</v>
      </c>
      <c r="I73" s="12">
        <v>75</v>
      </c>
      <c r="J73" s="16">
        <v>66.900000000000006</v>
      </c>
    </row>
    <row r="74" spans="1:25" x14ac:dyDescent="0.2">
      <c r="A74" s="16" t="s">
        <v>19</v>
      </c>
      <c r="B74" s="10">
        <v>6.0000000000000001E-3</v>
      </c>
      <c r="C74" s="10">
        <v>26.413</v>
      </c>
      <c r="D74" s="10">
        <v>0.10199999999999999</v>
      </c>
      <c r="E74" s="10">
        <v>0.27400000000000002</v>
      </c>
      <c r="F74" s="11">
        <v>0.65</v>
      </c>
      <c r="G74" s="21"/>
      <c r="H74" s="11">
        <v>5.0000000000000001E-3</v>
      </c>
      <c r="I74" s="11">
        <v>0.55500000000000005</v>
      </c>
      <c r="J74" s="10">
        <v>0.35399999999999998</v>
      </c>
      <c r="M74" s="10"/>
      <c r="N74" s="10">
        <f>D74/F74</f>
        <v>0.15692307692307692</v>
      </c>
    </row>
    <row r="75" spans="1:25" x14ac:dyDescent="0.2">
      <c r="A75" s="16" t="s">
        <v>23</v>
      </c>
      <c r="I75" s="16"/>
      <c r="J75" s="16"/>
      <c r="M75" s="10" t="e">
        <f>F75/D75</f>
        <v>#DIV/0!</v>
      </c>
      <c r="N75" s="10"/>
      <c r="X75" s="10" t="e">
        <f t="shared" ref="X75" si="12">F74/V75</f>
        <v>#DIV/0!</v>
      </c>
      <c r="Y75" s="10" t="e">
        <f>#REF!/V75</f>
        <v>#REF!</v>
      </c>
    </row>
    <row r="76" spans="1:25" x14ac:dyDescent="0.2">
      <c r="A76" s="24"/>
      <c r="B76" s="24"/>
      <c r="C76" s="34" t="s">
        <v>65</v>
      </c>
      <c r="D76" s="34"/>
      <c r="E76" s="34"/>
      <c r="F76" s="13"/>
      <c r="G76" s="13"/>
      <c r="H76" s="24"/>
      <c r="I76" s="24"/>
      <c r="J76" s="2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85" x14ac:dyDescent="0.2">
      <c r="A77" s="16"/>
      <c r="B77" s="25" t="s">
        <v>2</v>
      </c>
      <c r="C77" s="25" t="s">
        <v>4</v>
      </c>
      <c r="D77" s="25" t="s">
        <v>1</v>
      </c>
      <c r="E77" s="25" t="s">
        <v>3</v>
      </c>
      <c r="F77" s="14" t="s">
        <v>22</v>
      </c>
      <c r="G77" s="14" t="s">
        <v>34</v>
      </c>
      <c r="H77" s="25" t="s">
        <v>5</v>
      </c>
      <c r="I77" s="25" t="s">
        <v>6</v>
      </c>
      <c r="J77" s="25" t="s">
        <v>7</v>
      </c>
      <c r="M77" s="2" t="s">
        <v>47</v>
      </c>
      <c r="N77" s="2" t="s">
        <v>48</v>
      </c>
      <c r="P77" s="2" t="s">
        <v>36</v>
      </c>
      <c r="Q77" s="2" t="s">
        <v>42</v>
      </c>
      <c r="R77" s="2" t="s">
        <v>37</v>
      </c>
      <c r="S77" s="2" t="s">
        <v>38</v>
      </c>
      <c r="T77" s="2" t="s">
        <v>39</v>
      </c>
      <c r="U77" s="2" t="s">
        <v>40</v>
      </c>
      <c r="V77" s="2" t="s">
        <v>41</v>
      </c>
      <c r="X77" s="2" t="s">
        <v>44</v>
      </c>
      <c r="Y77" s="2" t="s">
        <v>45</v>
      </c>
    </row>
    <row r="78" spans="1:25" x14ac:dyDescent="0.2">
      <c r="A78" s="16" t="s">
        <v>49</v>
      </c>
      <c r="B78" s="16">
        <v>27.78</v>
      </c>
      <c r="C78" s="16">
        <v>33.78</v>
      </c>
      <c r="D78" s="16">
        <v>24.7</v>
      </c>
      <c r="E78" s="16">
        <v>25.82</v>
      </c>
      <c r="F78" s="12">
        <v>39.5</v>
      </c>
      <c r="G78" s="12">
        <v>21.5</v>
      </c>
      <c r="H78" s="12">
        <v>26.68</v>
      </c>
      <c r="I78" s="12">
        <v>40.340000000000003</v>
      </c>
      <c r="J78" s="16">
        <v>35.74</v>
      </c>
    </row>
    <row r="79" spans="1:25" x14ac:dyDescent="0.2">
      <c r="A79" s="16" t="s">
        <v>19</v>
      </c>
      <c r="B79" s="10">
        <v>8.0000000000000002E-3</v>
      </c>
      <c r="C79" s="10">
        <v>26.048999999999999</v>
      </c>
      <c r="D79" s="10">
        <v>0.11899999999999999</v>
      </c>
      <c r="E79" s="10">
        <v>0.44400000000000001</v>
      </c>
      <c r="F79" s="11">
        <v>0.64400000000000002</v>
      </c>
      <c r="G79" s="21"/>
      <c r="H79" s="11">
        <v>7.0000000000000001E-3</v>
      </c>
      <c r="I79" s="11">
        <v>2.4340000000000002</v>
      </c>
      <c r="J79" s="10">
        <v>0.60899999999999999</v>
      </c>
      <c r="M79" s="10"/>
      <c r="N79" s="10">
        <f>D79/F79</f>
        <v>0.18478260869565216</v>
      </c>
    </row>
    <row r="80" spans="1:25" x14ac:dyDescent="0.2">
      <c r="A80" s="16" t="s">
        <v>23</v>
      </c>
      <c r="I80" s="16"/>
      <c r="J80" s="16"/>
      <c r="M80" s="10" t="e">
        <f>F80/D80</f>
        <v>#DIV/0!</v>
      </c>
      <c r="N80" s="10"/>
      <c r="X80" s="10" t="e">
        <f>F79/V80</f>
        <v>#DIV/0!</v>
      </c>
      <c r="Y80" s="10" t="e">
        <f>#REF!/V80</f>
        <v>#REF!</v>
      </c>
    </row>
    <row r="93" spans="4:4" x14ac:dyDescent="0.2">
      <c r="D93" t="s">
        <v>67</v>
      </c>
    </row>
  </sheetData>
  <mergeCells count="16">
    <mergeCell ref="C76:E76"/>
    <mergeCell ref="C46:E46"/>
    <mergeCell ref="C51:E51"/>
    <mergeCell ref="C56:E56"/>
    <mergeCell ref="C61:E61"/>
    <mergeCell ref="C66:E66"/>
    <mergeCell ref="C71:E71"/>
    <mergeCell ref="C31:E31"/>
    <mergeCell ref="C36:E36"/>
    <mergeCell ref="C41:E41"/>
    <mergeCell ref="C1:E1"/>
    <mergeCell ref="C6:E6"/>
    <mergeCell ref="C11:E11"/>
    <mergeCell ref="C16:E16"/>
    <mergeCell ref="C21:E21"/>
    <mergeCell ref="C26:E2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dcterms:created xsi:type="dcterms:W3CDTF">2018-10-03T15:06:09Z</dcterms:created>
  <dcterms:modified xsi:type="dcterms:W3CDTF">2019-01-21T15:29:34Z</dcterms:modified>
</cp:coreProperties>
</file>