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1.xml" ContentType="application/vnd.openxmlformats-officedocument.spreadsheetml.comments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omments2.xml" ContentType="application/vnd.openxmlformats-officedocument.spreadsheetml.comments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50" yWindow="1430" windowWidth="14810" windowHeight="6400" tabRatio="652" firstSheet="3" activeTab="9"/>
  </bookViews>
  <sheets>
    <sheet name="About" sheetId="7" r:id="rId1"/>
    <sheet name="devapp###" sheetId="4" r:id="rId2"/>
    <sheet name="qaapp###" sheetId="6" r:id="rId3"/>
    <sheet name="db###" sheetId="5" r:id="rId4"/>
    <sheet name="qadb###" sheetId="8" r:id="rId5"/>
    <sheet name="Total" sheetId="9" r:id="rId6"/>
    <sheet name="RBM+CM+AM (dev)" sheetId="10" r:id="rId7"/>
    <sheet name="RBM+CM+AM (QA)" sheetId="11" r:id="rId8"/>
    <sheet name="Total (RBM)" sheetId="12" r:id="rId9"/>
    <sheet name="Calc" sheetId="13" r:id="rId10"/>
    <sheet name="Dedicated VM" sheetId="15" state="hidden" r:id="rId11"/>
    <sheet name="VM stand" sheetId="14" r:id="rId12"/>
    <sheet name="Enviroments" sheetId="16" state="hidden" r:id="rId13"/>
  </sheets>
  <definedNames>
    <definedName name="_xlnm._FilterDatabase" localSheetId="9" hidden="1">Calc!$A$1:$G$9</definedName>
    <definedName name="Envs">Table5[]</definedName>
    <definedName name="vCPUoversub">Table16[]</definedName>
  </definedNames>
  <calcPr calcId="162913" fullPrecision="0"/>
</workbook>
</file>

<file path=xl/calcChain.xml><?xml version="1.0" encoding="utf-8"?>
<calcChain xmlns="http://schemas.openxmlformats.org/spreadsheetml/2006/main">
  <c r="F2" i="14" l="1"/>
  <c r="E3" i="14" l="1"/>
  <c r="D3" i="14"/>
  <c r="C3" i="14"/>
  <c r="C4" i="13" l="1"/>
  <c r="E8" i="13" l="1"/>
  <c r="C2" i="13" s="1"/>
  <c r="E7" i="13"/>
  <c r="E6" i="13"/>
  <c r="E5" i="13"/>
  <c r="E4" i="13"/>
  <c r="E3" i="13"/>
  <c r="C3" i="16"/>
  <c r="B3" i="16"/>
  <c r="B8" i="8"/>
  <c r="B8" i="5"/>
  <c r="E2" i="13" l="1"/>
  <c r="C10" i="15" l="1"/>
  <c r="B10" i="15"/>
  <c r="C9" i="15"/>
  <c r="B9" i="15"/>
  <c r="C8" i="15"/>
  <c r="B8" i="15"/>
  <c r="C6" i="15"/>
  <c r="B6" i="15"/>
  <c r="C5" i="15"/>
  <c r="B5" i="15"/>
  <c r="B39" i="4" l="1"/>
  <c r="B2" i="9" s="1"/>
  <c r="B3" i="14" l="1"/>
  <c r="B22" i="6" l="1"/>
  <c r="B21" i="6"/>
  <c r="G30" i="11" l="1"/>
  <c r="C30" i="11"/>
  <c r="G30" i="10"/>
  <c r="C30" i="10"/>
  <c r="B39" i="6"/>
  <c r="C2" i="9" s="1"/>
  <c r="B19" i="6"/>
  <c r="B18" i="6"/>
  <c r="B17" i="6"/>
  <c r="B16" i="6"/>
  <c r="B22" i="4"/>
  <c r="B17" i="4"/>
  <c r="B16" i="4"/>
  <c r="B21" i="4"/>
  <c r="B18" i="4" l="1"/>
  <c r="E2" i="12" l="1"/>
  <c r="D2" i="12"/>
  <c r="C2" i="12"/>
  <c r="B2" i="12"/>
  <c r="F2" i="12" l="1"/>
  <c r="E5" i="12"/>
  <c r="E6" i="12"/>
  <c r="E8" i="12"/>
  <c r="E9" i="12"/>
  <c r="E10" i="12"/>
  <c r="D5" i="12"/>
  <c r="D6" i="12"/>
  <c r="D8" i="12"/>
  <c r="D9" i="12"/>
  <c r="D10" i="12"/>
  <c r="C5" i="12"/>
  <c r="C6" i="12"/>
  <c r="C8" i="12"/>
  <c r="C9" i="12"/>
  <c r="C10" i="12"/>
  <c r="B5" i="12"/>
  <c r="B6" i="12"/>
  <c r="B8" i="12"/>
  <c r="B9" i="12"/>
  <c r="B10" i="12"/>
  <c r="E5" i="9"/>
  <c r="E6" i="9"/>
  <c r="E8" i="9"/>
  <c r="E9" i="9"/>
  <c r="E10" i="9"/>
  <c r="D5" i="9"/>
  <c r="D6" i="9"/>
  <c r="D8" i="9"/>
  <c r="D9" i="9"/>
  <c r="D10" i="9"/>
  <c r="C5" i="9"/>
  <c r="C6" i="9"/>
  <c r="C8" i="9"/>
  <c r="C9" i="9"/>
  <c r="C10" i="9"/>
  <c r="B5" i="9"/>
  <c r="B6" i="9"/>
  <c r="B8" i="9"/>
  <c r="B9" i="9"/>
  <c r="B10" i="9"/>
  <c r="C16" i="11" l="1"/>
  <c r="C14" i="11"/>
  <c r="B19" i="11" s="1"/>
  <c r="G12" i="11"/>
  <c r="F19" i="11" s="1"/>
  <c r="G20" i="11" s="1"/>
  <c r="G19" i="11" s="1"/>
  <c r="F11" i="11"/>
  <c r="F11" i="10"/>
  <c r="B78" i="8" l="1"/>
  <c r="B77" i="8"/>
  <c r="B76" i="8"/>
  <c r="B75" i="8"/>
  <c r="B69" i="8"/>
  <c r="B68" i="8"/>
  <c r="B67" i="8"/>
  <c r="B66" i="8"/>
  <c r="B51" i="8"/>
  <c r="B50" i="8"/>
  <c r="B49" i="8"/>
  <c r="B44" i="8"/>
  <c r="B43" i="8"/>
  <c r="B42" i="8"/>
  <c r="B71" i="8" l="1"/>
  <c r="B70" i="8"/>
  <c r="E16" i="9" s="1"/>
  <c r="B79" i="8"/>
  <c r="E17" i="9" s="1"/>
  <c r="C17" i="15" s="1"/>
  <c r="B62" i="8"/>
  <c r="D9" i="8"/>
  <c r="B9" i="8"/>
  <c r="D4" i="8"/>
  <c r="B4" i="8"/>
  <c r="B36" i="4"/>
  <c r="B11" i="9" l="1"/>
  <c r="B47" i="8"/>
  <c r="B40" i="8"/>
  <c r="B60" i="8"/>
  <c r="E11" i="9" s="1"/>
  <c r="B61" i="8" l="1"/>
  <c r="E12" i="9" s="1"/>
  <c r="B48" i="8"/>
  <c r="B83" i="8" s="1"/>
  <c r="B41" i="8"/>
  <c r="B82" i="8" s="1"/>
  <c r="B54" i="8" l="1"/>
  <c r="E4" i="9" s="1"/>
  <c r="E7" i="9" l="1"/>
  <c r="D9" i="5"/>
  <c r="D4" i="5" l="1"/>
  <c r="B4" i="5"/>
  <c r="B34" i="8" l="1"/>
  <c r="B52" i="8" s="1"/>
  <c r="B46" i="8" s="1"/>
  <c r="B23" i="8"/>
  <c r="B45" i="8" s="1"/>
  <c r="B39" i="8" s="1"/>
  <c r="B84" i="8" l="1"/>
  <c r="E2" i="9" s="1"/>
  <c r="C2" i="15" s="1"/>
  <c r="B80" i="8"/>
  <c r="B81" i="8" s="1"/>
  <c r="B53" i="8"/>
  <c r="B38" i="8" s="1"/>
  <c r="E3" i="9" s="1"/>
  <c r="B9" i="5"/>
  <c r="B34" i="5"/>
  <c r="B23" i="5"/>
  <c r="E82" i="8" l="1"/>
  <c r="E83" i="8"/>
  <c r="B19" i="4"/>
  <c r="B29" i="4" s="1"/>
  <c r="B14" i="9" l="1"/>
  <c r="B28" i="4"/>
  <c r="B78" i="5"/>
  <c r="B77" i="5"/>
  <c r="B69" i="5"/>
  <c r="B68" i="5"/>
  <c r="B29" i="6" l="1"/>
  <c r="C14" i="9" l="1"/>
  <c r="B3" i="9"/>
  <c r="B28" i="6"/>
  <c r="C3" i="9" s="1"/>
  <c r="B27" i="11"/>
  <c r="C27" i="11" s="1"/>
  <c r="D11" i="12" s="1"/>
  <c r="E3" i="12"/>
  <c r="F27" i="11"/>
  <c r="C29" i="11" l="1"/>
  <c r="D15" i="12" s="1"/>
  <c r="C20" i="11"/>
  <c r="G29" i="11"/>
  <c r="E16" i="12" s="1"/>
  <c r="C16" i="15" s="1"/>
  <c r="G27" i="11"/>
  <c r="E11" i="12" s="1"/>
  <c r="C28" i="11"/>
  <c r="D12" i="12" s="1"/>
  <c r="D14" i="12" l="1"/>
  <c r="C19" i="11"/>
  <c r="D3" i="12" s="1"/>
  <c r="C3" i="15" s="1"/>
  <c r="G28" i="11"/>
  <c r="E12" i="12" s="1"/>
  <c r="C21" i="11"/>
  <c r="D4" i="12" s="1"/>
  <c r="D7" i="12" s="1"/>
  <c r="C14" i="15" l="1"/>
  <c r="G21" i="11"/>
  <c r="E4" i="12" s="1"/>
  <c r="E7" i="12" s="1"/>
  <c r="B27" i="10" l="1"/>
  <c r="C28" i="10" s="1"/>
  <c r="B12" i="12" s="1"/>
  <c r="C16" i="10"/>
  <c r="C14" i="10"/>
  <c r="G12" i="10"/>
  <c r="F19" i="10" s="1"/>
  <c r="G20" i="10" s="1"/>
  <c r="G19" i="10" s="1"/>
  <c r="F27" i="10"/>
  <c r="G29" i="10" s="1"/>
  <c r="C16" i="12" s="1"/>
  <c r="C3" i="12" l="1"/>
  <c r="C27" i="10"/>
  <c r="B11" i="12" s="1"/>
  <c r="B19" i="10"/>
  <c r="C20" i="10" s="1"/>
  <c r="B14" i="12" s="1"/>
  <c r="B14" i="15" s="1"/>
  <c r="G27" i="10"/>
  <c r="C11" i="12" s="1"/>
  <c r="G28" i="10" l="1"/>
  <c r="C12" i="12" s="1"/>
  <c r="C21" i="10"/>
  <c r="B4" i="12" s="1"/>
  <c r="C19" i="10"/>
  <c r="C29" i="10"/>
  <c r="B15" i="12" s="1"/>
  <c r="B7" i="12" l="1"/>
  <c r="B3" i="12"/>
  <c r="G21" i="10"/>
  <c r="B37" i="6"/>
  <c r="B36" i="6"/>
  <c r="C11" i="9" l="1"/>
  <c r="C11" i="15" s="1"/>
  <c r="C12" i="9"/>
  <c r="C12" i="15" s="1"/>
  <c r="F3" i="12"/>
  <c r="C4" i="12"/>
  <c r="F4" i="12" s="1"/>
  <c r="B37" i="4"/>
  <c r="B66" i="5"/>
  <c r="C7" i="15" l="1"/>
  <c r="C4" i="15" s="1"/>
  <c r="B12" i="9"/>
  <c r="B30" i="4"/>
  <c r="C7" i="12"/>
  <c r="B47" i="5"/>
  <c r="B83" i="5" s="1"/>
  <c r="B40" i="5"/>
  <c r="B30" i="6" l="1"/>
  <c r="C4" i="9" l="1"/>
  <c r="C7" i="9" s="1"/>
  <c r="B76" i="5"/>
  <c r="B52" i="5"/>
  <c r="B45" i="5"/>
  <c r="B75" i="5"/>
  <c r="B67" i="5"/>
  <c r="B51" i="5"/>
  <c r="B50" i="5"/>
  <c r="B49" i="5"/>
  <c r="B48" i="5" s="1"/>
  <c r="B24" i="6"/>
  <c r="B24" i="4"/>
  <c r="B44" i="5"/>
  <c r="B42" i="5"/>
  <c r="B43" i="5"/>
  <c r="B79" i="5" l="1"/>
  <c r="D17" i="9" s="1"/>
  <c r="B17" i="15" s="1"/>
  <c r="B71" i="5"/>
  <c r="B46" i="5"/>
  <c r="B41" i="5"/>
  <c r="B82" i="5" s="1"/>
  <c r="B38" i="6"/>
  <c r="B38" i="4"/>
  <c r="B15" i="9" s="1"/>
  <c r="B15" i="15" s="1"/>
  <c r="B4" i="9"/>
  <c r="B70" i="5"/>
  <c r="D16" i="9" s="1"/>
  <c r="B16" i="15" s="1"/>
  <c r="B62" i="5"/>
  <c r="C15" i="9" l="1"/>
  <c r="C15" i="15" s="1"/>
  <c r="B7" i="9"/>
  <c r="B60" i="5"/>
  <c r="B39" i="5"/>
  <c r="B84" i="5" l="1"/>
  <c r="D2" i="9" s="1"/>
  <c r="B80" i="5"/>
  <c r="B81" i="5" s="1"/>
  <c r="B61" i="5"/>
  <c r="D12" i="9" s="1"/>
  <c r="B12" i="15" s="1"/>
  <c r="D11" i="9"/>
  <c r="B11" i="15" s="1"/>
  <c r="B53" i="5"/>
  <c r="B38" i="5" l="1"/>
  <c r="D3" i="9" s="1"/>
  <c r="F2" i="9"/>
  <c r="G2" i="9" s="1"/>
  <c r="B2" i="15"/>
  <c r="D2" i="15" s="1"/>
  <c r="B7" i="15"/>
  <c r="B4" i="15" s="1"/>
  <c r="D4" i="15" s="1"/>
  <c r="B54" i="5"/>
  <c r="D4" i="9" s="1"/>
  <c r="E83" i="5" l="1"/>
  <c r="B3" i="15"/>
  <c r="D3" i="15" s="1"/>
  <c r="F3" i="9"/>
  <c r="E82" i="5"/>
  <c r="D7" i="9"/>
  <c r="F4" i="9"/>
  <c r="G4" i="9" s="1"/>
  <c r="G2" i="12" l="1"/>
  <c r="G3" i="9"/>
  <c r="B2" i="13"/>
  <c r="F2" i="13" s="1"/>
  <c r="G3" i="12" l="1"/>
  <c r="G4" i="12"/>
  <c r="B4" i="13"/>
  <c r="F4" i="13" s="1"/>
  <c r="B3" i="13"/>
  <c r="F3" i="13" s="1"/>
  <c r="D2" i="13"/>
  <c r="I7" i="13" l="1"/>
  <c r="I6" i="13"/>
  <c r="D4" i="13"/>
  <c r="D3" i="13"/>
  <c r="G5" i="13"/>
  <c r="I3" i="13" l="1"/>
  <c r="I5" i="13" s="1"/>
</calcChain>
</file>

<file path=xl/comments1.xml><?xml version="1.0" encoding="utf-8"?>
<comments xmlns="http://schemas.openxmlformats.org/spreadsheetml/2006/main">
  <authors>
    <author>Author</author>
  </authors>
  <commentList>
    <comment ref="F11" authorId="0" shapeId="0">
      <text>
        <r>
          <rPr>
            <sz val="9"/>
            <color indexed="81"/>
            <rFont val="Tahoma"/>
            <family val="2"/>
            <charset val="204"/>
          </rPr>
          <t xml:space="preserve">This is for detault installation. It will be increased based on client data dumps. 
</t>
        </r>
      </text>
    </comment>
    <comment ref="C12" authorId="0" shapeId="0">
      <text>
        <r>
          <rPr>
            <sz val="9"/>
            <color indexed="81"/>
            <rFont val="Tahoma"/>
            <family val="2"/>
            <charset val="204"/>
          </rPr>
          <t xml:space="preserve">Only RB : </t>
        </r>
        <r>
          <rPr>
            <b/>
            <sz val="9"/>
            <color indexed="81"/>
            <rFont val="Tahoma"/>
            <family val="2"/>
            <charset val="204"/>
          </rPr>
          <t xml:space="preserve">1GB
</t>
        </r>
        <r>
          <rPr>
            <sz val="9"/>
            <color indexed="81"/>
            <rFont val="Tahoma"/>
            <family val="2"/>
            <charset val="204"/>
          </rPr>
          <t xml:space="preserve">RB + ECA (Weblogic/JBOSS) : </t>
        </r>
        <r>
          <rPr>
            <b/>
            <sz val="9"/>
            <color indexed="81"/>
            <rFont val="Tahoma"/>
            <family val="2"/>
            <charset val="204"/>
          </rPr>
          <t>2GB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1" authorId="0" shapeId="0">
      <text>
        <r>
          <rPr>
            <sz val="9"/>
            <color indexed="81"/>
            <rFont val="Tahoma"/>
            <family val="2"/>
            <charset val="204"/>
          </rPr>
          <t xml:space="preserve">This is for detault installation. It will be increased based on client data dumps. 
</t>
        </r>
      </text>
    </comment>
    <comment ref="C12" authorId="0" shapeId="0">
      <text>
        <r>
          <rPr>
            <sz val="9"/>
            <color indexed="81"/>
            <rFont val="Tahoma"/>
            <family val="2"/>
            <charset val="204"/>
          </rPr>
          <t xml:space="preserve">Only RB : </t>
        </r>
        <r>
          <rPr>
            <b/>
            <sz val="9"/>
            <color indexed="81"/>
            <rFont val="Tahoma"/>
            <family val="2"/>
            <charset val="204"/>
          </rPr>
          <t xml:space="preserve">1GB
</t>
        </r>
        <r>
          <rPr>
            <sz val="9"/>
            <color indexed="81"/>
            <rFont val="Tahoma"/>
            <family val="2"/>
            <charset val="204"/>
          </rPr>
          <t xml:space="preserve">RB + ECA (Weblogic/JBOSS) : </t>
        </r>
        <r>
          <rPr>
            <b/>
            <sz val="9"/>
            <color indexed="81"/>
            <rFont val="Tahoma"/>
            <family val="2"/>
            <charset val="204"/>
          </rPr>
          <t>2GB</t>
        </r>
      </text>
    </comment>
  </commentList>
</comments>
</file>

<file path=xl/sharedStrings.xml><?xml version="1.0" encoding="utf-8"?>
<sst xmlns="http://schemas.openxmlformats.org/spreadsheetml/2006/main" count="675" uniqueCount="231">
  <si>
    <t>Cost</t>
  </si>
  <si>
    <t>RAM, GB</t>
  </si>
  <si>
    <t>Total</t>
  </si>
  <si>
    <t>Value</t>
  </si>
  <si>
    <t>Server RAM required</t>
  </si>
  <si>
    <t>/boot</t>
  </si>
  <si>
    <t>/</t>
  </si>
  <si>
    <t>Disk Layout</t>
  </si>
  <si>
    <t>/u01</t>
  </si>
  <si>
    <t>/u02</t>
  </si>
  <si>
    <t>Comment</t>
  </si>
  <si>
    <t>/home</t>
  </si>
  <si>
    <t>swap</t>
  </si>
  <si>
    <t>or</t>
  </si>
  <si>
    <t>Tables and Indexes</t>
  </si>
  <si>
    <t>/ub01</t>
  </si>
  <si>
    <t>system</t>
  </si>
  <si>
    <t>sysaux</t>
  </si>
  <si>
    <t>NC_DATA</t>
  </si>
  <si>
    <t>NC_INDEXES</t>
  </si>
  <si>
    <t>UNDO</t>
  </si>
  <si>
    <t>NC_TEMP</t>
  </si>
  <si>
    <t>tools</t>
  </si>
  <si>
    <t>StatsPack</t>
  </si>
  <si>
    <t>Ram value for NMS</t>
  </si>
  <si>
    <t>Disk space for NMS</t>
  </si>
  <si>
    <t>Parameter</t>
  </si>
  <si>
    <t>Property</t>
  </si>
  <si>
    <t>Node Manager Xmx</t>
  </si>
  <si>
    <t>RAM Contingency (%)</t>
  </si>
  <si>
    <t>Disk Contingency (%)</t>
  </si>
  <si>
    <t>RAM for OS and services, GB</t>
  </si>
  <si>
    <t>NM Xmx, GB</t>
  </si>
  <si>
    <t>NM PermGen, GB</t>
  </si>
  <si>
    <t>Require dedicated NM</t>
  </si>
  <si>
    <t>NO</t>
  </si>
  <si>
    <t>TS Contingency (%)</t>
  </si>
  <si>
    <t>BufferCache to segments ratio</t>
  </si>
  <si>
    <t>Buffer Cache, GB</t>
  </si>
  <si>
    <t>Shared Pool, GB</t>
  </si>
  <si>
    <t>Other Pools, GB</t>
  </si>
  <si>
    <t>Shared Code, GB</t>
  </si>
  <si>
    <t>Inst Private mem, GB</t>
  </si>
  <si>
    <t>Session Private Memory, GB</t>
  </si>
  <si>
    <t>Workarea and backups</t>
  </si>
  <si>
    <t>Of total disk space</t>
  </si>
  <si>
    <t>NC_INDEXES/(NC_DATA+NC_INDEXES)</t>
  </si>
  <si>
    <t>Name</t>
  </si>
  <si>
    <t>Version</t>
  </si>
  <si>
    <t>Change log</t>
  </si>
  <si>
    <t>Server Calculator</t>
  </si>
  <si>
    <t>1.0</t>
  </si>
  <si>
    <t>Author</t>
  </si>
  <si>
    <t>Date</t>
  </si>
  <si>
    <t>What</t>
  </si>
  <si>
    <t>Andrey Kozlov</t>
  </si>
  <si>
    <t>Initial release
Constants are collocated in grey tables.</t>
  </si>
  <si>
    <t>About</t>
  </si>
  <si>
    <t>Server calculator is aimed to calculate required servers parameters based on the instance parameters and count. It implements the environment calculation practices for TOMS product.</t>
  </si>
  <si>
    <t>Contingency are excluded from values for NMS.</t>
  </si>
  <si>
    <t>Avg Schema Size (ODB), GB</t>
  </si>
  <si>
    <t>Total user segment size (ODB), GB</t>
  </si>
  <si>
    <t>Number of sessions (ODB)</t>
  </si>
  <si>
    <t>Avg Schema Size (RDB), GB</t>
  </si>
  <si>
    <t>Total user segment size (RDB), GB</t>
  </si>
  <si>
    <t>Number of sessions (RDB)</t>
  </si>
  <si>
    <t>Tablespaces (ODB)</t>
  </si>
  <si>
    <t>Tablespaces (RDB)</t>
  </si>
  <si>
    <t>DB Segments Size for NMS (RDB)</t>
  </si>
  <si>
    <t>DB Segments Size for NMS (ODB)</t>
  </si>
  <si>
    <t>RAM for ODB</t>
  </si>
  <si>
    <t>RAM for RDB</t>
  </si>
  <si>
    <t>1.1</t>
  </si>
  <si>
    <t>1.2</t>
  </si>
  <si>
    <t>RDB Instance. Value for NMS contains contingency</t>
  </si>
  <si>
    <t>1.3</t>
  </si>
  <si>
    <t>devapp###</t>
  </si>
  <si>
    <t>qaapp###</t>
  </si>
  <si>
    <t>db###</t>
  </si>
  <si>
    <t>qadb###</t>
  </si>
  <si>
    <t>Total tab. DB ram is 0 when NC_DATA size is 0.</t>
  </si>
  <si>
    <t>Number of standalone instances</t>
  </si>
  <si>
    <t>Number of concurrent standalone instances</t>
  </si>
  <si>
    <t>Number of cluster instances</t>
  </si>
  <si>
    <t>Number of concurrent cluster instances</t>
  </si>
  <si>
    <t>Number of managed nodes per cluster instance</t>
  </si>
  <si>
    <t>1.4</t>
  </si>
  <si>
    <t>Alexander Sitnik</t>
  </si>
  <si>
    <t>Separate fields for standalone and cluster instances, db session are calculated automatically</t>
  </si>
  <si>
    <t>Standalone Xmx, GB</t>
  </si>
  <si>
    <t>Standalone PermGen, GB</t>
  </si>
  <si>
    <t>Cluster admin node PermGen, GB</t>
  </si>
  <si>
    <t>Cluster admin node Xmx, GB</t>
  </si>
  <si>
    <t>Node Manager PermGen</t>
  </si>
  <si>
    <t>1.5</t>
  </si>
  <si>
    <t>Add example values for Xms and PermGem parameters from TOMS 9 etalon, raise SWAP size to 8GB</t>
  </si>
  <si>
    <t>Data FS reserved space</t>
  </si>
  <si>
    <t>Tables and Indexes. TOMS 9.4 Etalon Generic: 2GB</t>
  </si>
  <si>
    <t>1.6</t>
  </si>
  <si>
    <t>IT Workarea (% of instance size sum)</t>
  </si>
  <si>
    <t>3rd aprty apps</t>
  </si>
  <si>
    <t>app instances</t>
  </si>
  <si>
    <t>it workarea/backup</t>
  </si>
  <si>
    <t>separate workarea partition for ***app
swap 4GB
Sum RAM and Sum Disk =0 when no instances assigned per server</t>
  </si>
  <si>
    <t>1.7</t>
  </si>
  <si>
    <t>Application summary disk size not include ub01 error fixed</t>
  </si>
  <si>
    <t>1.8</t>
  </si>
  <si>
    <t>Buffer Cache calculation depends on number of concurrent instances if only "Total user segments size" was specified</t>
  </si>
  <si>
    <t>1.9</t>
  </si>
  <si>
    <t>Sergey Galaktionov</t>
  </si>
  <si>
    <t>Maximum size of NC_TEMP and UNDO is limited to 100 GB, increase in case of very big tables / indexes
Size of /boot is 0 for VM and 0,25 for HW server
Set decimal places for calculated RAM and FS sizes to 0, check 'Set precision as displayed' in Options-Advanced</t>
  </si>
  <si>
    <t>0 for VM; 0,25 for HW server</t>
  </si>
  <si>
    <t>Limited to 100 GB, increase in case of very big tables / indexes</t>
  </si>
  <si>
    <t>Avg NETCRACKER_HOME size, GB</t>
  </si>
  <si>
    <t>Total Application Home size, GB</t>
  </si>
  <si>
    <t>2.0</t>
  </si>
  <si>
    <t>Application</t>
  </si>
  <si>
    <t>Inst num</t>
  </si>
  <si>
    <t>Disk space, GB</t>
  </si>
  <si>
    <t>Oracle schema size, GB</t>
  </si>
  <si>
    <t>Oracle SID size, GB</t>
  </si>
  <si>
    <t>Oracle SID RAM, GB</t>
  </si>
  <si>
    <t>RBM</t>
  </si>
  <si>
    <t>not applicable</t>
  </si>
  <si>
    <t>Collections Manager</t>
  </si>
  <si>
    <t>included in RBM SID</t>
  </si>
  <si>
    <t xml:space="preserve">Active Mediation </t>
  </si>
  <si>
    <t>300 MB</t>
  </si>
  <si>
    <t>App server</t>
  </si>
  <si>
    <t>Raw, GB</t>
  </si>
  <si>
    <t>Raw+Contigency, GB</t>
  </si>
  <si>
    <t>DB Server</t>
  </si>
  <si>
    <t>Swap</t>
  </si>
  <si>
    <t>RAM value for NMS</t>
  </si>
  <si>
    <t>rbm-devapp###</t>
  </si>
  <si>
    <t>rbm-db###</t>
  </si>
  <si>
    <t>Total RBM</t>
  </si>
  <si>
    <t>Total TOMS</t>
  </si>
  <si>
    <t>rbm-qaapp###</t>
  </si>
  <si>
    <t>rbm-qadb###</t>
  </si>
  <si>
    <t>Data FS reserved space + Contingency</t>
  </si>
  <si>
    <r>
      <t xml:space="preserve">DB Segments Size for NMS </t>
    </r>
    <r>
      <rPr>
        <b/>
        <sz val="11"/>
        <color theme="2"/>
        <rFont val="Calibri"/>
        <family val="2"/>
        <charset val="204"/>
        <scheme val="minor"/>
      </rPr>
      <t>(ODB)</t>
    </r>
  </si>
  <si>
    <t>Values for CMS order</t>
  </si>
  <si>
    <t>RAM Contingency</t>
  </si>
  <si>
    <t>Session Contingency (%)</t>
  </si>
  <si>
    <t>2.1</t>
  </si>
  <si>
    <t>Shared Pool to SGA ratio</t>
  </si>
  <si>
    <t>32 + 64 +10 (java pool + large pool + log buffer)</t>
  </si>
  <si>
    <t>Max. limited to 1536 MB</t>
  </si>
  <si>
    <r>
      <t xml:space="preserve">Add Total Application Home size for devapp/qaapp
Changes in calculating NC_TEMP and UNDO: 
 - Total user segment size is devided by total amount of instances
 - </t>
    </r>
    <r>
      <rPr>
        <strike/>
        <sz val="11"/>
        <color theme="1"/>
        <rFont val="Calibri"/>
        <family val="2"/>
        <charset val="204"/>
        <scheme val="minor"/>
      </rPr>
      <t>Additional factor 0,5</t>
    </r>
    <r>
      <rPr>
        <sz val="11"/>
        <color theme="1"/>
        <rFont val="Calibri"/>
        <family val="2"/>
        <scheme val="minor"/>
      </rPr>
      <t xml:space="preserve"> (revoked)
1% Data FS reserved space for /u* file systems
Add RBM+CM+AM calculator (based on the calculator by Alexander Sitnik)
Values for NMS added to the Total sheet</t>
    </r>
  </si>
  <si>
    <t>Use Huge Pages</t>
  </si>
  <si>
    <t>Calculate db server, considering the use of Huge Pages</t>
  </si>
  <si>
    <t>YES</t>
  </si>
  <si>
    <t>4% with Huge Pages, 3% without</t>
  </si>
  <si>
    <t>Huge Pages</t>
  </si>
  <si>
    <t>memlock, kB</t>
  </si>
  <si>
    <t>SGA size for ODB</t>
  </si>
  <si>
    <t>SGA size for RDB</t>
  </si>
  <si>
    <t>Limit</t>
  </si>
  <si>
    <t>1/3 (like in create_ora_sid), max. limited to 1536 MB</t>
  </si>
  <si>
    <t>20% with Huge Pages (max. limited to 8 GB), 30% without</t>
  </si>
  <si>
    <t>Multiplied by the number of DBs</t>
  </si>
  <si>
    <t>Number of DBs</t>
  </si>
  <si>
    <t>Parameter (ODB)</t>
  </si>
  <si>
    <t>Parameter (RDB)</t>
  </si>
  <si>
    <r>
      <rPr>
        <sz val="11"/>
        <color rgb="FFFF0000"/>
        <rFont val="Calibri"/>
        <family val="2"/>
        <charset val="204"/>
        <scheme val="minor"/>
      </rPr>
      <t>6+10+1</t>
    </r>
    <r>
      <rPr>
        <sz val="11"/>
        <color theme="1"/>
        <rFont val="Calibri"/>
        <family val="2"/>
        <charset val="204"/>
        <scheme val="minor"/>
      </rPr>
      <t xml:space="preserve"> per instance for Standalone inst w/o RBD/HDS/KPI
6+N*(</t>
    </r>
    <r>
      <rPr>
        <sz val="11"/>
        <color rgb="FFFF0000"/>
        <rFont val="Calibri"/>
        <family val="2"/>
        <charset val="204"/>
        <scheme val="minor"/>
      </rPr>
      <t>6+10+1</t>
    </r>
    <r>
      <rPr>
        <sz val="11"/>
        <color theme="1"/>
        <rFont val="Calibri"/>
        <family val="2"/>
        <charset val="204"/>
        <scheme val="minor"/>
      </rPr>
      <t xml:space="preserve">) per instance for Clustered inst w/o RBD/HDS/KPI. N stands for number of managed servers. </t>
    </r>
    <r>
      <rPr>
        <sz val="11"/>
        <color rgb="FFFF0000"/>
        <rFont val="Calibri"/>
        <family val="2"/>
        <charset val="204"/>
        <scheme val="minor"/>
      </rPr>
      <t>Plus Contingency.</t>
    </r>
    <r>
      <rPr>
        <sz val="11"/>
        <color theme="1"/>
        <rFont val="Calibri"/>
        <family val="2"/>
        <charset val="204"/>
        <scheme val="minor"/>
      </rPr>
      <t xml:space="preserve">
Plus 42 for internal Oracle processes and job queue.</t>
    </r>
  </si>
  <si>
    <t>Required number of Huge Pages, Hugepagesize 2048 kB</t>
  </si>
  <si>
    <t>SGA / RAM ratio</t>
  </si>
  <si>
    <t>Calculate for the specified number of identical databases</t>
  </si>
  <si>
    <t>Changes in calculating db server for TOMS, including the use of Huge Pages:
- Huge Pages switch: YES / NO
- RAM contingency: 20%, limited to 8 GB, with the use of Huge Pages; 30 % without Huge Pages
- BufferCache to segments ratio: 4% with the use of Huge Pages; 3 % without Huge Pages
- Shared Pool size: 1/3 from SGA, limited to 1536 MB (like in create_ora_sid)
- Number of sessions is calculated based on initial-capacity plus contingency (instead of max-capacity)
- New 'Number of DBs' parameter for RDB - to calculate several identical databases</t>
  </si>
  <si>
    <t>Memlock value in /etc/security/limits.conf</t>
  </si>
  <si>
    <t>200 MB</t>
  </si>
  <si>
    <t>5 GB</t>
  </si>
  <si>
    <t>of them concurrent</t>
  </si>
  <si>
    <t>2.2</t>
  </si>
  <si>
    <t>Shanthi Muthu Srinivasan</t>
  </si>
  <si>
    <t>RBM sizing changes:
- RBM instance needs 20 GB disk space
- RBM instance needs 1GB RAM for only RB, 2GB RAM for RB + ECA (Weblogic/JBOSS)
- Oracle SID size is about 10 GB
- Default Oracle schema size for Collection Manager is 200 MB</t>
  </si>
  <si>
    <t>TOMS 9.0 Etalon: 1024M, TOMS 10.x: 2048M</t>
  </si>
  <si>
    <t>TOMS 9.0 Etalon: 384M, TOMS 10.x: 512M</t>
  </si>
  <si>
    <t>SCSI disk:</t>
  </si>
  <si>
    <t>Average value incl. space for logs</t>
  </si>
  <si>
    <t>Cluster Managed Node Xmx, GB</t>
  </si>
  <si>
    <t>Cluster Managed Node PermGen, GB</t>
  </si>
  <si>
    <t>TOMS Etalon: 384M</t>
  </si>
  <si>
    <t>TOMS Etalon: 1024M (usually 512M is enough)</t>
  </si>
  <si>
    <t>CPU</t>
  </si>
  <si>
    <t>by default</t>
  </si>
  <si>
    <t>4 by default</t>
  </si>
  <si>
    <t>vCPU oversub</t>
  </si>
  <si>
    <t>% Precision</t>
  </si>
  <si>
    <t>HDD, GB</t>
  </si>
  <si>
    <t>VM type</t>
  </si>
  <si>
    <t>VM Quantity</t>
  </si>
  <si>
    <t>2.3</t>
  </si>
  <si>
    <t>Several small changes:
- RBM instance needs 10 GB disk space
- default contingencies for RBM
- scsi disk size on Total sheets
- calculate % of resources and cost</t>
  </si>
  <si>
    <t>VM Qty</t>
  </si>
  <si>
    <t>dedicated VM</t>
  </si>
  <si>
    <t>dedicated QAVM</t>
  </si>
  <si>
    <t>Total dedicated</t>
  </si>
  <si>
    <t>2.4</t>
  </si>
  <si>
    <t>2.5</t>
  </si>
  <si>
    <t>Added:
- 'Dedicated VM' sheet to calculate dedicated VM having TOMS &amp; RBM applications with databases
- 'Calc' sheet protected
- 'Total' sheet calculates resources in the sequence: 
  1) dedicated VM, if quantity is zero then
  2) VM stand, if quantity is zero then
  3) TOMS and RBM like before</t>
  </si>
  <si>
    <t>Added:
- amount of vCPU, 4 by default
- amount of VMs on Total sheets: VM Quantity
- 'Calc' sheet to calculate % of resources and cost (can change vCPU oversubscription and precision)
- 'VM stand' sheet to specify a stand of VMs with their parameters</t>
  </si>
  <si>
    <t>2.6</t>
  </si>
  <si>
    <t>% hyperv_farm</t>
  </si>
  <si>
    <t>std_hyperv</t>
  </si>
  <si>
    <t>% std_hyperv</t>
  </si>
  <si>
    <t>hyperv_farm</t>
  </si>
  <si>
    <t>Changed cost calculation based on Hyperv farm capacity and price</t>
  </si>
  <si>
    <t>Capex/month</t>
  </si>
  <si>
    <t>Open/month</t>
  </si>
  <si>
    <t>ITD</t>
  </si>
  <si>
    <t>MANO</t>
  </si>
  <si>
    <t>Opex/month</t>
  </si>
  <si>
    <t>Environment type</t>
  </si>
  <si>
    <t>2.7</t>
  </si>
  <si>
    <t>CPU w/o oversub</t>
  </si>
  <si>
    <t>Split Hyperv farm into 2 separate environment types with different capacity and cost:
- ITD (for TOMS/RBM), with CPU oversubscription = 3.5
- MANO OpenShift, with CPU oversubscription = 1
Changes in calculating db server for TOMS:
- BufferCache to segments ratio: 5% with the use of Huge Pages; 3 % without Huge Pages</t>
  </si>
  <si>
    <t>2.8</t>
  </si>
  <si>
    <t>Changed formulas in 'VM stand' sheet to calculate Totals with regard of hidden and filtered out rows</t>
  </si>
  <si>
    <t>2.9</t>
  </si>
  <si>
    <t>Updated capacity and cost of Hyperv farms:
- ITD (for TOMS/RBM), with CPU oversubscription = 3 (changed from 3.5 !)
- MANO OpenShift, with CPU oversubscription = 1</t>
  </si>
  <si>
    <t>3.0</t>
  </si>
  <si>
    <t>Months:</t>
  </si>
  <si>
    <t>Cost/month:</t>
  </si>
  <si>
    <t>Cost:</t>
  </si>
  <si>
    <t>Cost*lifetime</t>
  </si>
  <si>
    <t>Added cost calculation based on Capex, Opex and lifetime (not active now)</t>
  </si>
  <si>
    <t>3.1</t>
  </si>
  <si>
    <t>Increased resources ratio % precision to 6 digits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</si>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</sst>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;@"/>
    <numFmt numFmtId="165" formatCode="[$$-409]#,##0"/>
    <numFmt numFmtId="166" formatCode="0.000%"/>
    <numFmt numFmtId="167" formatCode="0.000"/>
    <numFmt numFmtId="168" formatCode="[$$-409]#,##0.000"/>
    <numFmt numFmtId="169" formatCode="0.000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9" tint="0.7999816888943144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7">
    <xf numFmtId="0" fontId="0" fillId="0" borderId="0"/>
    <xf numFmtId="0" fontId="10" fillId="0" borderId="0"/>
    <xf numFmtId="0" fontId="16" fillId="3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4" borderId="0" applyNumberFormat="0" applyBorder="0" applyAlignment="0" applyProtection="0"/>
    <xf numFmtId="9" fontId="10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11" fillId="0" borderId="0" xfId="0" applyFont="1"/>
    <xf numFmtId="0" fontId="0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2" fontId="0" fillId="0" borderId="0" xfId="0" applyNumberFormat="1"/>
    <xf numFmtId="9" fontId="0" fillId="0" borderId="0" xfId="0" applyNumberFormat="1"/>
    <xf numFmtId="2" fontId="0" fillId="0" borderId="0" xfId="0" applyNumberFormat="1" applyFont="1"/>
    <xf numFmtId="1" fontId="11" fillId="0" borderId="0" xfId="0" applyNumberFormat="1" applyFont="1"/>
    <xf numFmtId="164" fontId="0" fillId="0" borderId="0" xfId="0" applyNumberFormat="1"/>
    <xf numFmtId="0" fontId="0" fillId="0" borderId="0" xfId="0" applyFont="1" applyAlignment="1">
      <alignment horizontal="left" indent="2"/>
    </xf>
    <xf numFmtId="49" fontId="0" fillId="0" borderId="0" xfId="0" applyNumberFormat="1"/>
    <xf numFmtId="49" fontId="11" fillId="0" borderId="0" xfId="0" applyNumberFormat="1" applyFont="1"/>
    <xf numFmtId="1" fontId="0" fillId="0" borderId="0" xfId="0" applyNumberFormat="1"/>
    <xf numFmtId="0" fontId="0" fillId="0" borderId="0" xfId="0" applyAlignment="1"/>
    <xf numFmtId="0" fontId="13" fillId="0" borderId="0" xfId="0" applyFont="1"/>
    <xf numFmtId="2" fontId="14" fillId="0" borderId="0" xfId="0" applyNumberFormat="1" applyFont="1"/>
    <xf numFmtId="0" fontId="9" fillId="0" borderId="0" xfId="3"/>
    <xf numFmtId="0" fontId="9" fillId="0" borderId="1" xfId="3" applyBorder="1" applyAlignment="1">
      <alignment wrapText="1"/>
    </xf>
    <xf numFmtId="0" fontId="9" fillId="0" borderId="1" xfId="3" applyBorder="1"/>
    <xf numFmtId="0" fontId="9" fillId="0" borderId="1" xfId="3" applyBorder="1" applyAlignment="1"/>
    <xf numFmtId="9" fontId="0" fillId="0" borderId="1" xfId="4" applyFont="1" applyBorder="1"/>
    <xf numFmtId="0" fontId="9" fillId="0" borderId="2" xfId="3" applyBorder="1" applyAlignment="1">
      <alignment wrapText="1"/>
    </xf>
    <xf numFmtId="9" fontId="0" fillId="0" borderId="2" xfId="4" applyFont="1" applyBorder="1"/>
    <xf numFmtId="0" fontId="9" fillId="0" borderId="2" xfId="3" applyBorder="1"/>
    <xf numFmtId="0" fontId="14" fillId="0" borderId="3" xfId="3" applyFont="1" applyBorder="1"/>
    <xf numFmtId="0" fontId="14" fillId="0" borderId="4" xfId="3" applyFont="1" applyBorder="1"/>
    <xf numFmtId="0" fontId="14" fillId="0" borderId="5" xfId="3" applyFont="1" applyBorder="1"/>
    <xf numFmtId="0" fontId="9" fillId="0" borderId="6" xfId="3" applyBorder="1"/>
    <xf numFmtId="0" fontId="17" fillId="0" borderId="1" xfId="3" applyFont="1" applyBorder="1"/>
    <xf numFmtId="0" fontId="9" fillId="0" borderId="7" xfId="3" applyBorder="1"/>
    <xf numFmtId="0" fontId="9" fillId="0" borderId="6" xfId="3" applyBorder="1" applyAlignment="1">
      <alignment horizontal="left" indent="1"/>
    </xf>
    <xf numFmtId="0" fontId="15" fillId="0" borderId="1" xfId="3" applyFont="1" applyBorder="1"/>
    <xf numFmtId="0" fontId="15" fillId="0" borderId="2" xfId="3" applyFont="1" applyBorder="1"/>
    <xf numFmtId="0" fontId="9" fillId="0" borderId="9" xfId="3" applyBorder="1"/>
    <xf numFmtId="0" fontId="14" fillId="0" borderId="6" xfId="3" applyFont="1" applyBorder="1"/>
    <xf numFmtId="0" fontId="14" fillId="0" borderId="1" xfId="3" applyFont="1" applyBorder="1"/>
    <xf numFmtId="0" fontId="14" fillId="0" borderId="7" xfId="3" applyFont="1" applyBorder="1"/>
    <xf numFmtId="0" fontId="14" fillId="0" borderId="6" xfId="3" applyFont="1" applyFill="1" applyBorder="1"/>
    <xf numFmtId="0" fontId="14" fillId="0" borderId="2" xfId="3" applyFont="1" applyBorder="1"/>
    <xf numFmtId="0" fontId="18" fillId="0" borderId="9" xfId="3" applyFont="1" applyBorder="1"/>
    <xf numFmtId="0" fontId="14" fillId="0" borderId="9" xfId="3" applyFont="1" applyBorder="1"/>
    <xf numFmtId="0" fontId="14" fillId="0" borderId="8" xfId="3" applyFont="1" applyFill="1" applyBorder="1" applyAlignment="1">
      <alignment horizontal="left" indent="1"/>
    </xf>
    <xf numFmtId="0" fontId="14" fillId="0" borderId="6" xfId="3" applyFont="1" applyBorder="1" applyAlignment="1">
      <alignment horizontal="left" indent="1"/>
    </xf>
    <xf numFmtId="0" fontId="9" fillId="0" borderId="1" xfId="3" applyBorder="1" applyAlignment="1">
      <alignment horizontal="right"/>
    </xf>
    <xf numFmtId="0" fontId="9" fillId="0" borderId="1" xfId="3" applyFont="1" applyBorder="1"/>
    <xf numFmtId="1" fontId="14" fillId="0" borderId="0" xfId="0" applyNumberFormat="1" applyFont="1"/>
    <xf numFmtId="0" fontId="16" fillId="3" borderId="0" xfId="2"/>
    <xf numFmtId="0" fontId="8" fillId="0" borderId="1" xfId="3" applyFont="1" applyBorder="1" applyAlignment="1">
      <alignment wrapText="1"/>
    </xf>
    <xf numFmtId="0" fontId="7" fillId="0" borderId="0" xfId="0" applyFont="1" applyAlignment="1">
      <alignment horizontal="left" indent="1"/>
    </xf>
    <xf numFmtId="1" fontId="16" fillId="4" borderId="0" xfId="5" applyNumberFormat="1"/>
    <xf numFmtId="0" fontId="19" fillId="4" borderId="0" xfId="5" applyFont="1"/>
    <xf numFmtId="9" fontId="0" fillId="0" borderId="0" xfId="6" applyFont="1"/>
    <xf numFmtId="0" fontId="22" fillId="0" borderId="0" xfId="0" applyFont="1"/>
    <xf numFmtId="0" fontId="6" fillId="0" borderId="0" xfId="0" applyFont="1"/>
    <xf numFmtId="0" fontId="0" fillId="0" borderId="0" xfId="0" quotePrefix="1"/>
    <xf numFmtId="9" fontId="22" fillId="0" borderId="0" xfId="6" applyFont="1"/>
    <xf numFmtId="0" fontId="0" fillId="0" borderId="0" xfId="0" applyNumberFormat="1" applyAlignment="1"/>
    <xf numFmtId="3" fontId="11" fillId="0" borderId="0" xfId="0" applyNumberFormat="1" applyFont="1"/>
    <xf numFmtId="0" fontId="23" fillId="0" borderId="0" xfId="0" applyFont="1"/>
    <xf numFmtId="2" fontId="23" fillId="0" borderId="0" xfId="0" applyNumberFormat="1" applyFont="1"/>
    <xf numFmtId="0" fontId="24" fillId="0" borderId="0" xfId="0" applyFont="1" applyAlignment="1">
      <alignment horizontal="left" indent="1"/>
    </xf>
    <xf numFmtId="1" fontId="24" fillId="0" borderId="0" xfId="0" applyNumberFormat="1" applyFont="1"/>
    <xf numFmtId="2" fontId="5" fillId="0" borderId="0" xfId="0" applyNumberFormat="1" applyFont="1"/>
    <xf numFmtId="0" fontId="4" fillId="0" borderId="0" xfId="0" applyFont="1" applyAlignment="1">
      <alignment wrapText="1"/>
    </xf>
    <xf numFmtId="0" fontId="23" fillId="0" borderId="0" xfId="0" quotePrefix="1" applyFont="1"/>
    <xf numFmtId="0" fontId="25" fillId="0" borderId="0" xfId="0" applyFont="1"/>
    <xf numFmtId="3" fontId="25" fillId="0" borderId="0" xfId="0" applyNumberFormat="1" applyFont="1" applyAlignment="1">
      <alignment horizontal="right"/>
    </xf>
    <xf numFmtId="3" fontId="17" fillId="0" borderId="0" xfId="0" applyNumberFormat="1" applyFont="1" applyAlignment="1">
      <alignment horizontal="right"/>
    </xf>
    <xf numFmtId="0" fontId="5" fillId="0" borderId="0" xfId="0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8" fillId="0" borderId="0" xfId="0" applyNumberFormat="1" applyFont="1"/>
    <xf numFmtId="0" fontId="18" fillId="0" borderId="0" xfId="0" applyFont="1"/>
    <xf numFmtId="0" fontId="3" fillId="0" borderId="1" xfId="3" applyFont="1" applyBorder="1"/>
    <xf numFmtId="2" fontId="9" fillId="0" borderId="1" xfId="3" applyNumberFormat="1" applyBorder="1"/>
    <xf numFmtId="2" fontId="9" fillId="0" borderId="7" xfId="3" applyNumberFormat="1" applyBorder="1"/>
    <xf numFmtId="0" fontId="3" fillId="0" borderId="6" xfId="3" applyFont="1" applyBorder="1" applyAlignment="1">
      <alignment horizontal="left" indent="1"/>
    </xf>
    <xf numFmtId="0" fontId="14" fillId="0" borderId="0" xfId="0" applyFont="1" applyAlignment="1">
      <alignment horizontal="left" indent="1"/>
    </xf>
    <xf numFmtId="9" fontId="22" fillId="0" borderId="1" xfId="4" applyFont="1" applyBorder="1"/>
    <xf numFmtId="0" fontId="29" fillId="0" borderId="0" xfId="0" applyFont="1"/>
    <xf numFmtId="0" fontId="30" fillId="0" borderId="1" xfId="3" applyFont="1" applyBorder="1"/>
    <xf numFmtId="0" fontId="2" fillId="0" borderId="1" xfId="3" applyFont="1" applyBorder="1" applyAlignment="1">
      <alignment wrapText="1"/>
    </xf>
    <xf numFmtId="0" fontId="0" fillId="0" borderId="0" xfId="0" applyProtection="1">
      <protection hidden="1"/>
    </xf>
    <xf numFmtId="165" fontId="0" fillId="0" borderId="0" xfId="0" applyNumberFormat="1" applyProtection="1">
      <protection hidden="1"/>
    </xf>
    <xf numFmtId="0" fontId="28" fillId="0" borderId="9" xfId="3" applyFont="1" applyBorder="1"/>
    <xf numFmtId="0" fontId="19" fillId="3" borderId="0" xfId="2" applyFont="1"/>
    <xf numFmtId="1" fontId="19" fillId="3" borderId="0" xfId="2" applyNumberFormat="1" applyFont="1"/>
    <xf numFmtId="166" fontId="0" fillId="0" borderId="0" xfId="6" applyNumberFormat="1" applyFont="1" applyProtection="1">
      <protection hidden="1"/>
    </xf>
    <xf numFmtId="10" fontId="0" fillId="0" borderId="0" xfId="6" applyNumberFormat="1" applyFont="1" applyProtection="1">
      <protection hidden="1"/>
    </xf>
    <xf numFmtId="167" fontId="0" fillId="0" borderId="0" xfId="0" applyNumberFormat="1" applyProtection="1">
      <protection hidden="1"/>
    </xf>
    <xf numFmtId="0" fontId="16" fillId="2" borderId="0" xfId="0" applyFont="1" applyFill="1"/>
    <xf numFmtId="0" fontId="0" fillId="0" borderId="10" xfId="0" applyBorder="1"/>
    <xf numFmtId="0" fontId="14" fillId="0" borderId="0" xfId="0" applyFont="1" applyProtection="1">
      <protection hidden="1"/>
    </xf>
    <xf numFmtId="0" fontId="0" fillId="0" borderId="0" xfId="0" applyProtection="1">
      <protection locked="0" hidden="1"/>
    </xf>
    <xf numFmtId="167" fontId="0" fillId="5" borderId="0" xfId="0" applyNumberFormat="1" applyFill="1" applyProtection="1">
      <protection hidden="1"/>
    </xf>
    <xf numFmtId="165" fontId="0" fillId="5" borderId="0" xfId="0" applyNumberFormat="1" applyFill="1" applyProtection="1">
      <protection hidden="1"/>
    </xf>
    <xf numFmtId="0" fontId="13" fillId="5" borderId="0" xfId="0" applyFont="1" applyFill="1" applyProtection="1">
      <protection hidden="1"/>
    </xf>
    <xf numFmtId="0" fontId="0" fillId="5" borderId="0" xfId="0" applyFill="1" applyProtection="1">
      <protection hidden="1"/>
    </xf>
    <xf numFmtId="0" fontId="0" fillId="0" borderId="0" xfId="0" applyBorder="1" applyProtection="1">
      <protection hidden="1"/>
    </xf>
    <xf numFmtId="0" fontId="14" fillId="5" borderId="0" xfId="0" applyFont="1" applyFill="1" applyProtection="1">
      <protection locked="0" hidden="1"/>
    </xf>
    <xf numFmtId="0" fontId="0" fillId="0" borderId="11" xfId="0" applyFill="1" applyBorder="1" applyProtection="1">
      <protection locked="0" hidden="1"/>
    </xf>
    <xf numFmtId="168" fontId="0" fillId="5" borderId="0" xfId="0" applyNumberFormat="1" applyFill="1" applyProtection="1">
      <protection hidden="1"/>
    </xf>
    <xf numFmtId="169" fontId="0" fillId="0" borderId="0" xfId="6" applyNumberFormat="1" applyFont="1" applyProtection="1">
      <protection hidden="1"/>
    </xf>
    <xf numFmtId="0" fontId="12" fillId="2" borderId="0" xfId="0" applyFont="1" applyFill="1" applyAlignment="1">
      <alignment horizontal="center"/>
    </xf>
    <xf numFmtId="0" fontId="14" fillId="5" borderId="0" xfId="0" applyFont="1" applyFill="1" applyAlignment="1" applyProtection="1">
      <protection hidden="1"/>
    </xf>
    <xf numFmtId="0" fontId="0" fillId="0" borderId="0" xfId="0" applyAlignment="1"/>
  </cellXfs>
  <cellStyles count="7">
    <cellStyle name="Accent1" xfId="2" builtinId="29"/>
    <cellStyle name="Accent5" xfId="5" builtinId="45"/>
    <cellStyle name="Normal" xfId="0" builtinId="0"/>
    <cellStyle name="Normal 2" xfId="3"/>
    <cellStyle name="Normal 3" xfId="1"/>
    <cellStyle name="Percent" xfId="6" builtinId="5"/>
    <cellStyle name="Percent 2" xfId="4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numFmt numFmtId="164" formatCode="dd/mm/yy;@"/>
    </dxf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3" name="Table13" displayName="Table13" ref="A6:D28" totalsRowShown="0">
  <autoFilter ref="A6:D28"/>
  <tableColumns count="4">
    <tableColumn id="1" name="Version" dataDxfId="88"/>
    <tableColumn id="2" name="Date" dataDxfId="87"/>
    <tableColumn id="3" name="Author"/>
    <tableColumn id="4" name="What" dataDxfId="86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9" name="DBConst" displayName="DBConst" ref="A1:D12" totalsRowShown="0">
  <autoFilter ref="A1:D12"/>
  <tableColumns count="4">
    <tableColumn id="1" name="Parameter"/>
    <tableColumn id="2" name="Value"/>
    <tableColumn id="3" name="Comment" dataDxfId="85"/>
    <tableColumn id="4" name="Limit" dataDxfId="84"/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id="14" name="DBReqRDB" displayName="DBReqRDB" ref="A25:C35" totalsRowShown="0">
  <autoFilter ref="A25:C35"/>
  <tableColumns count="3">
    <tableColumn id="1" name="Parameter (RDB)"/>
    <tableColumn id="2" name="Value"/>
    <tableColumn id="3" name="Comment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5" name="DBReq_QA" displayName="DBReq_QA" ref="A14:C23" totalsRowShown="0">
  <autoFilter ref="A14:C23"/>
  <tableColumns count="3">
    <tableColumn id="1" name="Parameter (ODB)"/>
    <tableColumn id="2" name="Value"/>
    <tableColumn id="3" name="Comment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8" name="DBReqRDB_QA" displayName="DBReqRDB_QA" ref="A25:C35" totalsRowShown="0">
  <autoFilter ref="A25:C35"/>
  <tableColumns count="3">
    <tableColumn id="1" name="Parameter (RDB)"/>
    <tableColumn id="2" name="Value"/>
    <tableColumn id="3" name="Comment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33" name="DBConst_QA" displayName="DBConst_QA" ref="A1:D12" totalsRowShown="0">
  <autoFilter ref="A1:D12"/>
  <tableColumns count="4">
    <tableColumn id="1" name="Parameter"/>
    <tableColumn id="2" name="Value"/>
    <tableColumn id="3" name="Comment" dataDxfId="83"/>
    <tableColumn id="4" name="Limit" dataDxfId="82"/>
  </tableColumns>
  <tableStyleInfo name="TableStyleMedium8" showFirstColumn="0" showLastColumn="0" showRowStripes="1" showColumnStripes="0"/>
</table>
</file>

<file path=xl/tables/table15.xml><?xml version="1.0" encoding="utf-8"?>
<table xmlns="http://schemas.openxmlformats.org/spreadsheetml/2006/main" id="34" name="DBSrvPar_QA" displayName="DBSrvPar_QA" ref="A37:C84" totalsRowShown="0">
  <autoFilter ref="A37:C84"/>
  <tableColumns count="3">
    <tableColumn id="1" name="Property"/>
    <tableColumn id="2" name="Value"/>
    <tableColumn id="3" name="Comment"/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id="19" name="Table19" displayName="Table19" ref="A1:G18" totalsRowShown="0">
  <autoFilter ref="A1:G18"/>
  <tableColumns count="7">
    <tableColumn id="1" name="Parameter"/>
    <tableColumn id="2" name="devapp###" dataDxfId="81">
      <calculatedColumnFormula>IFERROR(VLOOKUP(A2,AppSrvPar[#All],2,FALSE),0)</calculatedColumnFormula>
    </tableColumn>
    <tableColumn id="3" name="qaapp###" dataDxfId="80">
      <calculatedColumnFormula>IFERROR(VLOOKUP(A2,AppSrvPar_QA[#All],2,FALSE),0)</calculatedColumnFormula>
    </tableColumn>
    <tableColumn id="4" name="db###" dataDxfId="79">
      <calculatedColumnFormula>IFERROR(VLOOKUP($A2,DBSrvPar[#All],2,FALSE),0)</calculatedColumnFormula>
    </tableColumn>
    <tableColumn id="5" name="qadb###" dataDxfId="78">
      <calculatedColumnFormula>IFERROR(VLOOKUP($A2,DBSrvPar_QA[#All],2,FALSE),0)</calculatedColumnFormula>
    </tableColumn>
    <tableColumn id="6" name="Total TOMS" dataDxfId="77">
      <calculatedColumnFormula>SUM(Table19[[#This Row],[devapp'#'#'#]:[qadb'#'#'#]])</calculatedColumnFormula>
    </tableColumn>
    <tableColumn id="11" name="Total" dataDxfId="76"/>
  </tableColumns>
  <tableStyleInfo name="TableStyleMedium13" showFirstColumn="0" showLastColumn="0" showRowStripes="1" showColumnStripes="0"/>
</table>
</file>

<file path=xl/tables/table17.xml><?xml version="1.0" encoding="utf-8"?>
<table xmlns="http://schemas.openxmlformats.org/spreadsheetml/2006/main" id="20" name="RBMConst" displayName="RBMConst" ref="A1:C8" totalsRowShown="0" tableBorderDxfId="75">
  <autoFilter ref="A1:C8"/>
  <tableColumns count="3">
    <tableColumn id="1" name="Parameter" dataDxfId="74"/>
    <tableColumn id="2" name="Value" dataDxfId="73"/>
    <tableColumn id="3" name="Comment" dataDxfId="72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RBMConst"/>
    </ext>
  </extLst>
</table>
</file>

<file path=xl/tables/table18.xml><?xml version="1.0" encoding="utf-8"?>
<table xmlns="http://schemas.openxmlformats.org/spreadsheetml/2006/main" id="21" name="RBMReq" displayName="RBMReq" ref="A10:G16" totalsRowShown="0" headerRowDxfId="71" headerRowBorderDxfId="70" tableBorderDxfId="69" totalsRowBorderDxfId="68">
  <autoFilter ref="A10:G16"/>
  <tableColumns count="7">
    <tableColumn id="1" name="Application" dataDxfId="67"/>
    <tableColumn id="2" name="Inst num" dataDxfId="66"/>
    <tableColumn id="3" name="RAM, GB" dataDxfId="65"/>
    <tableColumn id="4" name="Disk space, GB" dataDxfId="64"/>
    <tableColumn id="5" name="Oracle schema size, GB" dataDxfId="63"/>
    <tableColumn id="6" name="Oracle SID size, GB" dataDxfId="62"/>
    <tableColumn id="7" name="Oracle SID RAM, GB" dataDxfId="6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RBMAppSrvPar" displayName="RBMAppSrvPar" ref="A18:C30" totalsRowShown="0" headerRowDxfId="60" headerRowBorderDxfId="59" tableBorderDxfId="58" totalsRowBorderDxfId="57">
  <autoFilter ref="A18:C30"/>
  <tableColumns count="3">
    <tableColumn id="1" name="App server"/>
    <tableColumn id="2" name="Raw, GB" dataDxfId="56"/>
    <tableColumn id="3" name="Raw+Contigency, GB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AppReq" displayName="AppReq" ref="A8:C25" totalsRowShown="0">
  <autoFilter ref="A8:C25"/>
  <tableColumns count="3">
    <tableColumn id="1" name="Parameter"/>
    <tableColumn id="2" name="Value"/>
    <tableColumn id="3" name="Comment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3" name="RBMDBSrvPar" displayName="RBMDBSrvPar" ref="E18:G30" totalsRowShown="0" headerRowDxfId="54" headerRowBorderDxfId="53" tableBorderDxfId="52" totalsRowBorderDxfId="51">
  <autoFilter ref="E18:G30"/>
  <tableColumns count="3">
    <tableColumn id="1" name="DB Server" dataDxfId="50"/>
    <tableColumn id="2" name="Raw, GB" dataDxfId="49"/>
    <tableColumn id="3" name="Raw+Contigency, GB" dataDxfId="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4" name="RBMConst_QA" displayName="RBMConst_QA" ref="A1:C8" totalsRowShown="0" tableBorderDxfId="47">
  <autoFilter ref="A1:C8"/>
  <tableColumns count="3">
    <tableColumn id="1" name="Parameter" dataDxfId="46"/>
    <tableColumn id="2" name="Value" dataDxfId="45"/>
    <tableColumn id="3" name="Comment" dataDxfId="44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RBMConst"/>
    </ext>
  </extLst>
</table>
</file>

<file path=xl/tables/table22.xml><?xml version="1.0" encoding="utf-8"?>
<table xmlns="http://schemas.openxmlformats.org/spreadsheetml/2006/main" id="25" name="RBMReq_QA" displayName="RBMReq_QA" ref="A10:G16" totalsRowShown="0" headerRowDxfId="43" headerRowBorderDxfId="42" tableBorderDxfId="41" totalsRowBorderDxfId="40" dataCellStyle="Normal 2">
  <autoFilter ref="A10:G16"/>
  <tableColumns count="7">
    <tableColumn id="1" name="Application" dataDxfId="39" dataCellStyle="Normal 2"/>
    <tableColumn id="2" name="Inst num" dataDxfId="38" dataCellStyle="Normal 2"/>
    <tableColumn id="3" name="RAM, GB" dataDxfId="37" dataCellStyle="Normal 2"/>
    <tableColumn id="4" name="Disk space, GB" dataDxfId="36" dataCellStyle="Normal 2"/>
    <tableColumn id="5" name="Oracle schema size, GB" dataDxfId="35" dataCellStyle="Normal 2"/>
    <tableColumn id="6" name="Oracle SID size, GB" dataDxfId="34" dataCellStyle="Normal 2"/>
    <tableColumn id="7" name="Oracle SID RAM, GB" dataDxfId="33" dataCellStyle="Normal 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6" name="RBMAppSrvPar_QA" displayName="RBMAppSrvPar_QA" ref="A18:C30" totalsRowShown="0" headerRowDxfId="32" headerRowBorderDxfId="31" tableBorderDxfId="30" totalsRowBorderDxfId="29">
  <autoFilter ref="A18:C30"/>
  <tableColumns count="3">
    <tableColumn id="1" name="App server"/>
    <tableColumn id="2" name="Raw, GB" dataDxfId="28"/>
    <tableColumn id="3" name="Raw+Contigency, GB" dataDxfId="2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7" name="RBMDBSrvPar_QA" displayName="RBMDBSrvPar_QA" ref="E18:G30" totalsRowShown="0" headerRowDxfId="26" headerRowBorderDxfId="25" tableBorderDxfId="24" totalsRowBorderDxfId="23">
  <autoFilter ref="E18:G30"/>
  <tableColumns count="3">
    <tableColumn id="1" name="DB Server" dataDxfId="22"/>
    <tableColumn id="2" name="Raw, GB" dataDxfId="21"/>
    <tableColumn id="3" name="Raw+Contigency, GB" dataDxfId="2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8" name="Table1929" displayName="Table1929" ref="A1:G18" totalsRowShown="0">
  <autoFilter ref="A1:G18"/>
  <tableColumns count="7">
    <tableColumn id="1" name="Parameter"/>
    <tableColumn id="8" name="rbm-devapp###" dataDxfId="19"/>
    <tableColumn id="7" name="rbm-db###" dataDxfId="18">
      <calculatedColumnFormula>IFERROR(VLOOKUP(A2,RBMDBSrvPar[#All],3,FALSE),0)</calculatedColumnFormula>
    </tableColumn>
    <tableColumn id="13" name="rbm-qaapp###" dataDxfId="17">
      <calculatedColumnFormula>IFERROR(VLOOKUP(A2,RBMAppSrvPar_QA[#All],3,FALSE),0)</calculatedColumnFormula>
    </tableColumn>
    <tableColumn id="12" name="rbm-qadb###" dataDxfId="16">
      <calculatedColumnFormula>IFERROR(VLOOKUP(A2,RBMDBSrvPar_QA[#All],3,FALSE),0)</calculatedColumnFormula>
    </tableColumn>
    <tableColumn id="10" name="Total RBM" dataDxfId="15"/>
    <tableColumn id="11" name="Total" dataDxfId="14"/>
  </tableColumns>
  <tableStyleInfo name="TableStyleMedium13" showFirstColumn="0" showLastColumn="0" showRowStripes="1" showColumnStripes="0"/>
</table>
</file>

<file path=xl/tables/table26.xml><?xml version="1.0" encoding="utf-8"?>
<table xmlns="http://schemas.openxmlformats.org/spreadsheetml/2006/main" id="4" name="Table195" displayName="Table195" ref="A1:D18" totalsRowShown="0">
  <autoFilter ref="A1:D18"/>
  <tableColumns count="4">
    <tableColumn id="1" name="Parameter"/>
    <tableColumn id="2" name="dedicated VM" dataDxfId="13">
      <calculatedColumnFormula>IFERROR(VLOOKUP(A2,AppSrvPar[#All],2,FALSE),0)</calculatedColumnFormula>
    </tableColumn>
    <tableColumn id="3" name="dedicated QAVM" dataDxfId="12">
      <calculatedColumnFormula>IFERROR(VLOOKUP(A2,AppSrvPar_QA[#All],2,FALSE),0)</calculatedColumnFormula>
    </tableColumn>
    <tableColumn id="6" name="Total dedicated" dataDxfId="11">
      <calculatedColumnFormula>SUM(#REF!)</calculatedColumnFormula>
    </tableColumn>
  </tableColumns>
  <tableStyleInfo name="TableStyleMedium13" showFirstColumn="0" showLastColumn="0" showRowStripes="1" showColumnStripes="0"/>
</table>
</file>

<file path=xl/tables/table27.xml><?xml version="1.0" encoding="utf-8"?>
<table xmlns="http://schemas.openxmlformats.org/spreadsheetml/2006/main" id="3" name="Table3" displayName="Table3" ref="A1:F3" totalsRowCount="1" dataCellStyle="Accent1" totalsRowCellStyle="Accent1">
  <autoFilter ref="A1:F2"/>
  <tableColumns count="6">
    <tableColumn id="1" name="VM type" totalsRowLabel="Total" totalsRowDxfId="5" dataCellStyle="Accent1"/>
    <tableColumn id="2" name="VM Qty" totalsRowFunction="sum" totalsRowDxfId="4" dataCellStyle="Accent1"/>
    <tableColumn id="3" name="CPU" totalsRowFunction="custom" totalsRowDxfId="3" dataCellStyle="Accent1">
      <totalsRowFormula>SUMPRODUCT(SUBTOTAL(109,OFFSET($B2:$B2,ROW($B2:$B2)-MIN(ROW($B2:$B2)),0,1)),C2:C2)</totalsRowFormula>
    </tableColumn>
    <tableColumn id="4" name="RAM, GB" totalsRowFunction="custom" totalsRowDxfId="2" dataCellStyle="Accent1">
      <totalsRowFormula>SUMPRODUCT(SUBTOTAL(109,OFFSET($B2:$B2,ROW($B2:$B2)-MIN(ROW($B2:$B2)),0,1)),D2:D2)</totalsRowFormula>
    </tableColumn>
    <tableColumn id="5" name="HDD, GB" totalsRowFunction="custom" totalsRowDxfId="1" dataCellStyle="Accent1">
      <totalsRowFormula>SUMPRODUCT(SUBTOTAL(109,OFFSET($B2:$B2,ROW($B2:$B2)-MIN(ROW($B2:$B2)),0,1)),E2:E2)</totalsRowFormula>
    </tableColumn>
    <tableColumn id="6" name="Comment" totalsRowDxfId="0" dataCellStyle="Accent1">
      <calculatedColumnFormula>16+4+2+24+40</calculatedColumnFormula>
    </tableColumn>
  </tableColumns>
  <tableStyleInfo name="TableStyleMedium13" showFirstColumn="0" showLastColumn="0" showRowStripes="1" showColumnStripes="0"/>
</table>
</file>

<file path=xl/tables/table28.xml><?xml version="1.0" encoding="utf-8"?>
<table xmlns="http://schemas.openxmlformats.org/spreadsheetml/2006/main" id="5" name="Table5" displayName="Table5" ref="A1:C9" totalsRowShown="0" headerRowDxfId="10" dataDxfId="9">
  <autoFilter ref="A1:C9"/>
  <tableColumns count="3">
    <tableColumn id="1" name="Parameter" dataDxfId="8"/>
    <tableColumn id="2" name="ITD" dataDxfId="7"/>
    <tableColumn id="3" name="MANO" dataDxfId="6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Table16" displayName="Table16" ref="A11:A14" totalsRowShown="0">
  <autoFilter ref="A11:A14"/>
  <tableColumns count="1">
    <tableColumn id="1" name="vCPU oversub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AppSrvPar" displayName="AppSrvPar" ref="A27:C39" totalsRowShown="0">
  <autoFilter ref="A27:C39"/>
  <tableColumns count="3">
    <tableColumn id="1" name="Property"/>
    <tableColumn id="2" name="Value"/>
    <tableColumn id="3" name="Comment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2" name="AppConst" displayName="AppConst" ref="A1:C6" totalsRowShown="0">
  <autoFilter ref="A1:C6"/>
  <tableColumns count="3">
    <tableColumn id="1" name="Parameter"/>
    <tableColumn id="2" name="Value"/>
    <tableColumn id="3" name="Comment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10" name="AppReq_QA" displayName="AppReq_QA" ref="A8:C25" totalsRowShown="0">
  <autoFilter ref="A8:C25"/>
  <tableColumns count="3">
    <tableColumn id="1" name="Parameter"/>
    <tableColumn id="2" name="Value"/>
    <tableColumn id="3" name="Commen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1" name="AppSrvPar_QA" displayName="AppSrvPar_QA" ref="A27:C39" totalsRowShown="0">
  <autoFilter ref="A27:C39"/>
  <tableColumns count="3">
    <tableColumn id="1" name="Property"/>
    <tableColumn id="2" name="Value"/>
    <tableColumn id="3" name="Comment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12" name="AppConst_QA" displayName="AppConst_QA" ref="A1:C6" totalsRowShown="0">
  <autoFilter ref="A1:C6"/>
  <tableColumns count="3">
    <tableColumn id="1" name="Parameter"/>
    <tableColumn id="2" name="Value"/>
    <tableColumn id="3" name="Comment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id="7" name="DBReq" displayName="DBReq" ref="A14:C23" totalsRowShown="0">
  <autoFilter ref="A14:C23"/>
  <tableColumns count="3">
    <tableColumn id="1" name="Parameter (ODB)"/>
    <tableColumn id="2" name="Value"/>
    <tableColumn id="3" name="Comment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8" name="DBSrvPar" displayName="DBSrvPar" ref="A37:C84" totalsRowShown="0">
  <autoFilter ref="A37:C84"/>
  <tableColumns count="3">
    <tableColumn id="1" name="Property"/>
    <tableColumn id="2" name="Value"/>
    <tableColumn id="3" name="Commen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25" workbookViewId="0">
      <selection activeCell="D28" sqref="D28"/>
    </sheetView>
  </sheetViews>
  <sheetFormatPr defaultRowHeight="14.5" x14ac:dyDescent="0.35"/>
  <cols>
    <col min="1" max="1" width="10" customWidth="1"/>
    <col min="2" max="2" width="16.08984375" bestFit="1" customWidth="1"/>
    <col min="3" max="3" width="21.6328125" bestFit="1" customWidth="1"/>
    <col min="4" max="4" width="97.6328125" bestFit="1" customWidth="1"/>
  </cols>
  <sheetData>
    <row r="1" spans="1:4" x14ac:dyDescent="0.35">
      <c r="A1" s="3" t="s">
        <v>47</v>
      </c>
      <c r="B1" s="3" t="s">
        <v>50</v>
      </c>
    </row>
    <row r="2" spans="1:4" x14ac:dyDescent="0.35">
      <c r="A2" s="3" t="s">
        <v>48</v>
      </c>
      <c r="B2" s="13" t="s">
        <v>222</v>
      </c>
    </row>
    <row r="3" spans="1:4" ht="29" x14ac:dyDescent="0.35">
      <c r="A3" s="3" t="s">
        <v>57</v>
      </c>
      <c r="B3" s="3"/>
      <c r="D3" s="1" t="s">
        <v>58</v>
      </c>
    </row>
    <row r="5" spans="1:4" x14ac:dyDescent="0.35">
      <c r="A5" s="104" t="s">
        <v>49</v>
      </c>
      <c r="B5" s="104"/>
      <c r="C5" s="104"/>
      <c r="D5" s="104"/>
    </row>
    <row r="6" spans="1:4" x14ac:dyDescent="0.35">
      <c r="A6" t="s">
        <v>48</v>
      </c>
      <c r="B6" t="s">
        <v>53</v>
      </c>
      <c r="C6" t="s">
        <v>52</v>
      </c>
      <c r="D6" t="s">
        <v>54</v>
      </c>
    </row>
    <row r="7" spans="1:4" ht="29" x14ac:dyDescent="0.35">
      <c r="A7" s="12" t="s">
        <v>51</v>
      </c>
      <c r="B7" s="10">
        <v>41501</v>
      </c>
      <c r="C7" t="s">
        <v>55</v>
      </c>
      <c r="D7" s="1" t="s">
        <v>56</v>
      </c>
    </row>
    <row r="8" spans="1:4" x14ac:dyDescent="0.35">
      <c r="A8" s="12" t="s">
        <v>72</v>
      </c>
      <c r="B8" s="10">
        <v>41505</v>
      </c>
      <c r="C8" t="s">
        <v>55</v>
      </c>
      <c r="D8" s="1" t="s">
        <v>59</v>
      </c>
    </row>
    <row r="9" spans="1:4" x14ac:dyDescent="0.35">
      <c r="A9" s="12" t="s">
        <v>73</v>
      </c>
      <c r="B9" s="10">
        <v>41530</v>
      </c>
      <c r="C9" t="s">
        <v>55</v>
      </c>
      <c r="D9" s="1" t="s">
        <v>74</v>
      </c>
    </row>
    <row r="10" spans="1:4" x14ac:dyDescent="0.35">
      <c r="A10" s="12" t="s">
        <v>75</v>
      </c>
      <c r="B10" s="10">
        <v>41596</v>
      </c>
      <c r="C10" t="s">
        <v>55</v>
      </c>
      <c r="D10" s="1" t="s">
        <v>80</v>
      </c>
    </row>
    <row r="11" spans="1:4" x14ac:dyDescent="0.35">
      <c r="A11" s="12" t="s">
        <v>86</v>
      </c>
      <c r="B11" s="10">
        <v>41716</v>
      </c>
      <c r="C11" t="s">
        <v>87</v>
      </c>
      <c r="D11" s="1" t="s">
        <v>88</v>
      </c>
    </row>
    <row r="12" spans="1:4" x14ac:dyDescent="0.35">
      <c r="A12" s="12" t="s">
        <v>94</v>
      </c>
      <c r="B12" s="10">
        <v>41792</v>
      </c>
      <c r="C12" t="s">
        <v>87</v>
      </c>
      <c r="D12" s="1" t="s">
        <v>95</v>
      </c>
    </row>
    <row r="13" spans="1:4" ht="43.5" x14ac:dyDescent="0.35">
      <c r="A13" s="12" t="s">
        <v>98</v>
      </c>
      <c r="B13" s="10">
        <v>41850</v>
      </c>
      <c r="C13" t="s">
        <v>55</v>
      </c>
      <c r="D13" s="1" t="s">
        <v>103</v>
      </c>
    </row>
    <row r="14" spans="1:4" x14ac:dyDescent="0.35">
      <c r="A14" s="12" t="s">
        <v>104</v>
      </c>
      <c r="B14" s="10">
        <v>41872</v>
      </c>
      <c r="C14" t="s">
        <v>55</v>
      </c>
      <c r="D14" t="s">
        <v>105</v>
      </c>
    </row>
    <row r="15" spans="1:4" ht="29" x14ac:dyDescent="0.35">
      <c r="A15" s="12" t="s">
        <v>106</v>
      </c>
      <c r="B15" s="10">
        <v>41892</v>
      </c>
      <c r="C15" t="s">
        <v>87</v>
      </c>
      <c r="D15" s="1" t="s">
        <v>107</v>
      </c>
    </row>
    <row r="16" spans="1:4" ht="43.5" x14ac:dyDescent="0.35">
      <c r="A16" s="12" t="s">
        <v>108</v>
      </c>
      <c r="B16" s="10">
        <v>42031</v>
      </c>
      <c r="C16" t="s">
        <v>109</v>
      </c>
      <c r="D16" s="1" t="s">
        <v>110</v>
      </c>
    </row>
    <row r="17" spans="1:4" ht="101.5" x14ac:dyDescent="0.35">
      <c r="A17" s="12" t="s">
        <v>115</v>
      </c>
      <c r="B17" s="10">
        <v>42088</v>
      </c>
      <c r="C17" t="s">
        <v>109</v>
      </c>
      <c r="D17" s="1" t="s">
        <v>149</v>
      </c>
    </row>
    <row r="18" spans="1:4" ht="101.5" x14ac:dyDescent="0.35">
      <c r="A18" s="12" t="s">
        <v>145</v>
      </c>
      <c r="B18" s="10">
        <v>42131</v>
      </c>
      <c r="C18" t="s">
        <v>109</v>
      </c>
      <c r="D18" s="1" t="s">
        <v>169</v>
      </c>
    </row>
    <row r="19" spans="1:4" ht="72.5" x14ac:dyDescent="0.35">
      <c r="A19" s="12" t="s">
        <v>174</v>
      </c>
      <c r="B19" s="10">
        <v>42178</v>
      </c>
      <c r="C19" t="s">
        <v>175</v>
      </c>
      <c r="D19" s="1" t="s">
        <v>176</v>
      </c>
    </row>
    <row r="20" spans="1:4" ht="72.5" x14ac:dyDescent="0.35">
      <c r="A20" s="12" t="s">
        <v>193</v>
      </c>
      <c r="B20" s="10">
        <v>42850</v>
      </c>
      <c r="C20" t="s">
        <v>109</v>
      </c>
      <c r="D20" s="1" t="s">
        <v>194</v>
      </c>
    </row>
    <row r="21" spans="1:4" ht="72.5" x14ac:dyDescent="0.35">
      <c r="A21" s="12" t="s">
        <v>199</v>
      </c>
      <c r="B21" s="10">
        <v>42997</v>
      </c>
      <c r="C21" t="s">
        <v>109</v>
      </c>
      <c r="D21" s="1" t="s">
        <v>202</v>
      </c>
    </row>
    <row r="22" spans="1:4" ht="101.5" x14ac:dyDescent="0.35">
      <c r="A22" s="12" t="s">
        <v>200</v>
      </c>
      <c r="B22" s="10">
        <v>42997</v>
      </c>
      <c r="C22" t="s">
        <v>109</v>
      </c>
      <c r="D22" s="1" t="s">
        <v>201</v>
      </c>
    </row>
    <row r="23" spans="1:4" x14ac:dyDescent="0.35">
      <c r="A23" s="12" t="s">
        <v>203</v>
      </c>
      <c r="B23" s="10">
        <v>43161</v>
      </c>
      <c r="C23" t="s">
        <v>109</v>
      </c>
      <c r="D23" s="1" t="s">
        <v>208</v>
      </c>
    </row>
    <row r="24" spans="1:4" ht="72.5" x14ac:dyDescent="0.35">
      <c r="A24" s="12" t="s">
        <v>215</v>
      </c>
      <c r="B24" s="10">
        <v>43328</v>
      </c>
      <c r="C24" t="s">
        <v>109</v>
      </c>
      <c r="D24" s="1" t="s">
        <v>217</v>
      </c>
    </row>
    <row r="25" spans="1:4" x14ac:dyDescent="0.35">
      <c r="A25" s="12" t="s">
        <v>218</v>
      </c>
      <c r="B25" s="10">
        <v>43502</v>
      </c>
      <c r="C25" t="s">
        <v>109</v>
      </c>
      <c r="D25" s="1" t="s">
        <v>219</v>
      </c>
    </row>
    <row r="26" spans="1:4" ht="43.5" x14ac:dyDescent="0.35">
      <c r="A26" s="12" t="s">
        <v>220</v>
      </c>
      <c r="B26" s="10">
        <v>43537</v>
      </c>
      <c r="C26" t="s">
        <v>109</v>
      </c>
      <c r="D26" s="1" t="s">
        <v>221</v>
      </c>
    </row>
    <row r="27" spans="1:4" x14ac:dyDescent="0.35">
      <c r="A27" s="12" t="s">
        <v>222</v>
      </c>
      <c r="B27" s="10">
        <v>43704</v>
      </c>
      <c r="C27" t="s">
        <v>109</v>
      </c>
      <c r="D27" s="1" t="s">
        <v>227</v>
      </c>
    </row>
    <row r="28" spans="1:4" x14ac:dyDescent="0.35">
      <c r="A28" s="12" t="s">
        <v>228</v>
      </c>
      <c r="B28" s="10">
        <v>44179</v>
      </c>
      <c r="C28" t="s">
        <v>109</v>
      </c>
      <c r="D28" s="1" t="s">
        <v>229</v>
      </c>
    </row>
  </sheetData>
  <mergeCells count="1">
    <mergeCell ref="A5:D5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K15" sqref="K15"/>
    </sheetView>
  </sheetViews>
  <sheetFormatPr defaultRowHeight="14.5" x14ac:dyDescent="0.35"/>
  <cols>
    <col min="1" max="1" width="17.90625" bestFit="1" customWidth="1"/>
    <col min="3" max="3" width="12.26953125" customWidth="1"/>
    <col min="4" max="4" width="14" customWidth="1"/>
    <col min="5" max="5" width="13.6328125" bestFit="1" customWidth="1"/>
    <col min="6" max="6" width="15.36328125" customWidth="1"/>
    <col min="7" max="7" width="9.90625" bestFit="1" customWidth="1"/>
    <col min="8" max="8" width="10.90625" hidden="1" customWidth="1"/>
    <col min="9" max="9" width="12" hidden="1" customWidth="1"/>
  </cols>
  <sheetData>
    <row r="1" spans="1:10" x14ac:dyDescent="0.35">
      <c r="A1" s="93" t="s">
        <v>26</v>
      </c>
      <c r="B1" s="93" t="s">
        <v>2</v>
      </c>
      <c r="C1" s="93" t="s">
        <v>205</v>
      </c>
      <c r="D1" s="93" t="s">
        <v>206</v>
      </c>
      <c r="E1" s="93" t="s">
        <v>207</v>
      </c>
      <c r="F1" s="93" t="s">
        <v>204</v>
      </c>
      <c r="G1" s="93" t="s">
        <v>0</v>
      </c>
      <c r="H1" s="105" t="s">
        <v>226</v>
      </c>
      <c r="I1" s="106"/>
    </row>
    <row r="2" spans="1:10" x14ac:dyDescent="0.35">
      <c r="A2" s="83" t="s">
        <v>185</v>
      </c>
      <c r="B2" s="83">
        <f ca="1">Table19[[#This Row],[Total]]</f>
        <v>4</v>
      </c>
      <c r="C2" s="83">
        <f>2*24*2*E8</f>
        <v>288</v>
      </c>
      <c r="D2" s="89">
        <f ca="1">ROUND(B2/C2,B$9)</f>
        <v>1.3899999999999999E-2</v>
      </c>
      <c r="E2" s="83">
        <f>IFERROR(HLOOKUP($B$10,Table5[#All],3,FALSE),0)</f>
        <v>7272</v>
      </c>
      <c r="F2" s="103">
        <f ca="1">ROUND(B2/E2,B$9)</f>
        <v>5.5000000000000003E-4</v>
      </c>
      <c r="G2" s="83"/>
      <c r="H2" s="98" t="s">
        <v>223</v>
      </c>
      <c r="I2" s="100">
        <v>24</v>
      </c>
      <c r="J2" s="83"/>
    </row>
    <row r="3" spans="1:10" x14ac:dyDescent="0.35">
      <c r="A3" s="83" t="s">
        <v>4</v>
      </c>
      <c r="B3" s="83">
        <f ca="1">Table19[[#This Row],[Total]]</f>
        <v>8</v>
      </c>
      <c r="C3" s="83">
        <v>1450</v>
      </c>
      <c r="D3" s="89">
        <f ca="1">ROUND(B3/C3,B$9)</f>
        <v>5.4999999999999997E-3</v>
      </c>
      <c r="E3" s="83">
        <f>IFERROR(HLOOKUP($B$10,Table5[#All],4,FALSE),0)</f>
        <v>31705</v>
      </c>
      <c r="F3" s="103">
        <f ca="1">ROUND(B3/E3,B$9)</f>
        <v>2.52E-4</v>
      </c>
      <c r="G3" s="83"/>
      <c r="H3" s="98" t="s">
        <v>224</v>
      </c>
      <c r="I3" s="102">
        <f ca="1">SUM(I6:I7)</f>
        <v>16.366</v>
      </c>
    </row>
    <row r="4" spans="1:10" x14ac:dyDescent="0.35">
      <c r="A4" s="83" t="s">
        <v>7</v>
      </c>
      <c r="B4" s="83">
        <f ca="1">Table19[[#This Row],[Total]]</f>
        <v>86</v>
      </c>
      <c r="C4" s="83">
        <f>IF(B10="ITD",25500,12000)</f>
        <v>25500</v>
      </c>
      <c r="D4" s="89">
        <f ca="1">ROUND(B4/C4,B$9)</f>
        <v>3.3999999999999998E-3</v>
      </c>
      <c r="E4" s="83">
        <f>IFERROR(HLOOKUP($B$10,Table5[#All],5,FALSE),0)</f>
        <v>612500</v>
      </c>
      <c r="F4" s="103">
        <f ca="1">ROUND(B4/E4,B$9)</f>
        <v>1.3999999999999999E-4</v>
      </c>
      <c r="G4" s="83"/>
      <c r="H4" s="98"/>
      <c r="I4" s="96"/>
    </row>
    <row r="5" spans="1:10" x14ac:dyDescent="0.35">
      <c r="A5" s="83" t="s">
        <v>0</v>
      </c>
      <c r="B5" s="83"/>
      <c r="C5" s="83"/>
      <c r="D5" s="83"/>
      <c r="E5" s="83">
        <f>IFERROR(HLOOKUP($B$10,Table5[#All],7,FALSE),0)</f>
        <v>1276000</v>
      </c>
      <c r="F5" s="88"/>
      <c r="G5" s="84">
        <f ca="1">ROUND(SUBTOTAL(4,F2:F4)*E5,-1)</f>
        <v>700</v>
      </c>
      <c r="H5" s="98" t="s">
        <v>225</v>
      </c>
      <c r="I5" s="96">
        <f ca="1">ROUND((I3)*I$2,0)</f>
        <v>393</v>
      </c>
    </row>
    <row r="6" spans="1:10" hidden="1" x14ac:dyDescent="0.35">
      <c r="A6" s="97" t="s">
        <v>209</v>
      </c>
      <c r="B6" s="98"/>
      <c r="C6" s="98"/>
      <c r="D6" s="98"/>
      <c r="E6" s="95">
        <f>IFERROR(HLOOKUP($B$10,Table5[#All],8,FALSE),0)</f>
        <v>21266.667000000001</v>
      </c>
      <c r="F6" s="98"/>
      <c r="G6" s="98"/>
      <c r="H6" s="98"/>
      <c r="I6" s="102">
        <f ca="1">SUBTOTAL(4,$F2:$F4)*(E6)</f>
        <v>11.696999999999999</v>
      </c>
    </row>
    <row r="7" spans="1:10" hidden="1" x14ac:dyDescent="0.35">
      <c r="A7" s="97" t="s">
        <v>210</v>
      </c>
      <c r="B7" s="98"/>
      <c r="C7" s="98"/>
      <c r="D7" s="98"/>
      <c r="E7" s="95">
        <f>IFERROR(HLOOKUP($B$10,Table5[#All],9,FALSE),0)</f>
        <v>14870</v>
      </c>
      <c r="F7" s="98"/>
      <c r="G7" s="98"/>
      <c r="H7" s="98"/>
      <c r="I7" s="102">
        <f ca="1">SUBTOTAL(1,$F2:$F4)*(E7)</f>
        <v>4.6689999999999996</v>
      </c>
    </row>
    <row r="8" spans="1:10" x14ac:dyDescent="0.35">
      <c r="A8" s="83" t="s">
        <v>188</v>
      </c>
      <c r="B8" s="83"/>
      <c r="C8" s="83"/>
      <c r="D8" s="83"/>
      <c r="E8" s="83">
        <f>IFERROR(HLOOKUP($B$10,Table5[#All],6,FALSE),0)</f>
        <v>3</v>
      </c>
      <c r="F8" s="83"/>
      <c r="G8" s="83"/>
      <c r="H8" s="83"/>
      <c r="I8" s="83"/>
    </row>
    <row r="9" spans="1:10" x14ac:dyDescent="0.35">
      <c r="A9" s="83" t="s">
        <v>189</v>
      </c>
      <c r="B9" s="99">
        <v>6</v>
      </c>
      <c r="C9" s="83"/>
      <c r="D9" s="83"/>
      <c r="E9" s="83"/>
      <c r="F9" s="83"/>
      <c r="G9" s="83"/>
      <c r="H9" s="83"/>
      <c r="I9" s="83"/>
    </row>
    <row r="10" spans="1:10" x14ac:dyDescent="0.35">
      <c r="A10" s="83" t="s">
        <v>214</v>
      </c>
      <c r="B10" s="101" t="s">
        <v>211</v>
      </c>
      <c r="C10" s="83"/>
      <c r="D10" s="83"/>
      <c r="E10" s="83"/>
      <c r="F10" s="83"/>
      <c r="G10" s="83"/>
      <c r="H10" s="83"/>
      <c r="I10" s="83"/>
    </row>
    <row r="13" spans="1:10" x14ac:dyDescent="0.35">
      <c r="B13" s="92"/>
    </row>
  </sheetData>
  <sheetProtection algorithmName="SHA-512" hashValue="V2V/bm/ZIviWcdhE0AN7nXvRgFDYkwWLgXBybopC+llK7Ambw4bJEa0ldJ71Sd7pAHugpNFfBjVbabAeh+OvlQ==" saltValue="3wDMPaKM59gFCQhrd3SX1g==" spinCount="100000" sheet="1" objects="1" scenarios="1"/>
  <autoFilter ref="A1:G9"/>
  <mergeCells count="1">
    <mergeCell ref="H1:I1"/>
  </mergeCells>
  <dataValidations count="1">
    <dataValidation type="list" allowBlank="1" showInputMessage="1" showErrorMessage="1" sqref="I2">
      <formula1>"3, 6, 9, 12, 24, 36, 48"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Enviroments!$B$1:$C$1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J18" sqref="J18"/>
    </sheetView>
  </sheetViews>
  <sheetFormatPr defaultRowHeight="14.5" x14ac:dyDescent="0.35"/>
  <cols>
    <col min="1" max="1" width="29.36328125" bestFit="1" customWidth="1"/>
    <col min="2" max="2" width="15" bestFit="1" customWidth="1"/>
    <col min="3" max="3" width="17.6328125" bestFit="1" customWidth="1"/>
    <col min="4" max="4" width="16.36328125" bestFit="1" customWidth="1"/>
  </cols>
  <sheetData>
    <row r="1" spans="1:4" x14ac:dyDescent="0.35">
      <c r="A1" t="s">
        <v>26</v>
      </c>
      <c r="B1" t="s">
        <v>196</v>
      </c>
      <c r="C1" t="s">
        <v>197</v>
      </c>
      <c r="D1" s="48" t="s">
        <v>198</v>
      </c>
    </row>
    <row r="2" spans="1:4" x14ac:dyDescent="0.35">
      <c r="A2" s="3" t="s">
        <v>185</v>
      </c>
      <c r="B2" s="9">
        <f>MAX(Table19[[#This Row],[devapp'#'#'#]],Table19[[#This Row],[db'#'#'#]],Table1929[[#This Row],[rbm-devapp'#'#'#]],Table1929[[#This Row],[rbm-db'#'#'#]])</f>
        <v>0</v>
      </c>
      <c r="C2" s="9">
        <f>MAX(Table19[[#This Row],[qaapp'#'#'#]],Table19[[#This Row],[qadb'#'#'#]],Table1929[[#This Row],[rbm-qaapp'#'#'#]],Table1929[[#This Row],[rbm-qadb'#'#'#]])</f>
        <v>0</v>
      </c>
      <c r="D2" s="9">
        <f>SUMPRODUCT(Table195[[#This Row],[dedicated VM]:[dedicated QAVM]],B$18:C$18)</f>
        <v>0</v>
      </c>
    </row>
    <row r="3" spans="1:4" x14ac:dyDescent="0.35">
      <c r="A3" s="3" t="s">
        <v>4</v>
      </c>
      <c r="B3" s="63">
        <f>IF((Table19[[#This Row],[devapp'#'#'#]]+Table19[[#This Row],[db'#'#'#]]+Table1929[[#This Row],[rbm-devapp'#'#'#]]+Table1929[[#This Row],[rbm-db'#'#'#]])&gt;0,Total!B14+'db###'!B39+'db###'!B46+'db###'!B53+'Total (RBM)'!B14+'RBM+CM+AM (dev)'!G20+RBMConst[[#This Row],[Value]],0)</f>
        <v>0</v>
      </c>
      <c r="C3" s="63">
        <f>IF((Table19[[#This Row],[qaapp'#'#'#]]+Table19[[#This Row],[qadb'#'#'#]]+Table1929[[#This Row],[rbm-qaapp'#'#'#]]+Table1929[[#This Row],[rbm-qadb'#'#'#]])&gt;0,Total!C14+'qadb###'!B39+'qadb###'!B46+'qadb###'!B53+'Total (RBM)'!D14+'RBM+CM+AM (QA)'!G20+RBMConst_QA[[#This Row],[Value]],0)</f>
        <v>0</v>
      </c>
      <c r="D3" s="9">
        <f>SUMPRODUCT(Table195[[#This Row],[dedicated VM]:[dedicated QAVM]],B$18:C$18)</f>
        <v>0</v>
      </c>
    </row>
    <row r="4" spans="1:4" x14ac:dyDescent="0.35">
      <c r="A4" s="3" t="s">
        <v>7</v>
      </c>
      <c r="B4" s="9">
        <f>IF(B11&gt;0,SUM(B5:B7),0)</f>
        <v>0</v>
      </c>
      <c r="C4" s="9">
        <f>IF(C11&gt;0,SUM(C5:C7),0)</f>
        <v>0</v>
      </c>
      <c r="D4" s="9">
        <f>SUMPRODUCT(Table195[[#This Row],[dedicated VM]:[dedicated QAVM]],B$18:C$18)</f>
        <v>0</v>
      </c>
    </row>
    <row r="5" spans="1:4" x14ac:dyDescent="0.35">
      <c r="A5" s="2" t="s">
        <v>5</v>
      </c>
      <c r="B5" s="6">
        <f>IFERROR(VLOOKUP($A5,AppSrvPar[#All],2,FALSE),0)</f>
        <v>0</v>
      </c>
      <c r="C5" s="6">
        <f>IFERROR(VLOOKUP($A5,AppSrvPar_QA[#All],2,FALSE),0)</f>
        <v>0</v>
      </c>
      <c r="D5" s="6"/>
    </row>
    <row r="6" spans="1:4" x14ac:dyDescent="0.35">
      <c r="A6" s="2" t="s">
        <v>6</v>
      </c>
      <c r="B6" s="14">
        <f>IFERROR(VLOOKUP($A6,AppSrvPar[#All],2,FALSE),0)</f>
        <v>16</v>
      </c>
      <c r="C6" s="14">
        <f>IFERROR(VLOOKUP($A6,AppSrvPar_QA[#All],2,FALSE),0)</f>
        <v>16</v>
      </c>
      <c r="D6" s="14"/>
    </row>
    <row r="7" spans="1:4" x14ac:dyDescent="0.35">
      <c r="A7" s="78" t="s">
        <v>179</v>
      </c>
      <c r="B7" s="47">
        <f>IF(B11&gt;0,SUM(B8:B12),0)</f>
        <v>0</v>
      </c>
      <c r="C7" s="47">
        <f>IF(C11&gt;0,SUM(C8:C12),0)</f>
        <v>0</v>
      </c>
      <c r="D7" s="14"/>
    </row>
    <row r="8" spans="1:4" x14ac:dyDescent="0.35">
      <c r="A8" s="2" t="s">
        <v>12</v>
      </c>
      <c r="B8" s="14">
        <f>IFERROR(VLOOKUP($A8,AppSrvPar[#All],2,FALSE),0)</f>
        <v>4</v>
      </c>
      <c r="C8" s="14">
        <f>IFERROR(VLOOKUP($A8,AppSrvPar_QA[#All],2,FALSE),0)</f>
        <v>4</v>
      </c>
      <c r="D8" s="14"/>
    </row>
    <row r="9" spans="1:4" x14ac:dyDescent="0.35">
      <c r="A9" s="2" t="s">
        <v>11</v>
      </c>
      <c r="B9" s="14">
        <f>IFERROR(VLOOKUP($A9,AppSrvPar[#All],2,FALSE),0)</f>
        <v>2</v>
      </c>
      <c r="C9" s="14">
        <f>IFERROR(VLOOKUP($A9,AppSrvPar_QA[#All],2,FALSE),0)</f>
        <v>2</v>
      </c>
      <c r="D9" s="14"/>
    </row>
    <row r="10" spans="1:4" x14ac:dyDescent="0.35">
      <c r="A10" s="2" t="s">
        <v>8</v>
      </c>
      <c r="B10" s="14">
        <f>IFERROR(VLOOKUP($A10,AppSrvPar[#All],2,FALSE),0)</f>
        <v>24</v>
      </c>
      <c r="C10" s="14">
        <f>IFERROR(VLOOKUP($A10,AppSrvPar_QA[#All],2,FALSE),0)</f>
        <v>24</v>
      </c>
      <c r="D10" s="14"/>
    </row>
    <row r="11" spans="1:4" x14ac:dyDescent="0.35">
      <c r="A11" s="2" t="s">
        <v>9</v>
      </c>
      <c r="B11" s="14">
        <f>Table19[[#This Row],[devapp'#'#'#]]+Table19[[#This Row],[db'#'#'#]]+Table1929[[#This Row],[rbm-devapp'#'#'#]]+Table1929[[#This Row],[rbm-db'#'#'#]]</f>
        <v>0</v>
      </c>
      <c r="C11" s="14">
        <f>Table19[[#This Row],[qaapp'#'#'#]]+Table19[[#This Row],[qadb'#'#'#]]+Table1929[[#This Row],[rbm-qaapp'#'#'#]]+Table1929[[#This Row],[rbm-qadb'#'#'#]]</f>
        <v>0</v>
      </c>
      <c r="D11" s="14"/>
    </row>
    <row r="12" spans="1:4" x14ac:dyDescent="0.35">
      <c r="A12" s="2" t="s">
        <v>15</v>
      </c>
      <c r="B12" s="14">
        <f>Table19[[#This Row],[devapp'#'#'#]]+Table19[[#This Row],[db'#'#'#]]+Table1929[[#This Row],[rbm-devapp'#'#'#]]+Table1929[[#This Row],[rbm-db'#'#'#]]</f>
        <v>0</v>
      </c>
      <c r="C12" s="14">
        <f>Table19[[#This Row],[qaapp'#'#'#]]+Table19[[#This Row],[qadb'#'#'#]]+Table1929[[#This Row],[rbm-qaapp'#'#'#]]+Table1929[[#This Row],[rbm-qadb'#'#'#]]</f>
        <v>0</v>
      </c>
      <c r="D12" s="14"/>
    </row>
    <row r="13" spans="1:4" x14ac:dyDescent="0.35">
      <c r="A13" s="52" t="s">
        <v>142</v>
      </c>
      <c r="B13" s="51"/>
      <c r="C13" s="51"/>
      <c r="D13" s="51"/>
    </row>
    <row r="14" spans="1:4" x14ac:dyDescent="0.35">
      <c r="A14" s="50" t="s">
        <v>24</v>
      </c>
      <c r="B14" s="14">
        <f>Table19[[#This Row],[devapp'#'#'#]]+Table1929[[#This Row],[rbm-devapp'#'#'#]]</f>
        <v>0</v>
      </c>
      <c r="C14" s="14">
        <f>Table19[[#This Row],[qaapp'#'#'#]]+Table1929[[#This Row],[rbm-qaapp'#'#'#]]</f>
        <v>0</v>
      </c>
      <c r="D14" s="14"/>
    </row>
    <row r="15" spans="1:4" x14ac:dyDescent="0.35">
      <c r="A15" s="50" t="s">
        <v>25</v>
      </c>
      <c r="B15" s="14">
        <f>Table19[[#This Row],[devapp'#'#'#]]+Table1929[[#This Row],[rbm-devapp'#'#'#]]</f>
        <v>0</v>
      </c>
      <c r="C15" s="14">
        <f>Table19[[#This Row],[qaapp'#'#'#]]+Table1929[[#This Row],[rbm-qaapp'#'#'#]]</f>
        <v>0</v>
      </c>
      <c r="D15" s="14"/>
    </row>
    <row r="16" spans="1:4" x14ac:dyDescent="0.35">
      <c r="A16" s="50" t="s">
        <v>69</v>
      </c>
      <c r="B16" s="14">
        <f>Table19[[#This Row],[db'#'#'#]]+Table1929[[#This Row],[rbm-db'#'#'#]]</f>
        <v>0</v>
      </c>
      <c r="C16" s="14">
        <f>Table19[[#This Row],[qadb'#'#'#]]+Table1929[[#This Row],[rbm-qadb'#'#'#]]</f>
        <v>0</v>
      </c>
      <c r="D16" s="14"/>
    </row>
    <row r="17" spans="1:4" x14ac:dyDescent="0.35">
      <c r="A17" s="50" t="s">
        <v>68</v>
      </c>
      <c r="B17" s="14">
        <f>Table19[[#This Row],[db'#'#'#]]</f>
        <v>0</v>
      </c>
      <c r="C17" s="14">
        <f>Table19[[#This Row],[qadb'#'#'#]]</f>
        <v>0</v>
      </c>
      <c r="D17" s="14"/>
    </row>
    <row r="18" spans="1:4" x14ac:dyDescent="0.35">
      <c r="A18" s="86" t="s">
        <v>192</v>
      </c>
      <c r="B18" s="87">
        <v>0</v>
      </c>
      <c r="C18" s="87">
        <v>0</v>
      </c>
      <c r="D18" s="87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defaultRowHeight="14.5" x14ac:dyDescent="0.35"/>
  <cols>
    <col min="1" max="1" width="37" bestFit="1" customWidth="1"/>
    <col min="2" max="2" width="9.6328125" bestFit="1" customWidth="1"/>
    <col min="3" max="3" width="8.36328125" customWidth="1"/>
    <col min="4" max="4" width="10.6328125" bestFit="1" customWidth="1"/>
    <col min="5" max="5" width="10.26953125" bestFit="1" customWidth="1"/>
    <col min="6" max="6" width="42.90625" bestFit="1" customWidth="1"/>
  </cols>
  <sheetData>
    <row r="1" spans="1:6" x14ac:dyDescent="0.35">
      <c r="A1" t="s">
        <v>191</v>
      </c>
      <c r="B1" t="s">
        <v>195</v>
      </c>
      <c r="C1" t="s">
        <v>185</v>
      </c>
      <c r="D1" t="s">
        <v>1</v>
      </c>
      <c r="E1" t="s">
        <v>190</v>
      </c>
      <c r="F1" t="s">
        <v>10</v>
      </c>
    </row>
    <row r="2" spans="1:6" x14ac:dyDescent="0.35">
      <c r="A2" t="s">
        <v>230</v>
      </c>
      <c r="B2">
        <v>1</v>
      </c>
      <c r="C2">
        <v>4</v>
      </c>
      <c r="D2">
        <v>8</v>
      </c>
      <c r="E2">
        <v>86</v>
      </c>
      <c r="F2">
        <f>16+4+2+24+40</f>
        <v>86</v>
      </c>
    </row>
    <row r="3" spans="1:6" x14ac:dyDescent="0.35">
      <c r="A3" s="91" t="s">
        <v>2</v>
      </c>
      <c r="B3" s="91">
        <f>SUBTOTAL(109,Table3[VM Qty])</f>
        <v>1</v>
      </c>
      <c r="C3" s="91">
        <f ca="1">SUMPRODUCT(SUBTOTAL(109,OFFSET($B2:$B2,ROW($B2:$B2)-MIN(ROW($B2:$B2)),0,1)),C2:C2)</f>
        <v>4</v>
      </c>
      <c r="D3" s="91">
        <f ca="1">SUMPRODUCT(SUBTOTAL(109,OFFSET($B2:$B2,ROW($B2:$B2)-MIN(ROW($B2:$B2)),0,1)),D2:D2)</f>
        <v>8</v>
      </c>
      <c r="E3" s="91">
        <f ca="1">SUMPRODUCT(SUBTOTAL(109,OFFSET($B2:$B2,ROW($B2:$B2)-MIN(ROW($B2:$B2)),0,1)),E2:E2)</f>
        <v>86</v>
      </c>
      <c r="F3" s="9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9" sqref="C9"/>
    </sheetView>
  </sheetViews>
  <sheetFormatPr defaultRowHeight="14.5" x14ac:dyDescent="0.35"/>
  <cols>
    <col min="1" max="1" width="17.90625" bestFit="1" customWidth="1"/>
    <col min="2" max="3" width="9.36328125" bestFit="1" customWidth="1"/>
  </cols>
  <sheetData>
    <row r="1" spans="1:3" x14ac:dyDescent="0.35">
      <c r="A1" s="93" t="s">
        <v>26</v>
      </c>
      <c r="B1" s="93" t="s">
        <v>211</v>
      </c>
      <c r="C1" s="93" t="s">
        <v>212</v>
      </c>
    </row>
    <row r="2" spans="1:3" x14ac:dyDescent="0.35">
      <c r="A2" s="83" t="s">
        <v>216</v>
      </c>
      <c r="B2" s="83">
        <v>2424</v>
      </c>
      <c r="C2" s="83">
        <v>1144</v>
      </c>
    </row>
    <row r="3" spans="1:3" x14ac:dyDescent="0.35">
      <c r="A3" s="83" t="s">
        <v>185</v>
      </c>
      <c r="B3" s="83">
        <f>B2*B6</f>
        <v>7272</v>
      </c>
      <c r="C3" s="83">
        <f>C2*C6</f>
        <v>1144</v>
      </c>
    </row>
    <row r="4" spans="1:3" x14ac:dyDescent="0.35">
      <c r="A4" s="83" t="s">
        <v>4</v>
      </c>
      <c r="B4" s="83">
        <v>31705</v>
      </c>
      <c r="C4" s="83">
        <v>16710</v>
      </c>
    </row>
    <row r="5" spans="1:3" x14ac:dyDescent="0.35">
      <c r="A5" s="83" t="s">
        <v>7</v>
      </c>
      <c r="B5" s="83">
        <v>612500</v>
      </c>
      <c r="C5" s="83">
        <v>196000</v>
      </c>
    </row>
    <row r="6" spans="1:3" x14ac:dyDescent="0.35">
      <c r="A6" s="83" t="s">
        <v>188</v>
      </c>
      <c r="B6" s="94">
        <v>3</v>
      </c>
      <c r="C6" s="94">
        <v>1</v>
      </c>
    </row>
    <row r="7" spans="1:3" x14ac:dyDescent="0.35">
      <c r="A7" s="83" t="s">
        <v>0</v>
      </c>
      <c r="B7" s="83">
        <v>1276000</v>
      </c>
      <c r="C7" s="83">
        <v>524500</v>
      </c>
    </row>
    <row r="8" spans="1:3" x14ac:dyDescent="0.35">
      <c r="A8" s="83" t="s">
        <v>209</v>
      </c>
      <c r="B8" s="90">
        <v>21266.667000000001</v>
      </c>
      <c r="C8" s="90">
        <v>8741.6669999999995</v>
      </c>
    </row>
    <row r="9" spans="1:3" x14ac:dyDescent="0.35">
      <c r="A9" s="83" t="s">
        <v>213</v>
      </c>
      <c r="B9" s="90">
        <v>14870</v>
      </c>
      <c r="C9" s="90">
        <v>4720</v>
      </c>
    </row>
    <row r="11" spans="1:3" x14ac:dyDescent="0.35">
      <c r="A11" t="s">
        <v>188</v>
      </c>
    </row>
    <row r="12" spans="1:3" x14ac:dyDescent="0.35">
      <c r="A12">
        <v>1</v>
      </c>
    </row>
    <row r="13" spans="1:3" x14ac:dyDescent="0.35">
      <c r="A13">
        <v>2</v>
      </c>
    </row>
    <row r="14" spans="1:3" x14ac:dyDescent="0.35">
      <c r="A14">
        <v>3</v>
      </c>
    </row>
  </sheetData>
  <sheetProtection algorithmName="SHA-512" hashValue="6VUdy4dyMt2U2uZo/SS9a2yhVkmoYAgkMfztPLlHgtXe/ZmUx6ZObFX8xktO2QNf921CVWfNYHb+5SUL4dsoOg==" saltValue="RPT5mgl5o7FVPWVQCj/rXA==" spinCount="100000" sheet="1" objects="1" scenarios="1"/>
  <dataValidations disablePrompts="1" count="1">
    <dataValidation type="list" allowBlank="1" showInputMessage="1" showErrorMessage="1" sqref="B6:C6">
      <formula1>vCPUoversub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13" sqref="B13"/>
    </sheetView>
  </sheetViews>
  <sheetFormatPr defaultRowHeight="14.5" x14ac:dyDescent="0.35"/>
  <cols>
    <col min="1" max="1" width="43.90625" bestFit="1" customWidth="1"/>
    <col min="3" max="3" width="45.08984375" bestFit="1" customWidth="1"/>
  </cols>
  <sheetData>
    <row r="1" spans="1:3" x14ac:dyDescent="0.35">
      <c r="A1" t="s">
        <v>26</v>
      </c>
      <c r="B1" t="s">
        <v>3</v>
      </c>
      <c r="C1" t="s">
        <v>10</v>
      </c>
    </row>
    <row r="2" spans="1:3" x14ac:dyDescent="0.35">
      <c r="A2" t="s">
        <v>185</v>
      </c>
      <c r="B2">
        <v>4</v>
      </c>
      <c r="C2" t="s">
        <v>186</v>
      </c>
    </row>
    <row r="3" spans="1:3" x14ac:dyDescent="0.35">
      <c r="A3" t="s">
        <v>31</v>
      </c>
      <c r="B3">
        <v>2</v>
      </c>
    </row>
    <row r="4" spans="1:3" x14ac:dyDescent="0.35">
      <c r="A4" t="s">
        <v>29</v>
      </c>
      <c r="B4" s="7">
        <v>0.3</v>
      </c>
    </row>
    <row r="5" spans="1:3" x14ac:dyDescent="0.35">
      <c r="A5" t="s">
        <v>30</v>
      </c>
      <c r="B5" s="7">
        <v>0.3</v>
      </c>
    </row>
    <row r="6" spans="1:3" x14ac:dyDescent="0.35">
      <c r="A6" t="s">
        <v>99</v>
      </c>
      <c r="B6" s="7">
        <v>0.3</v>
      </c>
      <c r="C6" s="1"/>
    </row>
    <row r="8" spans="1:3" x14ac:dyDescent="0.35">
      <c r="A8" t="s">
        <v>26</v>
      </c>
      <c r="B8" t="s">
        <v>3</v>
      </c>
      <c r="C8" t="s">
        <v>10</v>
      </c>
    </row>
    <row r="9" spans="1:3" x14ac:dyDescent="0.35">
      <c r="A9" t="s">
        <v>81</v>
      </c>
      <c r="B9">
        <v>0</v>
      </c>
      <c r="C9" s="55"/>
    </row>
    <row r="10" spans="1:3" x14ac:dyDescent="0.35">
      <c r="A10" t="s">
        <v>82</v>
      </c>
      <c r="B10">
        <v>0</v>
      </c>
    </row>
    <row r="11" spans="1:3" x14ac:dyDescent="0.35">
      <c r="A11" t="s">
        <v>83</v>
      </c>
      <c r="B11">
        <v>0</v>
      </c>
    </row>
    <row r="12" spans="1:3" x14ac:dyDescent="0.35">
      <c r="A12" t="s">
        <v>84</v>
      </c>
      <c r="B12">
        <v>0</v>
      </c>
    </row>
    <row r="13" spans="1:3" x14ac:dyDescent="0.35">
      <c r="A13" t="s">
        <v>113</v>
      </c>
      <c r="B13" s="6">
        <v>10</v>
      </c>
      <c r="C13" t="s">
        <v>180</v>
      </c>
    </row>
    <row r="14" spans="1:3" x14ac:dyDescent="0.35">
      <c r="A14" t="s">
        <v>13</v>
      </c>
      <c r="B14" s="17"/>
    </row>
    <row r="15" spans="1:3" x14ac:dyDescent="0.35">
      <c r="A15" t="s">
        <v>114</v>
      </c>
      <c r="B15" s="6">
        <v>0</v>
      </c>
    </row>
    <row r="16" spans="1:3" x14ac:dyDescent="0.35">
      <c r="A16" t="s">
        <v>89</v>
      </c>
      <c r="B16" s="6">
        <f>2*1024/1024</f>
        <v>2</v>
      </c>
      <c r="C16" t="s">
        <v>177</v>
      </c>
    </row>
    <row r="17" spans="1:3" x14ac:dyDescent="0.35">
      <c r="A17" t="s">
        <v>90</v>
      </c>
      <c r="B17" s="6">
        <f>512/1024</f>
        <v>0.5</v>
      </c>
      <c r="C17" t="s">
        <v>178</v>
      </c>
    </row>
    <row r="18" spans="1:3" x14ac:dyDescent="0.35">
      <c r="A18" t="s">
        <v>92</v>
      </c>
      <c r="B18" s="6">
        <f>0.5*1024/1024</f>
        <v>0.5</v>
      </c>
      <c r="C18" t="s">
        <v>184</v>
      </c>
    </row>
    <row r="19" spans="1:3" x14ac:dyDescent="0.35">
      <c r="A19" t="s">
        <v>91</v>
      </c>
      <c r="B19" s="6">
        <f>384/1024</f>
        <v>0.38</v>
      </c>
      <c r="C19" t="s">
        <v>183</v>
      </c>
    </row>
    <row r="20" spans="1:3" x14ac:dyDescent="0.35">
      <c r="A20" s="15" t="s">
        <v>85</v>
      </c>
      <c r="B20">
        <v>2</v>
      </c>
    </row>
    <row r="21" spans="1:3" x14ac:dyDescent="0.35">
      <c r="A21" t="s">
        <v>181</v>
      </c>
      <c r="B21" s="6">
        <f>2*1024/1024</f>
        <v>2</v>
      </c>
      <c r="C21" t="s">
        <v>177</v>
      </c>
    </row>
    <row r="22" spans="1:3" x14ac:dyDescent="0.35">
      <c r="A22" t="s">
        <v>182</v>
      </c>
      <c r="B22" s="6">
        <f>512/1024</f>
        <v>0.5</v>
      </c>
      <c r="C22" t="s">
        <v>178</v>
      </c>
    </row>
    <row r="23" spans="1:3" x14ac:dyDescent="0.35">
      <c r="A23" t="s">
        <v>34</v>
      </c>
      <c r="B23" s="58" t="s">
        <v>35</v>
      </c>
    </row>
    <row r="24" spans="1:3" x14ac:dyDescent="0.35">
      <c r="A24" t="s">
        <v>32</v>
      </c>
      <c r="B24" s="6">
        <f>200/1024</f>
        <v>0.2</v>
      </c>
      <c r="C24" t="s">
        <v>28</v>
      </c>
    </row>
    <row r="25" spans="1:3" x14ac:dyDescent="0.35">
      <c r="A25" t="s">
        <v>33</v>
      </c>
      <c r="B25" s="6"/>
      <c r="C25" t="s">
        <v>93</v>
      </c>
    </row>
    <row r="27" spans="1:3" x14ac:dyDescent="0.35">
      <c r="A27" t="s">
        <v>27</v>
      </c>
      <c r="B27" t="s">
        <v>3</v>
      </c>
      <c r="C27" t="s">
        <v>10</v>
      </c>
    </row>
    <row r="28" spans="1:3" x14ac:dyDescent="0.35">
      <c r="A28" s="3" t="s">
        <v>4</v>
      </c>
      <c r="B28" s="9">
        <f>IF(B9+B11&gt;0,B29+B3,0)</f>
        <v>0</v>
      </c>
      <c r="C28" s="3"/>
    </row>
    <row r="29" spans="1:3" x14ac:dyDescent="0.35">
      <c r="A29" s="4" t="s">
        <v>24</v>
      </c>
      <c r="B29" s="9">
        <f>IF(B9+B11&gt;0,(B10*(B16+B17)+B12*(B18+B19+B20*(B21+B22)+IF(B23="YES",B24+B25,0)))/(1-B4),0)</f>
        <v>0</v>
      </c>
      <c r="C29" s="3"/>
    </row>
    <row r="30" spans="1:3" x14ac:dyDescent="0.35">
      <c r="A30" s="3" t="s">
        <v>7</v>
      </c>
      <c r="B30" s="9">
        <f>IF(B9+B11&gt;0,SUM(B31:B37),0)</f>
        <v>0</v>
      </c>
      <c r="C30" s="3"/>
    </row>
    <row r="31" spans="1:3" x14ac:dyDescent="0.35">
      <c r="A31" s="2" t="s">
        <v>5</v>
      </c>
      <c r="B31">
        <v>0</v>
      </c>
      <c r="C31" s="16" t="s">
        <v>111</v>
      </c>
    </row>
    <row r="32" spans="1:3" x14ac:dyDescent="0.35">
      <c r="A32" s="2" t="s">
        <v>6</v>
      </c>
      <c r="B32">
        <v>16</v>
      </c>
    </row>
    <row r="33" spans="1:3" x14ac:dyDescent="0.35">
      <c r="A33" s="2" t="s">
        <v>12</v>
      </c>
      <c r="B33">
        <v>4</v>
      </c>
    </row>
    <row r="34" spans="1:3" x14ac:dyDescent="0.35">
      <c r="A34" s="2" t="s">
        <v>11</v>
      </c>
      <c r="B34">
        <v>2</v>
      </c>
    </row>
    <row r="35" spans="1:3" x14ac:dyDescent="0.35">
      <c r="A35" s="2" t="s">
        <v>8</v>
      </c>
      <c r="B35">
        <v>24</v>
      </c>
      <c r="C35" t="s">
        <v>100</v>
      </c>
    </row>
    <row r="36" spans="1:3" x14ac:dyDescent="0.35">
      <c r="A36" s="2" t="s">
        <v>9</v>
      </c>
      <c r="B36" s="14">
        <f>IF(B9+B11&gt;0,MAX((B9+B11)*B13/(1-B5),B15/(1-B5),24),0)</f>
        <v>0</v>
      </c>
      <c r="C36" t="s">
        <v>101</v>
      </c>
    </row>
    <row r="37" spans="1:3" x14ac:dyDescent="0.35">
      <c r="A37" s="2" t="s">
        <v>15</v>
      </c>
      <c r="B37" s="14">
        <f>IF(B9+B11&gt;0,MAX((B9+B11)*B13*B6,B15*B6,12),0)</f>
        <v>0</v>
      </c>
      <c r="C37" t="s">
        <v>102</v>
      </c>
    </row>
    <row r="38" spans="1:3" x14ac:dyDescent="0.35">
      <c r="A38" s="5" t="s">
        <v>25</v>
      </c>
      <c r="B38" s="9">
        <f>B36</f>
        <v>0</v>
      </c>
    </row>
    <row r="39" spans="1:3" x14ac:dyDescent="0.35">
      <c r="A39" s="3" t="s">
        <v>185</v>
      </c>
      <c r="B39" s="9">
        <f>IF(B9+B11&gt;0,B2,0)</f>
        <v>0</v>
      </c>
      <c r="C39" t="s">
        <v>187</v>
      </c>
    </row>
  </sheetData>
  <dataValidations count="3">
    <dataValidation type="list" allowBlank="1" showInputMessage="1" showErrorMessage="1" sqref="B31">
      <formula1>"0,0,25"</formula1>
    </dataValidation>
    <dataValidation errorStyle="information" allowBlank="1" showInputMessage="1" showErrorMessage="1" promptTitle="Attention" prompt="Use either 'Avg NETCRACKER_HOME size' or 'Total Application Home size'" sqref="B15"/>
    <dataValidation type="list" allowBlank="1" showInputMessage="1" showErrorMessage="1" sqref="B23">
      <formula1>"YES,NO"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14" sqref="B14"/>
    </sheetView>
  </sheetViews>
  <sheetFormatPr defaultRowHeight="14.5" x14ac:dyDescent="0.35"/>
  <cols>
    <col min="1" max="1" width="43.90625" bestFit="1" customWidth="1"/>
    <col min="3" max="3" width="45.08984375" bestFit="1" customWidth="1"/>
  </cols>
  <sheetData>
    <row r="1" spans="1:3" x14ac:dyDescent="0.35">
      <c r="A1" t="s">
        <v>26</v>
      </c>
      <c r="B1" t="s">
        <v>3</v>
      </c>
      <c r="C1" t="s">
        <v>10</v>
      </c>
    </row>
    <row r="2" spans="1:3" x14ac:dyDescent="0.35">
      <c r="A2" t="s">
        <v>185</v>
      </c>
      <c r="B2">
        <v>4</v>
      </c>
      <c r="C2" t="s">
        <v>186</v>
      </c>
    </row>
    <row r="3" spans="1:3" x14ac:dyDescent="0.35">
      <c r="A3" t="s">
        <v>31</v>
      </c>
      <c r="B3">
        <v>2</v>
      </c>
    </row>
    <row r="4" spans="1:3" x14ac:dyDescent="0.35">
      <c r="A4" t="s">
        <v>29</v>
      </c>
      <c r="B4" s="7">
        <v>0.3</v>
      </c>
    </row>
    <row r="5" spans="1:3" x14ac:dyDescent="0.35">
      <c r="A5" t="s">
        <v>30</v>
      </c>
      <c r="B5" s="7">
        <v>0.3</v>
      </c>
    </row>
    <row r="6" spans="1:3" x14ac:dyDescent="0.35">
      <c r="A6" t="s">
        <v>99</v>
      </c>
      <c r="B6" s="7">
        <v>0.3</v>
      </c>
      <c r="C6" s="1"/>
    </row>
    <row r="8" spans="1:3" x14ac:dyDescent="0.35">
      <c r="A8" t="s">
        <v>26</v>
      </c>
      <c r="B8" t="s">
        <v>3</v>
      </c>
      <c r="C8" t="s">
        <v>10</v>
      </c>
    </row>
    <row r="9" spans="1:3" x14ac:dyDescent="0.35">
      <c r="A9" t="s">
        <v>81</v>
      </c>
      <c r="B9">
        <v>0</v>
      </c>
    </row>
    <row r="10" spans="1:3" x14ac:dyDescent="0.35">
      <c r="A10" t="s">
        <v>82</v>
      </c>
      <c r="B10">
        <v>0</v>
      </c>
    </row>
    <row r="11" spans="1:3" x14ac:dyDescent="0.35">
      <c r="A11" t="s">
        <v>83</v>
      </c>
      <c r="B11">
        <v>0</v>
      </c>
    </row>
    <row r="12" spans="1:3" x14ac:dyDescent="0.35">
      <c r="A12" t="s">
        <v>84</v>
      </c>
      <c r="B12">
        <v>0</v>
      </c>
    </row>
    <row r="13" spans="1:3" x14ac:dyDescent="0.35">
      <c r="A13" t="s">
        <v>113</v>
      </c>
      <c r="B13" s="6">
        <v>10</v>
      </c>
      <c r="C13" t="s">
        <v>180</v>
      </c>
    </row>
    <row r="14" spans="1:3" x14ac:dyDescent="0.35">
      <c r="A14" t="s">
        <v>13</v>
      </c>
      <c r="B14" s="17"/>
    </row>
    <row r="15" spans="1:3" x14ac:dyDescent="0.35">
      <c r="A15" t="s">
        <v>114</v>
      </c>
      <c r="B15" s="6">
        <v>0</v>
      </c>
    </row>
    <row r="16" spans="1:3" x14ac:dyDescent="0.35">
      <c r="A16" t="s">
        <v>89</v>
      </c>
      <c r="B16" s="6">
        <f>2*1024/1024</f>
        <v>2</v>
      </c>
      <c r="C16" t="s">
        <v>177</v>
      </c>
    </row>
    <row r="17" spans="1:3" x14ac:dyDescent="0.35">
      <c r="A17" t="s">
        <v>90</v>
      </c>
      <c r="B17" s="6">
        <f>512/1024</f>
        <v>0.5</v>
      </c>
      <c r="C17" t="s">
        <v>178</v>
      </c>
    </row>
    <row r="18" spans="1:3" x14ac:dyDescent="0.35">
      <c r="A18" t="s">
        <v>92</v>
      </c>
      <c r="B18" s="6">
        <f>0.5*1024/1024</f>
        <v>0.5</v>
      </c>
      <c r="C18" t="s">
        <v>184</v>
      </c>
    </row>
    <row r="19" spans="1:3" x14ac:dyDescent="0.35">
      <c r="A19" t="s">
        <v>91</v>
      </c>
      <c r="B19" s="6">
        <f>384/1024</f>
        <v>0.38</v>
      </c>
      <c r="C19" t="s">
        <v>183</v>
      </c>
    </row>
    <row r="20" spans="1:3" x14ac:dyDescent="0.35">
      <c r="A20" s="15" t="s">
        <v>85</v>
      </c>
      <c r="B20">
        <v>2</v>
      </c>
    </row>
    <row r="21" spans="1:3" x14ac:dyDescent="0.35">
      <c r="A21" t="s">
        <v>181</v>
      </c>
      <c r="B21" s="6">
        <f>2*1024/1024</f>
        <v>2</v>
      </c>
      <c r="C21" t="s">
        <v>177</v>
      </c>
    </row>
    <row r="22" spans="1:3" x14ac:dyDescent="0.35">
      <c r="A22" t="s">
        <v>182</v>
      </c>
      <c r="B22" s="6">
        <f>512/1024</f>
        <v>0.5</v>
      </c>
      <c r="C22" t="s">
        <v>178</v>
      </c>
    </row>
    <row r="23" spans="1:3" x14ac:dyDescent="0.35">
      <c r="A23" t="s">
        <v>34</v>
      </c>
      <c r="B23" s="58" t="s">
        <v>35</v>
      </c>
    </row>
    <row r="24" spans="1:3" x14ac:dyDescent="0.35">
      <c r="A24" t="s">
        <v>32</v>
      </c>
      <c r="B24" s="6">
        <f>200/1024</f>
        <v>0.2</v>
      </c>
      <c r="C24" t="s">
        <v>28</v>
      </c>
    </row>
    <row r="25" spans="1:3" x14ac:dyDescent="0.35">
      <c r="A25" t="s">
        <v>33</v>
      </c>
      <c r="B25" s="6"/>
      <c r="C25" t="s">
        <v>93</v>
      </c>
    </row>
    <row r="27" spans="1:3" x14ac:dyDescent="0.35">
      <c r="A27" t="s">
        <v>27</v>
      </c>
      <c r="B27" t="s">
        <v>3</v>
      </c>
      <c r="C27" t="s">
        <v>10</v>
      </c>
    </row>
    <row r="28" spans="1:3" x14ac:dyDescent="0.35">
      <c r="A28" s="3" t="s">
        <v>4</v>
      </c>
      <c r="B28" s="9">
        <f>IF(B9+B11&gt;0,B29+B3,0)</f>
        <v>0</v>
      </c>
      <c r="C28" s="3"/>
    </row>
    <row r="29" spans="1:3" x14ac:dyDescent="0.35">
      <c r="A29" s="4" t="s">
        <v>24</v>
      </c>
      <c r="B29" s="9">
        <f>IF(B9+B11&gt;0,(B10*(B16+B17)+B12*(B18+B19+B20*(B21+B22)+IF(B23="YES",B24+B25,0)))/(1-B4),0)</f>
        <v>0</v>
      </c>
      <c r="C29" s="3"/>
    </row>
    <row r="30" spans="1:3" x14ac:dyDescent="0.35">
      <c r="A30" s="3" t="s">
        <v>7</v>
      </c>
      <c r="B30" s="9">
        <f>IF(B9+B11&gt;0,SUM(B31:B37),0)</f>
        <v>0</v>
      </c>
      <c r="C30" s="3"/>
    </row>
    <row r="31" spans="1:3" x14ac:dyDescent="0.35">
      <c r="A31" s="2" t="s">
        <v>5</v>
      </c>
      <c r="B31">
        <v>0</v>
      </c>
      <c r="C31" s="16" t="s">
        <v>111</v>
      </c>
    </row>
    <row r="32" spans="1:3" x14ac:dyDescent="0.35">
      <c r="A32" s="2" t="s">
        <v>6</v>
      </c>
      <c r="B32">
        <v>16</v>
      </c>
    </row>
    <row r="33" spans="1:3" x14ac:dyDescent="0.35">
      <c r="A33" s="2" t="s">
        <v>12</v>
      </c>
      <c r="B33">
        <v>4</v>
      </c>
    </row>
    <row r="34" spans="1:3" x14ac:dyDescent="0.35">
      <c r="A34" s="2" t="s">
        <v>11</v>
      </c>
      <c r="B34">
        <v>2</v>
      </c>
    </row>
    <row r="35" spans="1:3" x14ac:dyDescent="0.35">
      <c r="A35" s="2" t="s">
        <v>8</v>
      </c>
      <c r="B35">
        <v>24</v>
      </c>
      <c r="C35" t="s">
        <v>100</v>
      </c>
    </row>
    <row r="36" spans="1:3" x14ac:dyDescent="0.35">
      <c r="A36" s="2" t="s">
        <v>9</v>
      </c>
      <c r="B36" s="14">
        <f>IF(B9+B11&gt;0,MAX((B9+B11)*B13/(1-B5),B15/(1-B5),24),0)</f>
        <v>0</v>
      </c>
      <c r="C36" t="s">
        <v>101</v>
      </c>
    </row>
    <row r="37" spans="1:3" x14ac:dyDescent="0.35">
      <c r="A37" s="2" t="s">
        <v>15</v>
      </c>
      <c r="B37" s="14">
        <f>IF(B9+B11&gt;0,MAX((B9+B11)*B13*B6,B15*B6,12),0)</f>
        <v>0</v>
      </c>
      <c r="C37" t="s">
        <v>102</v>
      </c>
    </row>
    <row r="38" spans="1:3" x14ac:dyDescent="0.35">
      <c r="A38" s="5" t="s">
        <v>25</v>
      </c>
      <c r="B38" s="9">
        <f>B36</f>
        <v>0</v>
      </c>
    </row>
    <row r="39" spans="1:3" x14ac:dyDescent="0.35">
      <c r="A39" s="3" t="s">
        <v>185</v>
      </c>
      <c r="B39" s="9">
        <f>IF(B9+B11&gt;0,B2,0)</f>
        <v>0</v>
      </c>
      <c r="C39" t="s">
        <v>187</v>
      </c>
    </row>
  </sheetData>
  <dataConsolidate/>
  <dataValidations count="3">
    <dataValidation type="list" allowBlank="1" showInputMessage="1" showErrorMessage="1" sqref="B31">
      <formula1>"0,0,25"</formula1>
    </dataValidation>
    <dataValidation errorStyle="information" allowBlank="1" showInputMessage="1" showErrorMessage="1" promptTitle="Attention" prompt="Use either 'Avg NETCRACKER_HOME size' or 'Total Application Home size'" sqref="B15"/>
    <dataValidation type="list" allowBlank="1" showInputMessage="1" showErrorMessage="1" sqref="B23">
      <formula1>"YES,NO"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B19" sqref="B19"/>
    </sheetView>
  </sheetViews>
  <sheetFormatPr defaultRowHeight="14.5" x14ac:dyDescent="0.35"/>
  <cols>
    <col min="1" max="1" width="43.90625" bestFit="1" customWidth="1"/>
    <col min="2" max="2" width="9.90625" bestFit="1" customWidth="1"/>
    <col min="3" max="3" width="54" bestFit="1" customWidth="1"/>
    <col min="4" max="4" width="7.36328125" bestFit="1" customWidth="1"/>
  </cols>
  <sheetData>
    <row r="1" spans="1:4" x14ac:dyDescent="0.35">
      <c r="A1" t="s">
        <v>26</v>
      </c>
      <c r="B1" t="s">
        <v>3</v>
      </c>
      <c r="C1" t="s">
        <v>10</v>
      </c>
      <c r="D1" t="s">
        <v>158</v>
      </c>
    </row>
    <row r="2" spans="1:4" x14ac:dyDescent="0.35">
      <c r="A2" t="s">
        <v>185</v>
      </c>
      <c r="B2">
        <v>4</v>
      </c>
      <c r="C2" t="s">
        <v>186</v>
      </c>
      <c r="D2" s="80"/>
    </row>
    <row r="3" spans="1:4" x14ac:dyDescent="0.35">
      <c r="A3" t="s">
        <v>31</v>
      </c>
      <c r="B3">
        <v>2</v>
      </c>
      <c r="C3" s="60"/>
      <c r="D3" s="60"/>
    </row>
    <row r="4" spans="1:4" x14ac:dyDescent="0.35">
      <c r="A4" t="s">
        <v>29</v>
      </c>
      <c r="B4" s="7">
        <f>IF(B10="YES",20%,30%)</f>
        <v>0.2</v>
      </c>
      <c r="C4" s="60" t="s">
        <v>160</v>
      </c>
      <c r="D4" s="60">
        <f>IF(B10="YES",8,"")</f>
        <v>8</v>
      </c>
    </row>
    <row r="5" spans="1:4" x14ac:dyDescent="0.35">
      <c r="A5" t="s">
        <v>36</v>
      </c>
      <c r="B5" s="7">
        <v>0.3</v>
      </c>
      <c r="C5" s="60"/>
      <c r="D5" s="60"/>
    </row>
    <row r="6" spans="1:4" x14ac:dyDescent="0.35">
      <c r="A6" t="s">
        <v>144</v>
      </c>
      <c r="B6" s="7">
        <v>0.3</v>
      </c>
      <c r="C6" s="60"/>
      <c r="D6" s="60"/>
    </row>
    <row r="7" spans="1:4" x14ac:dyDescent="0.35">
      <c r="A7" t="s">
        <v>46</v>
      </c>
      <c r="B7" s="7">
        <v>0.4</v>
      </c>
      <c r="C7" s="60"/>
      <c r="D7" s="60"/>
    </row>
    <row r="8" spans="1:4" x14ac:dyDescent="0.35">
      <c r="A8" t="s">
        <v>37</v>
      </c>
      <c r="B8" s="7">
        <f>IF(B10="YES",5%,3%)</f>
        <v>0.05</v>
      </c>
      <c r="C8" s="60" t="s">
        <v>153</v>
      </c>
      <c r="D8" s="60"/>
    </row>
    <row r="9" spans="1:4" x14ac:dyDescent="0.35">
      <c r="A9" t="s">
        <v>146</v>
      </c>
      <c r="B9" s="7">
        <f>1/3</f>
        <v>0.33</v>
      </c>
      <c r="C9" s="66" t="s">
        <v>159</v>
      </c>
      <c r="D9" s="60">
        <f>1536/1024</f>
        <v>1.5</v>
      </c>
    </row>
    <row r="10" spans="1:4" x14ac:dyDescent="0.35">
      <c r="A10" t="s">
        <v>150</v>
      </c>
      <c r="B10" s="72" t="s">
        <v>152</v>
      </c>
      <c r="C10" s="66" t="s">
        <v>151</v>
      </c>
      <c r="D10" s="60"/>
    </row>
    <row r="11" spans="1:4" x14ac:dyDescent="0.35">
      <c r="A11" t="s">
        <v>96</v>
      </c>
      <c r="B11" s="7">
        <v>0.01</v>
      </c>
      <c r="C11" s="60"/>
      <c r="D11" s="60"/>
    </row>
    <row r="12" spans="1:4" x14ac:dyDescent="0.35">
      <c r="A12" t="s">
        <v>44</v>
      </c>
      <c r="B12" s="7">
        <v>0.16</v>
      </c>
      <c r="C12" s="60" t="s">
        <v>45</v>
      </c>
      <c r="D12" s="60"/>
    </row>
    <row r="14" spans="1:4" x14ac:dyDescent="0.35">
      <c r="A14" t="s">
        <v>163</v>
      </c>
      <c r="B14" t="s">
        <v>3</v>
      </c>
      <c r="C14" t="s">
        <v>10</v>
      </c>
    </row>
    <row r="15" spans="1:4" x14ac:dyDescent="0.35">
      <c r="A15" t="s">
        <v>81</v>
      </c>
      <c r="B15">
        <v>0</v>
      </c>
    </row>
    <row r="16" spans="1:4" x14ac:dyDescent="0.35">
      <c r="A16" t="s">
        <v>82</v>
      </c>
      <c r="B16">
        <v>0</v>
      </c>
    </row>
    <row r="17" spans="1:3" x14ac:dyDescent="0.35">
      <c r="A17" t="s">
        <v>83</v>
      </c>
      <c r="B17">
        <v>0</v>
      </c>
      <c r="C17" s="56"/>
    </row>
    <row r="18" spans="1:3" x14ac:dyDescent="0.35">
      <c r="A18" t="s">
        <v>84</v>
      </c>
      <c r="B18">
        <v>0</v>
      </c>
      <c r="C18" s="56"/>
    </row>
    <row r="19" spans="1:3" x14ac:dyDescent="0.35">
      <c r="A19" t="s">
        <v>85</v>
      </c>
      <c r="B19">
        <v>2</v>
      </c>
    </row>
    <row r="20" spans="1:3" x14ac:dyDescent="0.35">
      <c r="A20" t="s">
        <v>60</v>
      </c>
      <c r="B20">
        <v>10</v>
      </c>
      <c r="C20" t="s">
        <v>97</v>
      </c>
    </row>
    <row r="21" spans="1:3" x14ac:dyDescent="0.35">
      <c r="A21" t="s">
        <v>13</v>
      </c>
    </row>
    <row r="22" spans="1:3" x14ac:dyDescent="0.35">
      <c r="A22" t="s">
        <v>61</v>
      </c>
      <c r="B22">
        <v>0</v>
      </c>
    </row>
    <row r="23" spans="1:3" ht="72.5" x14ac:dyDescent="0.35">
      <c r="A23" t="s">
        <v>62</v>
      </c>
      <c r="B23" s="14">
        <f>IF(B16+B18&gt;0,(B16*(6+10+1)+B18*(6+B19*(6+10+1)))/(1-B6)+42,0)</f>
        <v>0</v>
      </c>
      <c r="C23" s="65" t="s">
        <v>165</v>
      </c>
    </row>
    <row r="24" spans="1:3" x14ac:dyDescent="0.35">
      <c r="C24" s="1"/>
    </row>
    <row r="25" spans="1:3" x14ac:dyDescent="0.35">
      <c r="A25" t="s">
        <v>164</v>
      </c>
      <c r="B25" t="s">
        <v>3</v>
      </c>
      <c r="C25" t="s">
        <v>10</v>
      </c>
    </row>
    <row r="26" spans="1:3" x14ac:dyDescent="0.35">
      <c r="A26" t="s">
        <v>81</v>
      </c>
      <c r="B26">
        <v>0</v>
      </c>
    </row>
    <row r="27" spans="1:3" x14ac:dyDescent="0.35">
      <c r="A27" t="s">
        <v>82</v>
      </c>
      <c r="B27">
        <v>0</v>
      </c>
    </row>
    <row r="28" spans="1:3" x14ac:dyDescent="0.35">
      <c r="A28" t="s">
        <v>83</v>
      </c>
      <c r="B28">
        <v>0</v>
      </c>
    </row>
    <row r="29" spans="1:3" x14ac:dyDescent="0.35">
      <c r="A29" t="s">
        <v>84</v>
      </c>
      <c r="B29">
        <v>0</v>
      </c>
    </row>
    <row r="30" spans="1:3" x14ac:dyDescent="0.35">
      <c r="A30" t="s">
        <v>85</v>
      </c>
      <c r="B30">
        <v>2</v>
      </c>
    </row>
    <row r="31" spans="1:3" x14ac:dyDescent="0.35">
      <c r="A31" t="s">
        <v>63</v>
      </c>
      <c r="B31">
        <v>10</v>
      </c>
      <c r="C31" t="s">
        <v>14</v>
      </c>
    </row>
    <row r="32" spans="1:3" x14ac:dyDescent="0.35">
      <c r="A32" t="s">
        <v>13</v>
      </c>
    </row>
    <row r="33" spans="1:7" x14ac:dyDescent="0.35">
      <c r="A33" t="s">
        <v>64</v>
      </c>
    </row>
    <row r="34" spans="1:7" ht="72.5" x14ac:dyDescent="0.35">
      <c r="A34" t="s">
        <v>65</v>
      </c>
      <c r="B34" s="14">
        <f>IF(B27+B29&gt;0,(B27*(6+10+1)+B29*(6+B30*(6+10+1)))/(1-B6)+42,0)</f>
        <v>0</v>
      </c>
      <c r="C34" s="65" t="s">
        <v>165</v>
      </c>
    </row>
    <row r="35" spans="1:7" x14ac:dyDescent="0.35">
      <c r="A35" s="60" t="s">
        <v>162</v>
      </c>
      <c r="B35" s="73">
        <v>1</v>
      </c>
      <c r="C35" t="s">
        <v>168</v>
      </c>
    </row>
    <row r="37" spans="1:7" x14ac:dyDescent="0.35">
      <c r="A37" t="s">
        <v>27</v>
      </c>
      <c r="B37" t="s">
        <v>3</v>
      </c>
      <c r="C37" t="s">
        <v>10</v>
      </c>
    </row>
    <row r="38" spans="1:7" x14ac:dyDescent="0.35">
      <c r="A38" s="3" t="s">
        <v>4</v>
      </c>
      <c r="B38" s="9">
        <f>IF(B39+B46&gt;0,SUM(B39+B46)+B53+B3,0)</f>
        <v>0</v>
      </c>
      <c r="C38" s="3"/>
      <c r="E38" s="53"/>
    </row>
    <row r="39" spans="1:7" x14ac:dyDescent="0.35">
      <c r="A39" s="5" t="s">
        <v>70</v>
      </c>
      <c r="B39" s="9">
        <f>IF(B66&lt;&gt;0,SUM(B40:B45),0)</f>
        <v>0</v>
      </c>
      <c r="C39" s="3"/>
    </row>
    <row r="40" spans="1:7" x14ac:dyDescent="0.35">
      <c r="A40" s="11" t="s">
        <v>38</v>
      </c>
      <c r="B40" s="8">
        <f>IF((B16+B18)*B20&gt;0,(B16+B18)*B20,IF(AND(OR(B16&gt;0,B18&gt;0),OR(B15&gt;0,B17&gt;0)),B22*(B16+B18)/(B15+B17),B22))*$B$8</f>
        <v>0</v>
      </c>
      <c r="C40" s="3"/>
      <c r="E40" s="6"/>
      <c r="G40" s="53"/>
    </row>
    <row r="41" spans="1:7" x14ac:dyDescent="0.35">
      <c r="A41" s="11" t="s">
        <v>39</v>
      </c>
      <c r="B41" s="61">
        <f>MIN((B40+B42)*B9/(1-B9),D9)</f>
        <v>0.05</v>
      </c>
      <c r="C41" s="60" t="s">
        <v>148</v>
      </c>
      <c r="E41" s="57"/>
    </row>
    <row r="42" spans="1:7" x14ac:dyDescent="0.35">
      <c r="A42" s="11" t="s">
        <v>40</v>
      </c>
      <c r="B42" s="61">
        <f>106/1024</f>
        <v>0.1</v>
      </c>
      <c r="C42" s="60" t="s">
        <v>147</v>
      </c>
    </row>
    <row r="43" spans="1:7" x14ac:dyDescent="0.35">
      <c r="A43" s="11" t="s">
        <v>41</v>
      </c>
      <c r="B43" s="61">
        <f>220/1024</f>
        <v>0.21</v>
      </c>
      <c r="C43" s="3"/>
    </row>
    <row r="44" spans="1:7" x14ac:dyDescent="0.35">
      <c r="A44" s="11" t="s">
        <v>42</v>
      </c>
      <c r="B44" s="8">
        <f>350/1024</f>
        <v>0.34</v>
      </c>
      <c r="C44" s="3"/>
    </row>
    <row r="45" spans="1:7" x14ac:dyDescent="0.35">
      <c r="A45" s="11" t="s">
        <v>43</v>
      </c>
      <c r="B45" s="8">
        <f>9/1024*B23</f>
        <v>0</v>
      </c>
      <c r="C45" s="3"/>
    </row>
    <row r="46" spans="1:7" x14ac:dyDescent="0.35">
      <c r="A46" s="5" t="s">
        <v>71</v>
      </c>
      <c r="B46" s="9">
        <f>IF(B75&lt;&gt;0,SUM(B47:B52)*B35,0)</f>
        <v>0</v>
      </c>
      <c r="C46" t="s">
        <v>161</v>
      </c>
    </row>
    <row r="47" spans="1:7" x14ac:dyDescent="0.35">
      <c r="A47" s="11" t="s">
        <v>38</v>
      </c>
      <c r="B47" s="8">
        <f>IF((B27+B29)*B31&gt;0,(B27+B29)*B31,IF(AND(OR(B26&gt;0,B28&gt;0),OR(B27&gt;0,B29&gt;0)),B33*(B27+B29)/(B26+B28),B33))*$B$8</f>
        <v>0</v>
      </c>
      <c r="C47" s="3"/>
      <c r="E47" s="6"/>
      <c r="G47" s="53"/>
    </row>
    <row r="48" spans="1:7" x14ac:dyDescent="0.35">
      <c r="A48" s="11" t="s">
        <v>39</v>
      </c>
      <c r="B48" s="61">
        <f>MIN((B47+B49)*B9/(1-B9),D9)</f>
        <v>0.05</v>
      </c>
      <c r="C48" s="60" t="s">
        <v>148</v>
      </c>
      <c r="E48" s="57"/>
    </row>
    <row r="49" spans="1:5" x14ac:dyDescent="0.35">
      <c r="A49" s="11" t="s">
        <v>40</v>
      </c>
      <c r="B49" s="61">
        <f>106/1024</f>
        <v>0.1</v>
      </c>
      <c r="C49" s="60" t="s">
        <v>147</v>
      </c>
    </row>
    <row r="50" spans="1:5" x14ac:dyDescent="0.35">
      <c r="A50" s="11" t="s">
        <v>41</v>
      </c>
      <c r="B50" s="8">
        <f>220/1024</f>
        <v>0.21</v>
      </c>
      <c r="C50" s="3"/>
    </row>
    <row r="51" spans="1:5" x14ac:dyDescent="0.35">
      <c r="A51" s="11" t="s">
        <v>42</v>
      </c>
      <c r="B51" s="8">
        <f>350/1024</f>
        <v>0.34</v>
      </c>
      <c r="C51" s="3"/>
    </row>
    <row r="52" spans="1:5" x14ac:dyDescent="0.35">
      <c r="A52" s="11" t="s">
        <v>43</v>
      </c>
      <c r="B52" s="8">
        <f>9/1024*B34</f>
        <v>0</v>
      </c>
      <c r="C52" s="3"/>
    </row>
    <row r="53" spans="1:5" x14ac:dyDescent="0.35">
      <c r="A53" s="62" t="s">
        <v>143</v>
      </c>
      <c r="B53" s="63">
        <f>IF(B39+B46&gt;0,MIN(SUM(B39+B46)*B4/(1-B4),D4),0)</f>
        <v>0</v>
      </c>
      <c r="C53" s="54"/>
    </row>
    <row r="54" spans="1:5" x14ac:dyDescent="0.35">
      <c r="A54" s="3" t="s">
        <v>7</v>
      </c>
      <c r="B54" s="59">
        <f>IF(SUM(B15:B18,B26:B29)&gt;0,SUM(B55:B61),0)</f>
        <v>0</v>
      </c>
      <c r="C54" s="3"/>
      <c r="E54" s="53"/>
    </row>
    <row r="55" spans="1:5" x14ac:dyDescent="0.35">
      <c r="A55" s="2" t="s">
        <v>5</v>
      </c>
      <c r="B55">
        <v>0</v>
      </c>
      <c r="C55" s="16" t="s">
        <v>111</v>
      </c>
    </row>
    <row r="56" spans="1:5" x14ac:dyDescent="0.35">
      <c r="A56" s="2" t="s">
        <v>6</v>
      </c>
      <c r="B56" s="14">
        <v>16</v>
      </c>
    </row>
    <row r="57" spans="1:5" x14ac:dyDescent="0.35">
      <c r="A57" s="2" t="s">
        <v>12</v>
      </c>
      <c r="B57" s="14">
        <v>4</v>
      </c>
    </row>
    <row r="58" spans="1:5" x14ac:dyDescent="0.35">
      <c r="A58" s="2" t="s">
        <v>11</v>
      </c>
      <c r="B58" s="14">
        <v>2</v>
      </c>
    </row>
    <row r="59" spans="1:5" x14ac:dyDescent="0.35">
      <c r="A59" s="2" t="s">
        <v>8</v>
      </c>
      <c r="B59" s="14">
        <v>24</v>
      </c>
    </row>
    <row r="60" spans="1:5" x14ac:dyDescent="0.35">
      <c r="A60" s="2" t="s">
        <v>9</v>
      </c>
      <c r="B60" s="14">
        <f>IF(B62+B71&gt;0,MAX((B62+B71)/(1-B11),24),0)</f>
        <v>0</v>
      </c>
    </row>
    <row r="61" spans="1:5" x14ac:dyDescent="0.35">
      <c r="A61" s="2" t="s">
        <v>15</v>
      </c>
      <c r="B61" s="14">
        <f>IF(B62+B71&gt;0,MAX(SUM(B55:B60)*B12,12),0)</f>
        <v>0</v>
      </c>
    </row>
    <row r="62" spans="1:5" x14ac:dyDescent="0.35">
      <c r="A62" s="3" t="s">
        <v>66</v>
      </c>
      <c r="B62" s="59">
        <f>IF(B66&lt;&gt;0,SUM(B63:B69),0)</f>
        <v>0</v>
      </c>
      <c r="C62" s="3"/>
    </row>
    <row r="63" spans="1:5" x14ac:dyDescent="0.35">
      <c r="A63" s="2" t="s">
        <v>16</v>
      </c>
      <c r="B63" s="6">
        <v>1</v>
      </c>
    </row>
    <row r="64" spans="1:5" x14ac:dyDescent="0.35">
      <c r="A64" s="2" t="s">
        <v>17</v>
      </c>
      <c r="B64" s="6">
        <v>5</v>
      </c>
    </row>
    <row r="65" spans="1:3" x14ac:dyDescent="0.35">
      <c r="A65" s="2" t="s">
        <v>22</v>
      </c>
      <c r="B65" s="6">
        <v>5</v>
      </c>
      <c r="C65" t="s">
        <v>23</v>
      </c>
    </row>
    <row r="66" spans="1:3" x14ac:dyDescent="0.35">
      <c r="A66" s="2" t="s">
        <v>18</v>
      </c>
      <c r="B66" s="6">
        <f>IF((B15+B17)*B20&gt;0,(B15+B17)*B20*(1-$B$7),B22*(1-$B$7))/(1-$B$5)</f>
        <v>0</v>
      </c>
    </row>
    <row r="67" spans="1:3" x14ac:dyDescent="0.35">
      <c r="A67" s="2" t="s">
        <v>19</v>
      </c>
      <c r="B67" s="6">
        <f>IF((B15+B17)*B20&gt;0,(B15+B17)*B20*B7,B22*$B$7)/(1-$B$5)</f>
        <v>0</v>
      </c>
    </row>
    <row r="68" spans="1:3" x14ac:dyDescent="0.35">
      <c r="A68" s="2" t="s">
        <v>21</v>
      </c>
      <c r="B68" s="6">
        <f>MIN(IF(B20&gt;0,B20,B22/IF(B15+B17&gt;0,B15+B17,10))*1/(1-$B$5),100)</f>
        <v>14.29</v>
      </c>
      <c r="C68" s="16" t="s">
        <v>112</v>
      </c>
    </row>
    <row r="69" spans="1:3" x14ac:dyDescent="0.35">
      <c r="A69" s="2" t="s">
        <v>20</v>
      </c>
      <c r="B69" s="6">
        <f>MIN(IF(B20&gt;0,B20,B22/IF(B15+B17&gt;0,B15+B17,10))*1/(1-$B$5),100)</f>
        <v>14.29</v>
      </c>
      <c r="C69" s="16" t="s">
        <v>112</v>
      </c>
    </row>
    <row r="70" spans="1:3" x14ac:dyDescent="0.35">
      <c r="A70" s="5" t="s">
        <v>69</v>
      </c>
      <c r="B70" s="59">
        <f>SUM(B66:B67)</f>
        <v>0</v>
      </c>
    </row>
    <row r="71" spans="1:3" x14ac:dyDescent="0.35">
      <c r="A71" s="3" t="s">
        <v>67</v>
      </c>
      <c r="B71" s="9">
        <f>IF(B75&lt;&gt;0,SUM(B72:B78)*B35,0)</f>
        <v>0</v>
      </c>
      <c r="C71" t="s">
        <v>161</v>
      </c>
    </row>
    <row r="72" spans="1:3" x14ac:dyDescent="0.35">
      <c r="A72" s="2" t="s">
        <v>16</v>
      </c>
      <c r="B72" s="6">
        <v>1</v>
      </c>
    </row>
    <row r="73" spans="1:3" x14ac:dyDescent="0.35">
      <c r="A73" s="2" t="s">
        <v>17</v>
      </c>
      <c r="B73" s="6">
        <v>5</v>
      </c>
    </row>
    <row r="74" spans="1:3" x14ac:dyDescent="0.35">
      <c r="A74" s="2" t="s">
        <v>22</v>
      </c>
      <c r="B74" s="6">
        <v>5</v>
      </c>
      <c r="C74" t="s">
        <v>23</v>
      </c>
    </row>
    <row r="75" spans="1:3" x14ac:dyDescent="0.35">
      <c r="A75" s="2" t="s">
        <v>18</v>
      </c>
      <c r="B75" s="6">
        <f>IF((B26+B28)*B31&gt;0,(B26+B28)*B31*(1-$B$7),B33*(1-$B$7))/(1-$B$5)</f>
        <v>0</v>
      </c>
    </row>
    <row r="76" spans="1:3" x14ac:dyDescent="0.35">
      <c r="A76" s="2" t="s">
        <v>19</v>
      </c>
      <c r="B76" s="6">
        <f>IF((B26+B28)*B31&gt;0,(B26+B28)*B31*B7,B33*$B$7)/(1-$B$5)</f>
        <v>0</v>
      </c>
    </row>
    <row r="77" spans="1:3" x14ac:dyDescent="0.35">
      <c r="A77" s="2" t="s">
        <v>21</v>
      </c>
      <c r="B77" s="6">
        <f>MIN(IF(B31&gt;0,B31,B33/IF(B26+B28&gt;0,B26+B28,10))*1/(1-$B$5),100)</f>
        <v>14.29</v>
      </c>
      <c r="C77" s="16" t="s">
        <v>112</v>
      </c>
    </row>
    <row r="78" spans="1:3" x14ac:dyDescent="0.35">
      <c r="A78" s="2" t="s">
        <v>20</v>
      </c>
      <c r="B78" s="6">
        <f>MIN(IF(B31&gt;0,B31,B33/IF(B26+B28&gt;0,B26+B28,10))*1/(1-$B$5),100)</f>
        <v>14.29</v>
      </c>
      <c r="C78" s="16" t="s">
        <v>112</v>
      </c>
    </row>
    <row r="79" spans="1:3" x14ac:dyDescent="0.35">
      <c r="A79" s="5" t="s">
        <v>68</v>
      </c>
      <c r="B79" s="9">
        <f>SUM(B75:B76)*B35</f>
        <v>0</v>
      </c>
      <c r="C79" t="s">
        <v>161</v>
      </c>
    </row>
    <row r="80" spans="1:3" x14ac:dyDescent="0.35">
      <c r="A80" s="67" t="s">
        <v>154</v>
      </c>
      <c r="B80" s="68">
        <f>IF(B10="YES",IF(B39+B46&gt;0,ROUNDUP((B82+B83)*1024/2,)+0,0),"n/a")</f>
        <v>0</v>
      </c>
      <c r="C80" t="s">
        <v>166</v>
      </c>
    </row>
    <row r="81" spans="1:5" x14ac:dyDescent="0.35">
      <c r="A81" s="71" t="s">
        <v>155</v>
      </c>
      <c r="B81" s="69">
        <f>IF(B10="YES",B80*2048,"n/a")</f>
        <v>0</v>
      </c>
      <c r="C81" t="s">
        <v>170</v>
      </c>
      <c r="E81" t="s">
        <v>167</v>
      </c>
    </row>
    <row r="82" spans="1:5" x14ac:dyDescent="0.35">
      <c r="A82" s="70" t="s">
        <v>156</v>
      </c>
      <c r="B82" s="64">
        <f>IF(B40&gt;0,SUM(B40:B42),0)</f>
        <v>0</v>
      </c>
      <c r="E82" s="53">
        <f>IF(B38&gt;0,B82/B38,)</f>
        <v>0</v>
      </c>
    </row>
    <row r="83" spans="1:5" x14ac:dyDescent="0.35">
      <c r="A83" s="70" t="s">
        <v>157</v>
      </c>
      <c r="B83" s="64">
        <f>IF(B47&gt;0,SUM(B47:B49)*B35,0)</f>
        <v>0</v>
      </c>
      <c r="C83" t="s">
        <v>161</v>
      </c>
      <c r="E83" s="53">
        <f>IF(B38&gt;0,B83/B38,)</f>
        <v>0</v>
      </c>
    </row>
    <row r="84" spans="1:5" x14ac:dyDescent="0.35">
      <c r="A84" s="3" t="s">
        <v>185</v>
      </c>
      <c r="B84" s="9">
        <f>IF(B39+B46&gt;0,B2,0)</f>
        <v>0</v>
      </c>
      <c r="C84" t="s">
        <v>187</v>
      </c>
    </row>
  </sheetData>
  <dataValidations count="3">
    <dataValidation type="list" allowBlank="1" showInputMessage="1" showErrorMessage="1" sqref="B55">
      <formula1>"0,0,25"</formula1>
    </dataValidation>
    <dataValidation allowBlank="1" showInputMessage="1" showErrorMessage="1" promptTitle="Attention" prompt="Use either 'Avg Schema Size' or 'Total user segment size'" sqref="B22 B33"/>
    <dataValidation type="list" allowBlank="1" showInputMessage="1" showErrorMessage="1" sqref="B10">
      <formula1>"YES,NO"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A8" sqref="A8"/>
    </sheetView>
  </sheetViews>
  <sheetFormatPr defaultRowHeight="14.5" x14ac:dyDescent="0.35"/>
  <cols>
    <col min="1" max="1" width="43.90625" bestFit="1" customWidth="1"/>
    <col min="2" max="2" width="9.90625" customWidth="1"/>
    <col min="3" max="3" width="54" bestFit="1" customWidth="1"/>
    <col min="4" max="4" width="7.36328125" bestFit="1" customWidth="1"/>
  </cols>
  <sheetData>
    <row r="1" spans="1:4" x14ac:dyDescent="0.35">
      <c r="A1" t="s">
        <v>26</v>
      </c>
      <c r="B1" t="s">
        <v>3</v>
      </c>
      <c r="C1" t="s">
        <v>10</v>
      </c>
      <c r="D1" t="s">
        <v>158</v>
      </c>
    </row>
    <row r="2" spans="1:4" x14ac:dyDescent="0.35">
      <c r="A2" t="s">
        <v>185</v>
      </c>
      <c r="B2">
        <v>4</v>
      </c>
      <c r="C2" t="s">
        <v>186</v>
      </c>
      <c r="D2" s="80"/>
    </row>
    <row r="3" spans="1:4" x14ac:dyDescent="0.35">
      <c r="A3" t="s">
        <v>31</v>
      </c>
      <c r="B3">
        <v>2</v>
      </c>
      <c r="C3" s="60"/>
      <c r="D3" s="60"/>
    </row>
    <row r="4" spans="1:4" x14ac:dyDescent="0.35">
      <c r="A4" t="s">
        <v>29</v>
      </c>
      <c r="B4" s="7">
        <f>IF(B10="YES",20%,30%)</f>
        <v>0.2</v>
      </c>
      <c r="C4" s="60" t="s">
        <v>160</v>
      </c>
      <c r="D4" s="60">
        <f>IF(B10="YES",8,"")</f>
        <v>8</v>
      </c>
    </row>
    <row r="5" spans="1:4" x14ac:dyDescent="0.35">
      <c r="A5" t="s">
        <v>36</v>
      </c>
      <c r="B5" s="7">
        <v>0.3</v>
      </c>
      <c r="C5" s="60"/>
      <c r="D5" s="60"/>
    </row>
    <row r="6" spans="1:4" x14ac:dyDescent="0.35">
      <c r="A6" t="s">
        <v>144</v>
      </c>
      <c r="B6" s="7">
        <v>0.3</v>
      </c>
      <c r="C6" s="60"/>
      <c r="D6" s="60"/>
    </row>
    <row r="7" spans="1:4" x14ac:dyDescent="0.35">
      <c r="A7" t="s">
        <v>46</v>
      </c>
      <c r="B7" s="7">
        <v>0.4</v>
      </c>
      <c r="C7" s="60"/>
      <c r="D7" s="60"/>
    </row>
    <row r="8" spans="1:4" x14ac:dyDescent="0.35">
      <c r="A8" t="s">
        <v>37</v>
      </c>
      <c r="B8" s="7">
        <f>IF(B10="YES",5%,3%)</f>
        <v>0.05</v>
      </c>
      <c r="C8" s="60" t="s">
        <v>153</v>
      </c>
      <c r="D8" s="60"/>
    </row>
    <row r="9" spans="1:4" x14ac:dyDescent="0.35">
      <c r="A9" t="s">
        <v>146</v>
      </c>
      <c r="B9" s="7">
        <f>1/3</f>
        <v>0.33</v>
      </c>
      <c r="C9" s="66" t="s">
        <v>159</v>
      </c>
      <c r="D9" s="60">
        <f>1536/1024</f>
        <v>1.5</v>
      </c>
    </row>
    <row r="10" spans="1:4" x14ac:dyDescent="0.35">
      <c r="A10" t="s">
        <v>150</v>
      </c>
      <c r="B10" s="72" t="s">
        <v>152</v>
      </c>
      <c r="C10" s="66" t="s">
        <v>151</v>
      </c>
      <c r="D10" s="60"/>
    </row>
    <row r="11" spans="1:4" x14ac:dyDescent="0.35">
      <c r="A11" t="s">
        <v>96</v>
      </c>
      <c r="B11" s="7">
        <v>0.01</v>
      </c>
      <c r="C11" s="60"/>
      <c r="D11" s="60"/>
    </row>
    <row r="12" spans="1:4" x14ac:dyDescent="0.35">
      <c r="A12" t="s">
        <v>44</v>
      </c>
      <c r="B12" s="7">
        <v>0.16</v>
      </c>
      <c r="C12" s="60" t="s">
        <v>45</v>
      </c>
      <c r="D12" s="60"/>
    </row>
    <row r="14" spans="1:4" x14ac:dyDescent="0.35">
      <c r="A14" t="s">
        <v>163</v>
      </c>
      <c r="B14" t="s">
        <v>3</v>
      </c>
      <c r="C14" t="s">
        <v>10</v>
      </c>
    </row>
    <row r="15" spans="1:4" x14ac:dyDescent="0.35">
      <c r="A15" t="s">
        <v>81</v>
      </c>
      <c r="B15">
        <v>0</v>
      </c>
    </row>
    <row r="16" spans="1:4" x14ac:dyDescent="0.35">
      <c r="A16" t="s">
        <v>82</v>
      </c>
      <c r="B16">
        <v>0</v>
      </c>
    </row>
    <row r="17" spans="1:3" x14ac:dyDescent="0.35">
      <c r="A17" t="s">
        <v>83</v>
      </c>
      <c r="B17">
        <v>0</v>
      </c>
      <c r="C17" s="56"/>
    </row>
    <row r="18" spans="1:3" x14ac:dyDescent="0.35">
      <c r="A18" t="s">
        <v>84</v>
      </c>
      <c r="B18">
        <v>0</v>
      </c>
      <c r="C18" s="56"/>
    </row>
    <row r="19" spans="1:3" x14ac:dyDescent="0.35">
      <c r="A19" t="s">
        <v>85</v>
      </c>
      <c r="B19">
        <v>2</v>
      </c>
    </row>
    <row r="20" spans="1:3" x14ac:dyDescent="0.35">
      <c r="A20" t="s">
        <v>60</v>
      </c>
      <c r="B20">
        <v>10</v>
      </c>
      <c r="C20" t="s">
        <v>97</v>
      </c>
    </row>
    <row r="21" spans="1:3" x14ac:dyDescent="0.35">
      <c r="A21" t="s">
        <v>13</v>
      </c>
    </row>
    <row r="22" spans="1:3" x14ac:dyDescent="0.35">
      <c r="A22" t="s">
        <v>61</v>
      </c>
      <c r="B22">
        <v>0</v>
      </c>
    </row>
    <row r="23" spans="1:3" ht="72.5" x14ac:dyDescent="0.35">
      <c r="A23" t="s">
        <v>62</v>
      </c>
      <c r="B23" s="14">
        <f>IF(B16+B18&gt;0,(B16*(6+10+1)+B18*(6+B19*(6+10+1)))/(1-B6)+42,0)</f>
        <v>0</v>
      </c>
      <c r="C23" s="65" t="s">
        <v>165</v>
      </c>
    </row>
    <row r="24" spans="1:3" x14ac:dyDescent="0.35">
      <c r="C24" s="1"/>
    </row>
    <row r="25" spans="1:3" x14ac:dyDescent="0.35">
      <c r="A25" t="s">
        <v>164</v>
      </c>
      <c r="B25" t="s">
        <v>3</v>
      </c>
      <c r="C25" t="s">
        <v>10</v>
      </c>
    </row>
    <row r="26" spans="1:3" x14ac:dyDescent="0.35">
      <c r="A26" t="s">
        <v>81</v>
      </c>
      <c r="B26">
        <v>0</v>
      </c>
    </row>
    <row r="27" spans="1:3" x14ac:dyDescent="0.35">
      <c r="A27" t="s">
        <v>82</v>
      </c>
      <c r="B27">
        <v>0</v>
      </c>
    </row>
    <row r="28" spans="1:3" x14ac:dyDescent="0.35">
      <c r="A28" t="s">
        <v>83</v>
      </c>
      <c r="B28">
        <v>0</v>
      </c>
    </row>
    <row r="29" spans="1:3" x14ac:dyDescent="0.35">
      <c r="A29" t="s">
        <v>84</v>
      </c>
      <c r="B29">
        <v>0</v>
      </c>
    </row>
    <row r="30" spans="1:3" x14ac:dyDescent="0.35">
      <c r="A30" t="s">
        <v>85</v>
      </c>
      <c r="B30">
        <v>2</v>
      </c>
    </row>
    <row r="31" spans="1:3" x14ac:dyDescent="0.35">
      <c r="A31" t="s">
        <v>63</v>
      </c>
      <c r="B31">
        <v>10</v>
      </c>
      <c r="C31" t="s">
        <v>14</v>
      </c>
    </row>
    <row r="32" spans="1:3" x14ac:dyDescent="0.35">
      <c r="A32" t="s">
        <v>13</v>
      </c>
    </row>
    <row r="33" spans="1:7" x14ac:dyDescent="0.35">
      <c r="A33" t="s">
        <v>64</v>
      </c>
    </row>
    <row r="34" spans="1:7" ht="72.5" x14ac:dyDescent="0.35">
      <c r="A34" t="s">
        <v>65</v>
      </c>
      <c r="B34" s="14">
        <f>IF(B27+B29&gt;0,(B27*(6+10+1)+B29*(6+B30*(6+10+1)))/(1-B6)+42,0)</f>
        <v>0</v>
      </c>
      <c r="C34" s="65" t="s">
        <v>165</v>
      </c>
    </row>
    <row r="35" spans="1:7" x14ac:dyDescent="0.35">
      <c r="A35" s="60" t="s">
        <v>162</v>
      </c>
      <c r="B35" s="73">
        <v>1</v>
      </c>
      <c r="C35" t="s">
        <v>168</v>
      </c>
    </row>
    <row r="37" spans="1:7" x14ac:dyDescent="0.35">
      <c r="A37" t="s">
        <v>27</v>
      </c>
      <c r="B37" t="s">
        <v>3</v>
      </c>
      <c r="C37" t="s">
        <v>10</v>
      </c>
    </row>
    <row r="38" spans="1:7" x14ac:dyDescent="0.35">
      <c r="A38" s="3" t="s">
        <v>4</v>
      </c>
      <c r="B38" s="9">
        <f>IF(B39+B46&gt;0,SUM(B39+B46)+B53+B3,0)</f>
        <v>0</v>
      </c>
      <c r="C38" s="3"/>
      <c r="E38" s="53"/>
    </row>
    <row r="39" spans="1:7" x14ac:dyDescent="0.35">
      <c r="A39" s="5" t="s">
        <v>70</v>
      </c>
      <c r="B39" s="9">
        <f>IF(B66&lt;&gt;0,SUM(B40:B45),0)</f>
        <v>0</v>
      </c>
      <c r="C39" s="3"/>
    </row>
    <row r="40" spans="1:7" x14ac:dyDescent="0.35">
      <c r="A40" s="11" t="s">
        <v>38</v>
      </c>
      <c r="B40" s="8">
        <f>IF((B16+B18)*B20&gt;0,(B16+B18)*B20,IF(AND(OR(B16&gt;0,B18&gt;0),OR(B15&gt;0,B17&gt;0)),B22*(B16+B18)/(B15+B17),B22))*$B$8</f>
        <v>0</v>
      </c>
      <c r="C40" s="3"/>
      <c r="E40" s="6"/>
      <c r="G40" s="53"/>
    </row>
    <row r="41" spans="1:7" x14ac:dyDescent="0.35">
      <c r="A41" s="11" t="s">
        <v>39</v>
      </c>
      <c r="B41" s="61">
        <f>MIN((B40+B42)*B9/(1-B9),D9)</f>
        <v>0.05</v>
      </c>
      <c r="C41" s="60" t="s">
        <v>148</v>
      </c>
      <c r="E41" s="57"/>
    </row>
    <row r="42" spans="1:7" x14ac:dyDescent="0.35">
      <c r="A42" s="11" t="s">
        <v>40</v>
      </c>
      <c r="B42" s="61">
        <f>106/1024</f>
        <v>0.1</v>
      </c>
      <c r="C42" s="60" t="s">
        <v>147</v>
      </c>
    </row>
    <row r="43" spans="1:7" x14ac:dyDescent="0.35">
      <c r="A43" s="11" t="s">
        <v>41</v>
      </c>
      <c r="B43" s="8">
        <f>220/1024</f>
        <v>0.21</v>
      </c>
      <c r="C43" s="3"/>
    </row>
    <row r="44" spans="1:7" x14ac:dyDescent="0.35">
      <c r="A44" s="11" t="s">
        <v>42</v>
      </c>
      <c r="B44" s="8">
        <f>350/1024</f>
        <v>0.34</v>
      </c>
      <c r="C44" s="3"/>
    </row>
    <row r="45" spans="1:7" x14ac:dyDescent="0.35">
      <c r="A45" s="11" t="s">
        <v>43</v>
      </c>
      <c r="B45" s="8">
        <f>9/1024*B23</f>
        <v>0</v>
      </c>
      <c r="C45" s="3"/>
    </row>
    <row r="46" spans="1:7" x14ac:dyDescent="0.35">
      <c r="A46" s="5" t="s">
        <v>71</v>
      </c>
      <c r="B46" s="9">
        <f>IF(B75&lt;&gt;0,SUM(B47:B52)*B35,0)</f>
        <v>0</v>
      </c>
      <c r="C46" t="s">
        <v>161</v>
      </c>
    </row>
    <row r="47" spans="1:7" x14ac:dyDescent="0.35">
      <c r="A47" s="11" t="s">
        <v>38</v>
      </c>
      <c r="B47" s="8">
        <f>IF((B27+B29)*B31&gt;0,(B27+B29)*B31,IF(AND(OR(B26&gt;0,B28&gt;0),OR(B27&gt;0,B29&gt;0)),B33*(B27+B29)/(B26+B28),B33))*$B$8</f>
        <v>0</v>
      </c>
      <c r="C47" s="3"/>
      <c r="E47" s="6"/>
      <c r="G47" s="53"/>
    </row>
    <row r="48" spans="1:7" x14ac:dyDescent="0.35">
      <c r="A48" s="11" t="s">
        <v>39</v>
      </c>
      <c r="B48" s="61">
        <f>MIN((B47+B49)*B9/(1-B9),D9)</f>
        <v>0.05</v>
      </c>
      <c r="C48" s="60" t="s">
        <v>148</v>
      </c>
      <c r="E48" s="57"/>
    </row>
    <row r="49" spans="1:5" x14ac:dyDescent="0.35">
      <c r="A49" s="11" t="s">
        <v>40</v>
      </c>
      <c r="B49" s="61">
        <f>106/1024</f>
        <v>0.1</v>
      </c>
      <c r="C49" s="60" t="s">
        <v>147</v>
      </c>
    </row>
    <row r="50" spans="1:5" x14ac:dyDescent="0.35">
      <c r="A50" s="11" t="s">
        <v>41</v>
      </c>
      <c r="B50" s="8">
        <f>220/1024</f>
        <v>0.21</v>
      </c>
      <c r="C50" s="3"/>
    </row>
    <row r="51" spans="1:5" x14ac:dyDescent="0.35">
      <c r="A51" s="11" t="s">
        <v>42</v>
      </c>
      <c r="B51" s="8">
        <f>350/1024</f>
        <v>0.34</v>
      </c>
      <c r="C51" s="3"/>
    </row>
    <row r="52" spans="1:5" x14ac:dyDescent="0.35">
      <c r="A52" s="11" t="s">
        <v>43</v>
      </c>
      <c r="B52" s="8">
        <f>9/1024*B34</f>
        <v>0</v>
      </c>
      <c r="C52" s="3"/>
    </row>
    <row r="53" spans="1:5" x14ac:dyDescent="0.35">
      <c r="A53" s="62" t="s">
        <v>143</v>
      </c>
      <c r="B53" s="63">
        <f>IF(B39+B46&gt;0,MIN(SUM(B39+B46)*B4/(1-B4),D4),0)</f>
        <v>0</v>
      </c>
      <c r="C53" s="54"/>
    </row>
    <row r="54" spans="1:5" x14ac:dyDescent="0.35">
      <c r="A54" s="3" t="s">
        <v>7</v>
      </c>
      <c r="B54" s="59">
        <f>IF(SUM(B15:B18,B26:B29)&gt;0,SUM(B55:B61),0)</f>
        <v>0</v>
      </c>
      <c r="C54" s="3"/>
      <c r="E54" s="53"/>
    </row>
    <row r="55" spans="1:5" x14ac:dyDescent="0.35">
      <c r="A55" s="2" t="s">
        <v>5</v>
      </c>
      <c r="B55">
        <v>0</v>
      </c>
      <c r="C55" s="16" t="s">
        <v>111</v>
      </c>
    </row>
    <row r="56" spans="1:5" x14ac:dyDescent="0.35">
      <c r="A56" s="2" t="s">
        <v>6</v>
      </c>
      <c r="B56" s="14">
        <v>16</v>
      </c>
    </row>
    <row r="57" spans="1:5" x14ac:dyDescent="0.35">
      <c r="A57" s="2" t="s">
        <v>12</v>
      </c>
      <c r="B57" s="14">
        <v>4</v>
      </c>
    </row>
    <row r="58" spans="1:5" x14ac:dyDescent="0.35">
      <c r="A58" s="2" t="s">
        <v>11</v>
      </c>
      <c r="B58" s="14">
        <v>2</v>
      </c>
    </row>
    <row r="59" spans="1:5" x14ac:dyDescent="0.35">
      <c r="A59" s="2" t="s">
        <v>8</v>
      </c>
      <c r="B59" s="14">
        <v>24</v>
      </c>
    </row>
    <row r="60" spans="1:5" x14ac:dyDescent="0.35">
      <c r="A60" s="2" t="s">
        <v>9</v>
      </c>
      <c r="B60" s="14">
        <f>IF(B62+B71&gt;0,MAX((B62+B71)/(1-B11),24),0)</f>
        <v>0</v>
      </c>
    </row>
    <row r="61" spans="1:5" x14ac:dyDescent="0.35">
      <c r="A61" s="2" t="s">
        <v>15</v>
      </c>
      <c r="B61" s="14">
        <f>IF(B62+B71&gt;0,MAX(SUM(B55:B60)*B12,12),0)</f>
        <v>0</v>
      </c>
    </row>
    <row r="62" spans="1:5" x14ac:dyDescent="0.35">
      <c r="A62" s="3" t="s">
        <v>66</v>
      </c>
      <c r="B62" s="59">
        <f>IF(B66&lt;&gt;0,SUM(B63:B69),0)</f>
        <v>0</v>
      </c>
      <c r="C62" s="3"/>
    </row>
    <row r="63" spans="1:5" x14ac:dyDescent="0.35">
      <c r="A63" s="2" t="s">
        <v>16</v>
      </c>
      <c r="B63" s="6">
        <v>1</v>
      </c>
    </row>
    <row r="64" spans="1:5" x14ac:dyDescent="0.35">
      <c r="A64" s="2" t="s">
        <v>17</v>
      </c>
      <c r="B64" s="6">
        <v>5</v>
      </c>
    </row>
    <row r="65" spans="1:3" x14ac:dyDescent="0.35">
      <c r="A65" s="2" t="s">
        <v>22</v>
      </c>
      <c r="B65" s="6">
        <v>5</v>
      </c>
      <c r="C65" t="s">
        <v>23</v>
      </c>
    </row>
    <row r="66" spans="1:3" x14ac:dyDescent="0.35">
      <c r="A66" s="2" t="s">
        <v>18</v>
      </c>
      <c r="B66" s="6">
        <f>IF((B15+B17)*B20&gt;0,(B15+B17)*B20*(1-$B$7),B22*(1-$B$7))/(1-$B$5)</f>
        <v>0</v>
      </c>
    </row>
    <row r="67" spans="1:3" x14ac:dyDescent="0.35">
      <c r="A67" s="2" t="s">
        <v>19</v>
      </c>
      <c r="B67" s="6">
        <f>IF((B15+B17)*B20&gt;0,(B15+B17)*B20*B7,B22*$B$7)/(1-$B$5)</f>
        <v>0</v>
      </c>
    </row>
    <row r="68" spans="1:3" x14ac:dyDescent="0.35">
      <c r="A68" s="2" t="s">
        <v>21</v>
      </c>
      <c r="B68" s="6">
        <f>MIN(IF(B20&gt;0,B20,B22/IF(B15+B17&gt;0,B15+B17,10))*1/(1-$B$5),100)</f>
        <v>14.29</v>
      </c>
      <c r="C68" s="16" t="s">
        <v>112</v>
      </c>
    </row>
    <row r="69" spans="1:3" x14ac:dyDescent="0.35">
      <c r="A69" s="2" t="s">
        <v>20</v>
      </c>
      <c r="B69" s="6">
        <f>MIN(IF(B20&gt;0,B20,B22/IF(B15+B17&gt;0,B15+B17,10))*1/(1-$B$5),100)</f>
        <v>14.29</v>
      </c>
      <c r="C69" s="16" t="s">
        <v>112</v>
      </c>
    </row>
    <row r="70" spans="1:3" x14ac:dyDescent="0.35">
      <c r="A70" s="5" t="s">
        <v>69</v>
      </c>
      <c r="B70" s="59">
        <f>SUM(B66:B67)</f>
        <v>0</v>
      </c>
    </row>
    <row r="71" spans="1:3" x14ac:dyDescent="0.35">
      <c r="A71" s="3" t="s">
        <v>67</v>
      </c>
      <c r="B71" s="9">
        <f>IF(B75&lt;&gt;0,SUM(B72:B78)*B35,0)</f>
        <v>0</v>
      </c>
      <c r="C71" t="s">
        <v>161</v>
      </c>
    </row>
    <row r="72" spans="1:3" x14ac:dyDescent="0.35">
      <c r="A72" s="2" t="s">
        <v>16</v>
      </c>
      <c r="B72" s="6">
        <v>1</v>
      </c>
    </row>
    <row r="73" spans="1:3" x14ac:dyDescent="0.35">
      <c r="A73" s="2" t="s">
        <v>17</v>
      </c>
      <c r="B73" s="6">
        <v>5</v>
      </c>
    </row>
    <row r="74" spans="1:3" x14ac:dyDescent="0.35">
      <c r="A74" s="2" t="s">
        <v>22</v>
      </c>
      <c r="B74" s="6">
        <v>5</v>
      </c>
      <c r="C74" t="s">
        <v>23</v>
      </c>
    </row>
    <row r="75" spans="1:3" x14ac:dyDescent="0.35">
      <c r="A75" s="2" t="s">
        <v>18</v>
      </c>
      <c r="B75" s="6">
        <f>IF((B26+B28)*B31&gt;0,(B26+B28)*B31*(1-$B$7),B33*(1-$B$7))/(1-$B$5)</f>
        <v>0</v>
      </c>
    </row>
    <row r="76" spans="1:3" x14ac:dyDescent="0.35">
      <c r="A76" s="2" t="s">
        <v>19</v>
      </c>
      <c r="B76" s="6">
        <f>IF((B26+B28)*B31&gt;0,(B26+B28)*B31*B7,B33*$B$7)/(1-$B$5)</f>
        <v>0</v>
      </c>
    </row>
    <row r="77" spans="1:3" x14ac:dyDescent="0.35">
      <c r="A77" s="2" t="s">
        <v>21</v>
      </c>
      <c r="B77" s="6">
        <f>MIN(IF(B31&gt;0,B31,B33/IF(B26+B28&gt;0,B26+B28,10))*1/(1-$B$5),100)</f>
        <v>14.29</v>
      </c>
      <c r="C77" s="16" t="s">
        <v>112</v>
      </c>
    </row>
    <row r="78" spans="1:3" x14ac:dyDescent="0.35">
      <c r="A78" s="2" t="s">
        <v>20</v>
      </c>
      <c r="B78" s="6">
        <f>MIN(IF(B31&gt;0,B31,B33/IF(B26+B28&gt;0,B26+B28,10))*1/(1-$B$5),100)</f>
        <v>14.29</v>
      </c>
      <c r="C78" s="16" t="s">
        <v>112</v>
      </c>
    </row>
    <row r="79" spans="1:3" x14ac:dyDescent="0.35">
      <c r="A79" s="5" t="s">
        <v>68</v>
      </c>
      <c r="B79" s="9">
        <f>SUM(B75:B76)*B35</f>
        <v>0</v>
      </c>
      <c r="C79" t="s">
        <v>161</v>
      </c>
    </row>
    <row r="80" spans="1:3" x14ac:dyDescent="0.35">
      <c r="A80" s="67" t="s">
        <v>154</v>
      </c>
      <c r="B80" s="68">
        <f>IF(B10="YES",IF(B39+B46&gt;0,ROUNDUP((B82+B83)*1024/2,)+0,0),"n/a")</f>
        <v>0</v>
      </c>
      <c r="C80" t="s">
        <v>166</v>
      </c>
    </row>
    <row r="81" spans="1:5" x14ac:dyDescent="0.35">
      <c r="A81" s="71" t="s">
        <v>155</v>
      </c>
      <c r="B81" s="69">
        <f>IF(B10="YES",B80*2048,"n/a")</f>
        <v>0</v>
      </c>
      <c r="C81" t="s">
        <v>170</v>
      </c>
      <c r="E81" t="s">
        <v>167</v>
      </c>
    </row>
    <row r="82" spans="1:5" x14ac:dyDescent="0.35">
      <c r="A82" s="70" t="s">
        <v>156</v>
      </c>
      <c r="B82" s="64">
        <f>IF(B40&gt;0,SUM(B40:B42),0)</f>
        <v>0</v>
      </c>
      <c r="E82" s="53">
        <f>IF(B38&gt;0,B82/B38,)</f>
        <v>0</v>
      </c>
    </row>
    <row r="83" spans="1:5" x14ac:dyDescent="0.35">
      <c r="A83" s="70" t="s">
        <v>157</v>
      </c>
      <c r="B83" s="64">
        <f>IF(B47&gt;0,SUM(B47:B49)*B35,0)</f>
        <v>0</v>
      </c>
      <c r="C83" t="s">
        <v>161</v>
      </c>
      <c r="E83" s="53">
        <f>IF(B38&gt;0,B83/B38,)</f>
        <v>0</v>
      </c>
    </row>
    <row r="84" spans="1:5" x14ac:dyDescent="0.35">
      <c r="A84" s="3" t="s">
        <v>185</v>
      </c>
      <c r="B84" s="9">
        <f>IF(B39+B46&gt;0,B2,0)</f>
        <v>0</v>
      </c>
      <c r="C84" t="s">
        <v>187</v>
      </c>
    </row>
  </sheetData>
  <dataValidations count="3">
    <dataValidation type="list" allowBlank="1" showInputMessage="1" showErrorMessage="1" sqref="B55">
      <formula1>"0,0,25"</formula1>
    </dataValidation>
    <dataValidation allowBlank="1" showInputMessage="1" showErrorMessage="1" promptTitle="Attention" prompt="Use either 'Avg Schema Size' or 'Total user segment size'" sqref="B22 B33"/>
    <dataValidation type="list" allowBlank="1" showInputMessage="1" showErrorMessage="1" sqref="B10">
      <formula1>"YES,NO"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4" sqref="G4"/>
    </sheetView>
  </sheetViews>
  <sheetFormatPr defaultRowHeight="14.5" x14ac:dyDescent="0.35"/>
  <cols>
    <col min="1" max="1" width="29.36328125" bestFit="1" customWidth="1"/>
    <col min="2" max="2" width="12.36328125" bestFit="1" customWidth="1"/>
    <col min="3" max="3" width="11.36328125" customWidth="1"/>
    <col min="5" max="5" width="10.36328125" customWidth="1"/>
    <col min="6" max="6" width="13.36328125" customWidth="1"/>
    <col min="7" max="7" width="14.90625" customWidth="1"/>
  </cols>
  <sheetData>
    <row r="1" spans="1:7" x14ac:dyDescent="0.35">
      <c r="A1" t="s">
        <v>26</v>
      </c>
      <c r="B1" t="s">
        <v>76</v>
      </c>
      <c r="C1" t="s">
        <v>77</v>
      </c>
      <c r="D1" t="s">
        <v>78</v>
      </c>
      <c r="E1" t="s">
        <v>79</v>
      </c>
      <c r="F1" s="48" t="s">
        <v>137</v>
      </c>
      <c r="G1" s="48" t="s">
        <v>2</v>
      </c>
    </row>
    <row r="2" spans="1:7" x14ac:dyDescent="0.35">
      <c r="A2" s="3" t="s">
        <v>185</v>
      </c>
      <c r="B2" s="9">
        <f>IFERROR(VLOOKUP($A2,AppSrvPar[#All],2,FALSE),0)</f>
        <v>0</v>
      </c>
      <c r="C2" s="9">
        <f>IFERROR(VLOOKUP($A2,AppSrvPar_QA[#All],2,FALSE),0)</f>
        <v>0</v>
      </c>
      <c r="D2" s="9">
        <f>IFERROR(VLOOKUP($A2,DBSrvPar[#All],2,FALSE),0)</f>
        <v>0</v>
      </c>
      <c r="E2" s="9">
        <f>IFERROR(VLOOKUP($A2,DBSrvPar_QA[#All],2,FALSE),0)</f>
        <v>0</v>
      </c>
      <c r="F2" s="9">
        <f>SUMPRODUCT(Table19[[#This Row],[devapp'#'#'#]:[qadb'#'#'#]],B$18:E$18)</f>
        <v>0</v>
      </c>
      <c r="G2" s="47">
        <f ca="1">IF(Table195[[#This Row],[Total dedicated]]&gt;0,Table195[[#This Row],[Total dedicated]],IF(Table3[[#Totals],[CPU]]&gt;0,Table3[[#Totals],[CPU]],Table19[[#This Row],[Total TOMS]]+Table1929[[#This Row],[Total RBM]]))</f>
        <v>4</v>
      </c>
    </row>
    <row r="3" spans="1:7" x14ac:dyDescent="0.35">
      <c r="A3" s="3" t="s">
        <v>4</v>
      </c>
      <c r="B3" s="9">
        <f>IFERROR(VLOOKUP($A3,AppSrvPar[#All],2,FALSE),0)</f>
        <v>0</v>
      </c>
      <c r="C3" s="9">
        <f>IFERROR(VLOOKUP($A3,AppSrvPar_QA[#All],2,FALSE),0)</f>
        <v>0</v>
      </c>
      <c r="D3" s="9">
        <f>IFERROR(VLOOKUP($A3,DBSrvPar[#All],2,FALSE),0)</f>
        <v>0</v>
      </c>
      <c r="E3" s="9">
        <f>IFERROR(VLOOKUP($A3,DBSrvPar_QA[#All],2,FALSE),0)</f>
        <v>0</v>
      </c>
      <c r="F3" s="9">
        <f>SUMPRODUCT(Table19[[#This Row],[devapp'#'#'#]:[qadb'#'#'#]],B$18:E$18)</f>
        <v>0</v>
      </c>
      <c r="G3" s="47">
        <f ca="1">IF(Table195[[#This Row],[Total dedicated]]&gt;0,Table195[[#This Row],[Total dedicated]],IF(Table3[[#Totals],[RAM, GB]]&gt;0,Table3[[#Totals],[RAM, GB]],Table19[[#This Row],[Total TOMS]]+Table1929[[#This Row],[Total RBM]]))</f>
        <v>8</v>
      </c>
    </row>
    <row r="4" spans="1:7" x14ac:dyDescent="0.35">
      <c r="A4" s="3" t="s">
        <v>7</v>
      </c>
      <c r="B4" s="9">
        <f>IFERROR(VLOOKUP($A4,AppSrvPar[#All],2,FALSE),0)</f>
        <v>0</v>
      </c>
      <c r="C4" s="9">
        <f>IFERROR(VLOOKUP($A4,AppSrvPar_QA[#All],2,FALSE),0)</f>
        <v>0</v>
      </c>
      <c r="D4" s="9">
        <f>IFERROR(VLOOKUP($A4,DBSrvPar[#All],2,FALSE),0)</f>
        <v>0</v>
      </c>
      <c r="E4" s="9">
        <f>IFERROR(VLOOKUP($A4,DBSrvPar_QA[#All],2,FALSE),0)</f>
        <v>0</v>
      </c>
      <c r="F4" s="9">
        <f>SUMPRODUCT(Table19[[#This Row],[devapp'#'#'#]:[qadb'#'#'#]],B$18:E$18)</f>
        <v>0</v>
      </c>
      <c r="G4" s="47">
        <f ca="1">IF(Table195[[#This Row],[Total dedicated]]&gt;0,Table195[[#This Row],[Total dedicated]],IF(Table3[[#Totals],[HDD, GB]]&gt;0,Table3[[#Totals],[HDD, GB]],Table19[[#This Row],[Total TOMS]]+Table1929[[#This Row],[Total RBM]]))</f>
        <v>86</v>
      </c>
    </row>
    <row r="5" spans="1:7" x14ac:dyDescent="0.35">
      <c r="A5" s="2" t="s">
        <v>5</v>
      </c>
      <c r="B5" s="6">
        <f>IFERROR(VLOOKUP($A5,AppSrvPar[#All],2,FALSE),0)</f>
        <v>0</v>
      </c>
      <c r="C5" s="6">
        <f>IFERROR(VLOOKUP($A5,AppSrvPar_QA[#All],2,FALSE),0)</f>
        <v>0</v>
      </c>
      <c r="D5" s="6">
        <f>IFERROR(VLOOKUP($A5,DBSrvPar[#All],2,FALSE),0)</f>
        <v>0</v>
      </c>
      <c r="E5" s="6">
        <f>IFERROR(VLOOKUP($A5,DBSrvPar_QA[#All],2,FALSE),0)</f>
        <v>0</v>
      </c>
      <c r="F5" s="6"/>
      <c r="G5" s="14"/>
    </row>
    <row r="6" spans="1:7" x14ac:dyDescent="0.35">
      <c r="A6" s="2" t="s">
        <v>6</v>
      </c>
      <c r="B6" s="14">
        <f>IFERROR(VLOOKUP($A6,AppSrvPar[#All],2,FALSE),0)</f>
        <v>16</v>
      </c>
      <c r="C6" s="14">
        <f>IFERROR(VLOOKUP($A6,AppSrvPar_QA[#All],2,FALSE),0)</f>
        <v>16</v>
      </c>
      <c r="D6" s="14">
        <f>IFERROR(VLOOKUP($A6,DBSrvPar[#All],2,FALSE),0)</f>
        <v>16</v>
      </c>
      <c r="E6" s="14">
        <f>IFERROR(VLOOKUP($A6,DBSrvPar_QA[#All],2,FALSE),0)</f>
        <v>16</v>
      </c>
      <c r="F6" s="14"/>
      <c r="G6" s="14"/>
    </row>
    <row r="7" spans="1:7" x14ac:dyDescent="0.35">
      <c r="A7" s="78" t="s">
        <v>179</v>
      </c>
      <c r="B7" s="47">
        <f>IF(B4&gt;0,SUM(B8:B12),0)</f>
        <v>0</v>
      </c>
      <c r="C7" s="47">
        <f t="shared" ref="C7:E7" si="0">IF(C4&gt;0,SUM(C8:C12),0)</f>
        <v>0</v>
      </c>
      <c r="D7" s="47">
        <f t="shared" si="0"/>
        <v>0</v>
      </c>
      <c r="E7" s="47">
        <f t="shared" si="0"/>
        <v>0</v>
      </c>
      <c r="F7" s="14"/>
      <c r="G7" s="14"/>
    </row>
    <row r="8" spans="1:7" x14ac:dyDescent="0.35">
      <c r="A8" s="2" t="s">
        <v>12</v>
      </c>
      <c r="B8" s="14">
        <f>IFERROR(VLOOKUP($A8,AppSrvPar[#All],2,FALSE),0)</f>
        <v>4</v>
      </c>
      <c r="C8" s="14">
        <f>IFERROR(VLOOKUP($A8,AppSrvPar_QA[#All],2,FALSE),0)</f>
        <v>4</v>
      </c>
      <c r="D8" s="14">
        <f>IFERROR(VLOOKUP($A8,DBSrvPar[#All],2,FALSE),0)</f>
        <v>4</v>
      </c>
      <c r="E8" s="14">
        <f>IFERROR(VLOOKUP($A8,DBSrvPar_QA[#All],2,FALSE),0)</f>
        <v>4</v>
      </c>
      <c r="F8" s="14"/>
      <c r="G8" s="14"/>
    </row>
    <row r="9" spans="1:7" x14ac:dyDescent="0.35">
      <c r="A9" s="2" t="s">
        <v>11</v>
      </c>
      <c r="B9" s="14">
        <f>IFERROR(VLOOKUP($A9,AppSrvPar[#All],2,FALSE),0)</f>
        <v>2</v>
      </c>
      <c r="C9" s="14">
        <f>IFERROR(VLOOKUP($A9,AppSrvPar_QA[#All],2,FALSE),0)</f>
        <v>2</v>
      </c>
      <c r="D9" s="14">
        <f>IFERROR(VLOOKUP($A9,DBSrvPar[#All],2,FALSE),0)</f>
        <v>2</v>
      </c>
      <c r="E9" s="14">
        <f>IFERROR(VLOOKUP($A9,DBSrvPar_QA[#All],2,FALSE),0)</f>
        <v>2</v>
      </c>
      <c r="F9" s="14"/>
      <c r="G9" s="14"/>
    </row>
    <row r="10" spans="1:7" x14ac:dyDescent="0.35">
      <c r="A10" s="2" t="s">
        <v>8</v>
      </c>
      <c r="B10" s="14">
        <f>IFERROR(VLOOKUP($A10,AppSrvPar[#All],2,FALSE),0)</f>
        <v>24</v>
      </c>
      <c r="C10" s="14">
        <f>IFERROR(VLOOKUP($A10,AppSrvPar_QA[#All],2,FALSE),0)</f>
        <v>24</v>
      </c>
      <c r="D10" s="14">
        <f>IFERROR(VLOOKUP($A10,DBSrvPar[#All],2,FALSE),0)</f>
        <v>24</v>
      </c>
      <c r="E10" s="14">
        <f>IFERROR(VLOOKUP($A10,DBSrvPar_QA[#All],2,FALSE),0)</f>
        <v>24</v>
      </c>
      <c r="F10" s="14"/>
      <c r="G10" s="14"/>
    </row>
    <row r="11" spans="1:7" x14ac:dyDescent="0.35">
      <c r="A11" s="2" t="s">
        <v>9</v>
      </c>
      <c r="B11" s="14">
        <f>IFERROR(VLOOKUP($A11,AppSrvPar[#All],2,FALSE),0)</f>
        <v>0</v>
      </c>
      <c r="C11" s="14">
        <f>IFERROR(VLOOKUP($A11,AppSrvPar_QA[#All],2,FALSE),0)</f>
        <v>0</v>
      </c>
      <c r="D11" s="14">
        <f>IFERROR(VLOOKUP($A11,DBSrvPar[#All],2,FALSE),0)</f>
        <v>0</v>
      </c>
      <c r="E11" s="14">
        <f>IFERROR(VLOOKUP($A11,DBSrvPar_QA[#All],2,FALSE),0)</f>
        <v>0</v>
      </c>
      <c r="F11" s="14"/>
      <c r="G11" s="14"/>
    </row>
    <row r="12" spans="1:7" x14ac:dyDescent="0.35">
      <c r="A12" s="2" t="s">
        <v>15</v>
      </c>
      <c r="B12" s="14">
        <f>IFERROR(VLOOKUP($A12,AppSrvPar[#All],2,FALSE),0)</f>
        <v>0</v>
      </c>
      <c r="C12" s="14">
        <f>IFERROR(VLOOKUP($A12,AppSrvPar_QA[#All],2,FALSE),0)</f>
        <v>0</v>
      </c>
      <c r="D12" s="14">
        <f>IFERROR(VLOOKUP($A12,DBSrvPar[#All],2,FALSE),0)</f>
        <v>0</v>
      </c>
      <c r="E12" s="14">
        <f>IFERROR(VLOOKUP($A12,DBSrvPar_QA[#All],2,FALSE),0)</f>
        <v>0</v>
      </c>
      <c r="F12" s="14"/>
      <c r="G12" s="14"/>
    </row>
    <row r="13" spans="1:7" x14ac:dyDescent="0.35">
      <c r="A13" s="52" t="s">
        <v>142</v>
      </c>
      <c r="B13" s="51"/>
      <c r="C13" s="51"/>
      <c r="D13" s="51"/>
      <c r="E13" s="51"/>
      <c r="F13" s="51"/>
      <c r="G13" s="51"/>
    </row>
    <row r="14" spans="1:7" x14ac:dyDescent="0.35">
      <c r="A14" s="50" t="s">
        <v>24</v>
      </c>
      <c r="B14" s="14">
        <f>IFERROR(VLOOKUP($A14,AppSrvPar[#All],2,FALSE),0)</f>
        <v>0</v>
      </c>
      <c r="C14" s="14">
        <f>IFERROR(VLOOKUP($A14,AppSrvPar_QA[#All],2,FALSE),0)</f>
        <v>0</v>
      </c>
      <c r="D14" s="14"/>
      <c r="E14" s="14"/>
      <c r="F14" s="14"/>
      <c r="G14" s="14"/>
    </row>
    <row r="15" spans="1:7" x14ac:dyDescent="0.35">
      <c r="A15" s="50" t="s">
        <v>25</v>
      </c>
      <c r="B15" s="14">
        <f>IFERROR(VLOOKUP($A15,AppSrvPar[#All],2,FALSE),0)</f>
        <v>0</v>
      </c>
      <c r="C15" s="14">
        <f>IFERROR(VLOOKUP($A15,AppSrvPar_QA[#All],2,FALSE),0)</f>
        <v>0</v>
      </c>
      <c r="D15" s="14"/>
      <c r="E15" s="14"/>
      <c r="F15" s="14"/>
      <c r="G15" s="14"/>
    </row>
    <row r="16" spans="1:7" x14ac:dyDescent="0.35">
      <c r="A16" s="50" t="s">
        <v>69</v>
      </c>
      <c r="B16" s="14"/>
      <c r="C16" s="14"/>
      <c r="D16" s="14">
        <f>IFERROR(VLOOKUP($A16,DBSrvPar[#All],2,FALSE),0)</f>
        <v>0</v>
      </c>
      <c r="E16" s="14">
        <f>IFERROR(VLOOKUP($A16,DBSrvPar_QA[#All],2,FALSE),0)</f>
        <v>0</v>
      </c>
      <c r="F16" s="14"/>
      <c r="G16" s="14"/>
    </row>
    <row r="17" spans="1:7" x14ac:dyDescent="0.35">
      <c r="A17" s="50" t="s">
        <v>68</v>
      </c>
      <c r="B17" s="14"/>
      <c r="C17" s="14"/>
      <c r="D17" s="14">
        <f>IFERROR(VLOOKUP($A17,DBSrvPar[#All],2,FALSE),0)</f>
        <v>0</v>
      </c>
      <c r="E17" s="14">
        <f>IFERROR(VLOOKUP($A17,DBSrvPar_QA[#All],2,FALSE),0)</f>
        <v>0</v>
      </c>
      <c r="F17" s="14"/>
      <c r="G17" s="14"/>
    </row>
    <row r="18" spans="1:7" x14ac:dyDescent="0.35">
      <c r="A18" s="86" t="s">
        <v>192</v>
      </c>
      <c r="B18" s="87">
        <v>1</v>
      </c>
      <c r="C18" s="87">
        <v>1</v>
      </c>
      <c r="D18" s="87">
        <v>1</v>
      </c>
      <c r="E18" s="87">
        <v>1</v>
      </c>
      <c r="F18" s="87"/>
      <c r="G18" s="87"/>
    </row>
  </sheetData>
  <pageMargins left="0.7" right="0.7" top="0.75" bottom="0.75" header="0.3" footer="0.3"/>
  <pageSetup paperSize="9" orientation="portrait" horizontalDpi="300" verticalDpi="300" r:id="rId1"/>
  <ignoredErrors>
    <ignoredError sqref="B4 B3 B7:B15 C8:C15 D8:D12 D16:D17 E8:E12 E16:E17 E3:E6 D3:D6 C3:C6 B5:B6 C7:E7 F2 F3:F4" calculatedColum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workbookViewId="0">
      <selection activeCell="B13" sqref="B13"/>
    </sheetView>
  </sheetViews>
  <sheetFormatPr defaultColWidth="8.90625" defaultRowHeight="14.5" x14ac:dyDescent="0.35"/>
  <cols>
    <col min="1" max="1" width="24.36328125" style="18" bestFit="1" customWidth="1"/>
    <col min="2" max="2" width="10.36328125" style="18" customWidth="1"/>
    <col min="3" max="3" width="20.26953125" style="18" customWidth="1"/>
    <col min="4" max="4" width="24.08984375" style="18" customWidth="1"/>
    <col min="5" max="5" width="21.90625" style="18" customWidth="1"/>
    <col min="6" max="6" width="18.26953125" style="18" customWidth="1"/>
    <col min="7" max="7" width="20.26953125" style="18" customWidth="1"/>
    <col min="8" max="8" width="25.08984375" style="18" bestFit="1" customWidth="1"/>
    <col min="9" max="16384" width="8.90625" style="18"/>
  </cols>
  <sheetData>
    <row r="1" spans="1:7" x14ac:dyDescent="0.35">
      <c r="A1" s="18" t="s">
        <v>26</v>
      </c>
      <c r="B1" s="18" t="s">
        <v>3</v>
      </c>
      <c r="C1" s="18" t="s">
        <v>10</v>
      </c>
    </row>
    <row r="2" spans="1:7" x14ac:dyDescent="0.35">
      <c r="A2" s="82" t="s">
        <v>185</v>
      </c>
      <c r="B2" s="81">
        <v>4</v>
      </c>
      <c r="C2" t="s">
        <v>186</v>
      </c>
    </row>
    <row r="3" spans="1:7" ht="29" x14ac:dyDescent="0.35">
      <c r="A3" s="19" t="s">
        <v>31</v>
      </c>
      <c r="B3" s="20">
        <v>2</v>
      </c>
      <c r="C3" s="20"/>
    </row>
    <row r="4" spans="1:7" x14ac:dyDescent="0.35">
      <c r="A4" s="21" t="s">
        <v>29</v>
      </c>
      <c r="B4" s="79">
        <v>0.2</v>
      </c>
      <c r="C4" s="20"/>
    </row>
    <row r="5" spans="1:7" ht="29" x14ac:dyDescent="0.35">
      <c r="A5" s="19" t="s">
        <v>99</v>
      </c>
      <c r="B5" s="22">
        <v>0</v>
      </c>
      <c r="C5" s="20"/>
    </row>
    <row r="6" spans="1:7" x14ac:dyDescent="0.35">
      <c r="A6" s="21" t="s">
        <v>30</v>
      </c>
      <c r="B6" s="22">
        <v>0.3</v>
      </c>
      <c r="C6" s="20"/>
    </row>
    <row r="7" spans="1:7" ht="29" x14ac:dyDescent="0.35">
      <c r="A7" s="49" t="s">
        <v>140</v>
      </c>
      <c r="B7" s="22">
        <v>0.1</v>
      </c>
      <c r="C7" s="20"/>
    </row>
    <row r="8" spans="1:7" x14ac:dyDescent="0.35">
      <c r="A8" s="23" t="s">
        <v>44</v>
      </c>
      <c r="B8" s="24">
        <v>0.16</v>
      </c>
      <c r="C8" s="25" t="s">
        <v>45</v>
      </c>
    </row>
    <row r="10" spans="1:7" x14ac:dyDescent="0.35">
      <c r="A10" s="26" t="s">
        <v>116</v>
      </c>
      <c r="B10" s="27" t="s">
        <v>117</v>
      </c>
      <c r="C10" s="27" t="s">
        <v>1</v>
      </c>
      <c r="D10" s="27" t="s">
        <v>118</v>
      </c>
      <c r="E10" s="27" t="s">
        <v>119</v>
      </c>
      <c r="F10" s="27" t="s">
        <v>120</v>
      </c>
      <c r="G10" s="28" t="s">
        <v>121</v>
      </c>
    </row>
    <row r="11" spans="1:7" x14ac:dyDescent="0.35">
      <c r="A11" s="29" t="s">
        <v>122</v>
      </c>
      <c r="B11" s="20">
        <v>0</v>
      </c>
      <c r="C11" s="30"/>
      <c r="D11" s="20">
        <v>10</v>
      </c>
      <c r="E11" s="74" t="s">
        <v>172</v>
      </c>
      <c r="F11" s="75">
        <f>(10*1024+200+300)/1024</f>
        <v>10.49</v>
      </c>
      <c r="G11" s="31"/>
    </row>
    <row r="12" spans="1:7" x14ac:dyDescent="0.35">
      <c r="A12" s="77" t="s">
        <v>173</v>
      </c>
      <c r="B12" s="20">
        <v>0</v>
      </c>
      <c r="C12" s="33">
        <v>2</v>
      </c>
      <c r="D12" s="20"/>
      <c r="E12" s="20"/>
      <c r="F12" s="20"/>
      <c r="G12" s="76">
        <f>1780/1024</f>
        <v>1.74</v>
      </c>
    </row>
    <row r="13" spans="1:7" x14ac:dyDescent="0.35">
      <c r="A13" s="29" t="s">
        <v>124</v>
      </c>
      <c r="B13" s="20">
        <v>0</v>
      </c>
      <c r="C13" s="20"/>
      <c r="D13" s="20">
        <v>4</v>
      </c>
      <c r="E13" s="74" t="s">
        <v>171</v>
      </c>
      <c r="F13" s="20" t="s">
        <v>125</v>
      </c>
      <c r="G13" s="31" t="s">
        <v>123</v>
      </c>
    </row>
    <row r="14" spans="1:7" x14ac:dyDescent="0.35">
      <c r="A14" s="77" t="s">
        <v>173</v>
      </c>
      <c r="B14" s="20">
        <v>0</v>
      </c>
      <c r="C14" s="20">
        <f>512/1024</f>
        <v>0.5</v>
      </c>
      <c r="D14" s="20"/>
      <c r="E14" s="20"/>
      <c r="F14" s="20"/>
      <c r="G14" s="31"/>
    </row>
    <row r="15" spans="1:7" x14ac:dyDescent="0.35">
      <c r="A15" s="29" t="s">
        <v>126</v>
      </c>
      <c r="B15" s="20">
        <v>0</v>
      </c>
      <c r="C15" s="20"/>
      <c r="D15" s="20">
        <v>3</v>
      </c>
      <c r="E15" s="20" t="s">
        <v>127</v>
      </c>
      <c r="F15" s="20" t="s">
        <v>125</v>
      </c>
      <c r="G15" s="31" t="s">
        <v>123</v>
      </c>
    </row>
    <row r="16" spans="1:7" x14ac:dyDescent="0.35">
      <c r="A16" s="77" t="s">
        <v>173</v>
      </c>
      <c r="B16" s="25">
        <v>0</v>
      </c>
      <c r="C16" s="25">
        <f>1024/1024</f>
        <v>1</v>
      </c>
      <c r="D16" s="34"/>
      <c r="E16" s="25"/>
      <c r="F16" s="25"/>
      <c r="G16" s="35"/>
    </row>
    <row r="18" spans="1:8" x14ac:dyDescent="0.35">
      <c r="A18" s="26" t="s">
        <v>128</v>
      </c>
      <c r="B18" s="27" t="s">
        <v>129</v>
      </c>
      <c r="C18" s="28" t="s">
        <v>130</v>
      </c>
      <c r="E18" s="26" t="s">
        <v>131</v>
      </c>
      <c r="F18" s="27" t="s">
        <v>129</v>
      </c>
      <c r="G18" s="28" t="s">
        <v>130</v>
      </c>
    </row>
    <row r="19" spans="1:8" x14ac:dyDescent="0.35">
      <c r="A19" s="36" t="s">
        <v>4</v>
      </c>
      <c r="B19" s="46">
        <f>B12*C12+B14*C14+B16*C16</f>
        <v>0</v>
      </c>
      <c r="C19" s="38">
        <f>IF(B12+B14+B16&gt;0,C20+B3,0)</f>
        <v>0</v>
      </c>
      <c r="E19" s="36" t="s">
        <v>4</v>
      </c>
      <c r="F19" s="46">
        <f>B12*G12</f>
        <v>0</v>
      </c>
      <c r="G19" s="38">
        <f>IF(B12+B14+B16&gt;0,G20+B3,0)</f>
        <v>0</v>
      </c>
    </row>
    <row r="20" spans="1:8" x14ac:dyDescent="0.35">
      <c r="A20" s="44" t="s">
        <v>133</v>
      </c>
      <c r="B20" s="37"/>
      <c r="C20" s="38">
        <f>IF(B12+B14+B16&gt;0,ROUNDUP(B19/(1-B4),),0)</f>
        <v>0</v>
      </c>
      <c r="E20" s="44" t="s">
        <v>133</v>
      </c>
      <c r="F20" s="37"/>
      <c r="G20" s="45">
        <f>IF(B12+B14+B16&gt;0,ROUNDUP(F19/(1-B4),),0)</f>
        <v>0</v>
      </c>
    </row>
    <row r="21" spans="1:8" x14ac:dyDescent="0.35">
      <c r="A21" s="39" t="s">
        <v>7</v>
      </c>
      <c r="B21" s="37"/>
      <c r="C21" s="38">
        <f>IF(B11+B13+B16&gt;0,SUM(C23:C28),0)</f>
        <v>0</v>
      </c>
      <c r="E21" s="39" t="s">
        <v>7</v>
      </c>
      <c r="F21" s="37"/>
      <c r="G21" s="38">
        <f>IF(B11+B13+B15&gt;0,SUM(G23:G28),0)</f>
        <v>0</v>
      </c>
    </row>
    <row r="22" spans="1:8" x14ac:dyDescent="0.35">
      <c r="A22" s="2" t="s">
        <v>5</v>
      </c>
      <c r="B22" s="37"/>
      <c r="C22">
        <v>0</v>
      </c>
      <c r="D22" s="16" t="s">
        <v>111</v>
      </c>
      <c r="E22" s="2" t="s">
        <v>5</v>
      </c>
      <c r="F22" s="37"/>
      <c r="G22">
        <v>0</v>
      </c>
      <c r="H22" s="16" t="s">
        <v>111</v>
      </c>
    </row>
    <row r="23" spans="1:8" x14ac:dyDescent="0.35">
      <c r="A23" s="32" t="s">
        <v>6</v>
      </c>
      <c r="B23" s="20"/>
      <c r="C23" s="31">
        <v>16</v>
      </c>
      <c r="E23" s="32" t="s">
        <v>6</v>
      </c>
      <c r="F23" s="20"/>
      <c r="G23" s="31">
        <v>16</v>
      </c>
    </row>
    <row r="24" spans="1:8" x14ac:dyDescent="0.35">
      <c r="A24" s="32" t="s">
        <v>132</v>
      </c>
      <c r="B24" s="20"/>
      <c r="C24" s="31">
        <v>4</v>
      </c>
      <c r="E24" s="32" t="s">
        <v>132</v>
      </c>
      <c r="F24" s="20"/>
      <c r="G24" s="31">
        <v>4</v>
      </c>
    </row>
    <row r="25" spans="1:8" x14ac:dyDescent="0.35">
      <c r="A25" s="32" t="s">
        <v>11</v>
      </c>
      <c r="B25" s="20"/>
      <c r="C25" s="31">
        <v>2</v>
      </c>
      <c r="E25" s="32" t="s">
        <v>11</v>
      </c>
      <c r="F25" s="20"/>
      <c r="G25" s="31">
        <v>2</v>
      </c>
    </row>
    <row r="26" spans="1:8" x14ac:dyDescent="0.35">
      <c r="A26" s="32" t="s">
        <v>8</v>
      </c>
      <c r="B26" s="20"/>
      <c r="C26" s="31">
        <v>24</v>
      </c>
      <c r="E26" s="32" t="s">
        <v>8</v>
      </c>
      <c r="F26" s="20"/>
      <c r="G26" s="31">
        <v>24</v>
      </c>
    </row>
    <row r="27" spans="1:8" x14ac:dyDescent="0.35">
      <c r="A27" s="32" t="s">
        <v>9</v>
      </c>
      <c r="B27" s="20">
        <f>B11*D11+B13*D13+B15*D15</f>
        <v>0</v>
      </c>
      <c r="C27" s="31">
        <f>ROUNDUP(B27/(1-B6),)</f>
        <v>0</v>
      </c>
      <c r="E27" s="32" t="s">
        <v>9</v>
      </c>
      <c r="F27" s="20">
        <f>B11*F11</f>
        <v>0</v>
      </c>
      <c r="G27" s="31">
        <f>ROUNDUP(F27/(1-B7),)</f>
        <v>0</v>
      </c>
    </row>
    <row r="28" spans="1:8" x14ac:dyDescent="0.35">
      <c r="A28" s="32" t="s">
        <v>15</v>
      </c>
      <c r="B28" s="20"/>
      <c r="C28" s="31">
        <f>ROUNDUP(B27*B5,)</f>
        <v>0</v>
      </c>
      <c r="E28" s="32" t="s">
        <v>15</v>
      </c>
      <c r="F28" s="20"/>
      <c r="G28" s="31">
        <f>IF(G27&gt;0,ROUNDUP(SUM(G23:G27)*B8,),0)</f>
        <v>0</v>
      </c>
    </row>
    <row r="29" spans="1:8" x14ac:dyDescent="0.35">
      <c r="A29" s="43" t="s">
        <v>25</v>
      </c>
      <c r="B29" s="40"/>
      <c r="C29" s="42">
        <f>C27</f>
        <v>0</v>
      </c>
      <c r="E29" s="43" t="s">
        <v>141</v>
      </c>
      <c r="F29" s="40"/>
      <c r="G29" s="41">
        <f>ROUNDUP(F27,)</f>
        <v>0</v>
      </c>
    </row>
    <row r="30" spans="1:8" x14ac:dyDescent="0.35">
      <c r="A30" s="39" t="s">
        <v>185</v>
      </c>
      <c r="B30" s="37"/>
      <c r="C30" s="42">
        <f>IF(B12+B14+B16&gt;0,B2,0)</f>
        <v>0</v>
      </c>
      <c r="E30" s="39" t="s">
        <v>185</v>
      </c>
      <c r="F30" s="37"/>
      <c r="G30" s="85">
        <f>IF(B12+B14+B16&gt;0,B2,0)</f>
        <v>0</v>
      </c>
    </row>
  </sheetData>
  <dataValidations disablePrompts="1" count="1">
    <dataValidation type="list" allowBlank="1" showInputMessage="1" showErrorMessage="1" sqref="C22 G22">
      <formula1>"0,0,25"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workbookViewId="0">
      <selection activeCell="B13" sqref="B13"/>
    </sheetView>
  </sheetViews>
  <sheetFormatPr defaultColWidth="8.90625" defaultRowHeight="14.5" x14ac:dyDescent="0.35"/>
  <cols>
    <col min="1" max="1" width="24.36328125" style="18" bestFit="1" customWidth="1"/>
    <col min="2" max="2" width="10.36328125" style="18" customWidth="1"/>
    <col min="3" max="3" width="20.26953125" style="18" customWidth="1"/>
    <col min="4" max="4" width="24.08984375" style="18" customWidth="1"/>
    <col min="5" max="5" width="21.90625" style="18" customWidth="1"/>
    <col min="6" max="6" width="18.26953125" style="18" customWidth="1"/>
    <col min="7" max="7" width="20.26953125" style="18" customWidth="1"/>
    <col min="8" max="8" width="25.08984375" style="18" bestFit="1" customWidth="1"/>
    <col min="9" max="16384" width="8.90625" style="18"/>
  </cols>
  <sheetData>
    <row r="1" spans="1:7" x14ac:dyDescent="0.35">
      <c r="A1" s="18" t="s">
        <v>26</v>
      </c>
      <c r="B1" s="18" t="s">
        <v>3</v>
      </c>
      <c r="C1" s="18" t="s">
        <v>10</v>
      </c>
    </row>
    <row r="2" spans="1:7" x14ac:dyDescent="0.35">
      <c r="A2" s="82" t="s">
        <v>185</v>
      </c>
      <c r="B2" s="81">
        <v>4</v>
      </c>
      <c r="C2" t="s">
        <v>186</v>
      </c>
    </row>
    <row r="3" spans="1:7" ht="29" x14ac:dyDescent="0.35">
      <c r="A3" s="19" t="s">
        <v>31</v>
      </c>
      <c r="B3" s="20">
        <v>2</v>
      </c>
      <c r="C3" s="20"/>
    </row>
    <row r="4" spans="1:7" x14ac:dyDescent="0.35">
      <c r="A4" s="21" t="s">
        <v>29</v>
      </c>
      <c r="B4" s="79">
        <v>0.2</v>
      </c>
      <c r="C4" s="20"/>
    </row>
    <row r="5" spans="1:7" ht="29" x14ac:dyDescent="0.35">
      <c r="A5" s="19" t="s">
        <v>99</v>
      </c>
      <c r="B5" s="22">
        <v>0</v>
      </c>
      <c r="C5" s="20"/>
    </row>
    <row r="6" spans="1:7" x14ac:dyDescent="0.35">
      <c r="A6" s="21" t="s">
        <v>30</v>
      </c>
      <c r="B6" s="22">
        <v>0.3</v>
      </c>
      <c r="C6" s="20"/>
    </row>
    <row r="7" spans="1:7" ht="29" x14ac:dyDescent="0.35">
      <c r="A7" s="49" t="s">
        <v>140</v>
      </c>
      <c r="B7" s="22">
        <v>0.1</v>
      </c>
      <c r="C7" s="20"/>
    </row>
    <row r="8" spans="1:7" x14ac:dyDescent="0.35">
      <c r="A8" s="23" t="s">
        <v>44</v>
      </c>
      <c r="B8" s="24">
        <v>0.16</v>
      </c>
      <c r="C8" s="25" t="s">
        <v>45</v>
      </c>
    </row>
    <row r="10" spans="1:7" x14ac:dyDescent="0.35">
      <c r="A10" s="26" t="s">
        <v>116</v>
      </c>
      <c r="B10" s="27" t="s">
        <v>117</v>
      </c>
      <c r="C10" s="27" t="s">
        <v>1</v>
      </c>
      <c r="D10" s="27" t="s">
        <v>118</v>
      </c>
      <c r="E10" s="27" t="s">
        <v>119</v>
      </c>
      <c r="F10" s="27" t="s">
        <v>120</v>
      </c>
      <c r="G10" s="28" t="s">
        <v>121</v>
      </c>
    </row>
    <row r="11" spans="1:7" x14ac:dyDescent="0.35">
      <c r="A11" s="29" t="s">
        <v>122</v>
      </c>
      <c r="B11" s="20">
        <v>0</v>
      </c>
      <c r="C11" s="30"/>
      <c r="D11" s="20">
        <v>10</v>
      </c>
      <c r="E11" s="74" t="s">
        <v>172</v>
      </c>
      <c r="F11" s="75">
        <f>(10*1024+200+300)/1024</f>
        <v>10.49</v>
      </c>
      <c r="G11" s="31"/>
    </row>
    <row r="12" spans="1:7" x14ac:dyDescent="0.35">
      <c r="A12" s="77" t="s">
        <v>173</v>
      </c>
      <c r="B12" s="20">
        <v>0</v>
      </c>
      <c r="C12" s="33">
        <v>2</v>
      </c>
      <c r="D12" s="20"/>
      <c r="E12" s="20"/>
      <c r="F12" s="20"/>
      <c r="G12" s="76">
        <f>1780/1024</f>
        <v>1.74</v>
      </c>
    </row>
    <row r="13" spans="1:7" x14ac:dyDescent="0.35">
      <c r="A13" s="29" t="s">
        <v>124</v>
      </c>
      <c r="B13" s="20">
        <v>0</v>
      </c>
      <c r="C13" s="20"/>
      <c r="D13" s="20">
        <v>4</v>
      </c>
      <c r="E13" s="74" t="s">
        <v>171</v>
      </c>
      <c r="F13" s="20" t="s">
        <v>125</v>
      </c>
      <c r="G13" s="31" t="s">
        <v>123</v>
      </c>
    </row>
    <row r="14" spans="1:7" x14ac:dyDescent="0.35">
      <c r="A14" s="77" t="s">
        <v>173</v>
      </c>
      <c r="B14" s="20">
        <v>0</v>
      </c>
      <c r="C14" s="20">
        <f>512/1024</f>
        <v>0.5</v>
      </c>
      <c r="D14" s="20"/>
      <c r="E14" s="20"/>
      <c r="F14" s="20"/>
      <c r="G14" s="31"/>
    </row>
    <row r="15" spans="1:7" x14ac:dyDescent="0.35">
      <c r="A15" s="29" t="s">
        <v>126</v>
      </c>
      <c r="B15" s="20">
        <v>0</v>
      </c>
      <c r="C15" s="20"/>
      <c r="D15" s="20">
        <v>3</v>
      </c>
      <c r="E15" s="20" t="s">
        <v>127</v>
      </c>
      <c r="F15" s="20" t="s">
        <v>125</v>
      </c>
      <c r="G15" s="31" t="s">
        <v>123</v>
      </c>
    </row>
    <row r="16" spans="1:7" x14ac:dyDescent="0.35">
      <c r="A16" s="77" t="s">
        <v>173</v>
      </c>
      <c r="B16" s="25">
        <v>0</v>
      </c>
      <c r="C16" s="25">
        <f>1024/1024</f>
        <v>1</v>
      </c>
      <c r="D16" s="34"/>
      <c r="E16" s="25"/>
      <c r="F16" s="25"/>
      <c r="G16" s="35"/>
    </row>
    <row r="18" spans="1:8" x14ac:dyDescent="0.35">
      <c r="A18" s="26" t="s">
        <v>128</v>
      </c>
      <c r="B18" s="27" t="s">
        <v>129</v>
      </c>
      <c r="C18" s="28" t="s">
        <v>130</v>
      </c>
      <c r="E18" s="26" t="s">
        <v>131</v>
      </c>
      <c r="F18" s="27" t="s">
        <v>129</v>
      </c>
      <c r="G18" s="28" t="s">
        <v>130</v>
      </c>
    </row>
    <row r="19" spans="1:8" x14ac:dyDescent="0.35">
      <c r="A19" s="36" t="s">
        <v>4</v>
      </c>
      <c r="B19" s="46">
        <f>B12*C12+B14*C14+B16*C16</f>
        <v>0</v>
      </c>
      <c r="C19" s="38">
        <f>IF(B12+B14+B16&gt;0,C20+B3,0)</f>
        <v>0</v>
      </c>
      <c r="E19" s="36" t="s">
        <v>4</v>
      </c>
      <c r="F19" s="46">
        <f>B12*G12</f>
        <v>0</v>
      </c>
      <c r="G19" s="38">
        <f>IF(B12+B14+B16&gt;0,G20+B3,0)</f>
        <v>0</v>
      </c>
    </row>
    <row r="20" spans="1:8" x14ac:dyDescent="0.35">
      <c r="A20" s="44" t="s">
        <v>133</v>
      </c>
      <c r="B20" s="37"/>
      <c r="C20" s="38">
        <f>IF(B12+B14+B16&gt;0,ROUNDUP(B19/(1-B4),),0)</f>
        <v>0</v>
      </c>
      <c r="E20" s="44" t="s">
        <v>133</v>
      </c>
      <c r="F20" s="37"/>
      <c r="G20" s="45">
        <f>IF(B12+B14+B16&gt;0,ROUNDUP(F19/(1-B4),),0)</f>
        <v>0</v>
      </c>
    </row>
    <row r="21" spans="1:8" x14ac:dyDescent="0.35">
      <c r="A21" s="39" t="s">
        <v>7</v>
      </c>
      <c r="B21" s="37"/>
      <c r="C21" s="38">
        <f>IF(B11+B13+B16&gt;0,SUM(C23:C28),0)</f>
        <v>0</v>
      </c>
      <c r="E21" s="39" t="s">
        <v>7</v>
      </c>
      <c r="F21" s="37"/>
      <c r="G21" s="38">
        <f>IF(B11+B13+B15&gt;0,SUM(G23:G28),0)</f>
        <v>0</v>
      </c>
    </row>
    <row r="22" spans="1:8" x14ac:dyDescent="0.35">
      <c r="A22" s="2" t="s">
        <v>5</v>
      </c>
      <c r="B22" s="37"/>
      <c r="C22">
        <v>0</v>
      </c>
      <c r="D22" s="16" t="s">
        <v>111</v>
      </c>
      <c r="E22" s="2" t="s">
        <v>5</v>
      </c>
      <c r="F22" s="37"/>
      <c r="G22">
        <v>0</v>
      </c>
      <c r="H22" s="16" t="s">
        <v>111</v>
      </c>
    </row>
    <row r="23" spans="1:8" x14ac:dyDescent="0.35">
      <c r="A23" s="32" t="s">
        <v>6</v>
      </c>
      <c r="B23" s="20"/>
      <c r="C23" s="31">
        <v>16</v>
      </c>
      <c r="E23" s="32" t="s">
        <v>6</v>
      </c>
      <c r="F23" s="20"/>
      <c r="G23" s="31">
        <v>16</v>
      </c>
    </row>
    <row r="24" spans="1:8" x14ac:dyDescent="0.35">
      <c r="A24" s="32" t="s">
        <v>132</v>
      </c>
      <c r="B24" s="20"/>
      <c r="C24" s="31">
        <v>4</v>
      </c>
      <c r="E24" s="32" t="s">
        <v>132</v>
      </c>
      <c r="F24" s="20"/>
      <c r="G24" s="31">
        <v>4</v>
      </c>
    </row>
    <row r="25" spans="1:8" x14ac:dyDescent="0.35">
      <c r="A25" s="32" t="s">
        <v>11</v>
      </c>
      <c r="B25" s="20"/>
      <c r="C25" s="31">
        <v>2</v>
      </c>
      <c r="E25" s="32" t="s">
        <v>11</v>
      </c>
      <c r="F25" s="20"/>
      <c r="G25" s="31">
        <v>2</v>
      </c>
    </row>
    <row r="26" spans="1:8" x14ac:dyDescent="0.35">
      <c r="A26" s="32" t="s">
        <v>8</v>
      </c>
      <c r="B26" s="20"/>
      <c r="C26" s="31">
        <v>24</v>
      </c>
      <c r="E26" s="32" t="s">
        <v>8</v>
      </c>
      <c r="F26" s="20"/>
      <c r="G26" s="31">
        <v>24</v>
      </c>
    </row>
    <row r="27" spans="1:8" x14ac:dyDescent="0.35">
      <c r="A27" s="32" t="s">
        <v>9</v>
      </c>
      <c r="B27" s="20">
        <f>B11*D11+B13*D13+B15*D15</f>
        <v>0</v>
      </c>
      <c r="C27" s="31">
        <f>ROUNDUP(B27/(1-B6),)</f>
        <v>0</v>
      </c>
      <c r="E27" s="32" t="s">
        <v>9</v>
      </c>
      <c r="F27" s="20">
        <f>B11*F11</f>
        <v>0</v>
      </c>
      <c r="G27" s="31">
        <f>ROUNDUP(F27/(1-B7),)</f>
        <v>0</v>
      </c>
    </row>
    <row r="28" spans="1:8" x14ac:dyDescent="0.35">
      <c r="A28" s="32" t="s">
        <v>15</v>
      </c>
      <c r="B28" s="20"/>
      <c r="C28" s="31">
        <f>ROUNDUP(B27*B5,)</f>
        <v>0</v>
      </c>
      <c r="E28" s="32" t="s">
        <v>15</v>
      </c>
      <c r="F28" s="20"/>
      <c r="G28" s="31">
        <f>IF(G27&gt;0,ROUNDUP(SUM(G23:G27)*B8,),0)</f>
        <v>0</v>
      </c>
    </row>
    <row r="29" spans="1:8" x14ac:dyDescent="0.35">
      <c r="A29" s="43" t="s">
        <v>25</v>
      </c>
      <c r="B29" s="40"/>
      <c r="C29" s="42">
        <f>C27</f>
        <v>0</v>
      </c>
      <c r="E29" s="43" t="s">
        <v>141</v>
      </c>
      <c r="F29" s="40"/>
      <c r="G29" s="41">
        <f>ROUNDUP(F27,)</f>
        <v>0</v>
      </c>
    </row>
    <row r="30" spans="1:8" x14ac:dyDescent="0.35">
      <c r="A30" s="39" t="s">
        <v>185</v>
      </c>
      <c r="B30" s="37"/>
      <c r="C30" s="42">
        <f>IF(B12+B14+B16&gt;0,B2,0)</f>
        <v>0</v>
      </c>
      <c r="E30" s="39" t="s">
        <v>185</v>
      </c>
      <c r="F30" s="37"/>
      <c r="G30" s="85">
        <f>IF(B12+B14+B16&gt;0,B2,0)</f>
        <v>0</v>
      </c>
    </row>
  </sheetData>
  <dataValidations disablePrompts="1" count="1">
    <dataValidation type="list" allowBlank="1" showInputMessage="1" showErrorMessage="1" sqref="C22 G22">
      <formula1>"0,0,25"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4" sqref="F4"/>
    </sheetView>
  </sheetViews>
  <sheetFormatPr defaultRowHeight="14.5" x14ac:dyDescent="0.35"/>
  <cols>
    <col min="1" max="1" width="29.36328125" bestFit="1" customWidth="1"/>
    <col min="2" max="2" width="16.08984375" customWidth="1"/>
    <col min="3" max="3" width="12.36328125" bestFit="1" customWidth="1"/>
    <col min="4" max="4" width="15.36328125" customWidth="1"/>
    <col min="5" max="5" width="14.6328125" bestFit="1" customWidth="1"/>
    <col min="6" max="6" width="14.08984375" customWidth="1"/>
    <col min="7" max="7" width="15.36328125" customWidth="1"/>
  </cols>
  <sheetData>
    <row r="1" spans="1:7" x14ac:dyDescent="0.35">
      <c r="A1" t="s">
        <v>26</v>
      </c>
      <c r="B1" t="s">
        <v>134</v>
      </c>
      <c r="C1" t="s">
        <v>135</v>
      </c>
      <c r="D1" t="s">
        <v>138</v>
      </c>
      <c r="E1" t="s">
        <v>139</v>
      </c>
      <c r="F1" s="48" t="s">
        <v>136</v>
      </c>
      <c r="G1" s="48" t="s">
        <v>2</v>
      </c>
    </row>
    <row r="2" spans="1:7" x14ac:dyDescent="0.35">
      <c r="A2" s="3" t="s">
        <v>185</v>
      </c>
      <c r="B2" s="9">
        <f>IFERROR(VLOOKUP($A2,RBMAppSrvPar[#All],3,FALSE),0)</f>
        <v>0</v>
      </c>
      <c r="C2" s="9">
        <f>IFERROR(VLOOKUP($A2,RBMDBSrvPar[#All],3,FALSE),0)</f>
        <v>0</v>
      </c>
      <c r="D2" s="9">
        <f>IFERROR(VLOOKUP($A2,RBMAppSrvPar_QA[#All],3,FALSE),0)</f>
        <v>0</v>
      </c>
      <c r="E2" s="9">
        <f>IFERROR(VLOOKUP($A2,RBMDBSrvPar_QA[#All],3,FALSE),0)</f>
        <v>0</v>
      </c>
      <c r="F2" s="9">
        <f>SUMPRODUCT(Table1929[[#This Row],[rbm-devapp'#'#'#]:[rbm-qadb'#'#'#]],B$18:E$18)</f>
        <v>0</v>
      </c>
      <c r="G2" s="47">
        <f ca="1">Table19[[#This Row],[Total]]</f>
        <v>4</v>
      </c>
    </row>
    <row r="3" spans="1:7" x14ac:dyDescent="0.35">
      <c r="A3" s="3" t="s">
        <v>4</v>
      </c>
      <c r="B3" s="9">
        <f>IFERROR(VLOOKUP($A3,RBMAppSrvPar[#All],3,FALSE),0)</f>
        <v>0</v>
      </c>
      <c r="C3" s="9">
        <f>IFERROR(VLOOKUP($A3,RBMDBSrvPar[#All],3,FALSE),0)</f>
        <v>0</v>
      </c>
      <c r="D3" s="9">
        <f>IFERROR(VLOOKUP($A3,RBMAppSrvPar_QA[#All],3,FALSE),0)</f>
        <v>0</v>
      </c>
      <c r="E3" s="9">
        <f>IFERROR(VLOOKUP($A3,RBMDBSrvPar_QA[#All],3,FALSE),0)</f>
        <v>0</v>
      </c>
      <c r="F3" s="9">
        <f>SUMPRODUCT(Table1929[[#This Row],[rbm-devapp'#'#'#]:[rbm-qadb'#'#'#]],B$18:E$18)</f>
        <v>0</v>
      </c>
      <c r="G3" s="47">
        <f ca="1">Table19[[#This Row],[Total]]</f>
        <v>8</v>
      </c>
    </row>
    <row r="4" spans="1:7" x14ac:dyDescent="0.35">
      <c r="A4" s="3" t="s">
        <v>7</v>
      </c>
      <c r="B4" s="9">
        <f>IFERROR(VLOOKUP($A4,RBMAppSrvPar[#All],3,FALSE),0)</f>
        <v>0</v>
      </c>
      <c r="C4" s="9">
        <f>IFERROR(VLOOKUP($A4,RBMDBSrvPar[#All],3,FALSE),0)</f>
        <v>0</v>
      </c>
      <c r="D4" s="9">
        <f>IFERROR(VLOOKUP($A4,RBMAppSrvPar_QA[#All],3,FALSE),0)</f>
        <v>0</v>
      </c>
      <c r="E4" s="9">
        <f>IFERROR(VLOOKUP($A4,RBMDBSrvPar_QA[#All],3,FALSE),0)</f>
        <v>0</v>
      </c>
      <c r="F4" s="9">
        <f>SUMPRODUCT(Table1929[[#This Row],[rbm-devapp'#'#'#]:[rbm-qadb'#'#'#]],B$18:E$18)</f>
        <v>0</v>
      </c>
      <c r="G4" s="47">
        <f ca="1">Table19[[#This Row],[Total]]</f>
        <v>86</v>
      </c>
    </row>
    <row r="5" spans="1:7" x14ac:dyDescent="0.35">
      <c r="A5" s="2" t="s">
        <v>5</v>
      </c>
      <c r="B5" s="6">
        <f>IFERROR(VLOOKUP($A5,RBMAppSrvPar[#All],3,FALSE),0)</f>
        <v>0</v>
      </c>
      <c r="C5" s="6">
        <f>IFERROR(VLOOKUP($A5,RBMDBSrvPar[#All],3,FALSE),0)</f>
        <v>0</v>
      </c>
      <c r="D5" s="6">
        <f>IFERROR(VLOOKUP($A5,RBMAppSrvPar_QA[#All],3,FALSE),0)</f>
        <v>0</v>
      </c>
      <c r="E5" s="6">
        <f>IFERROR(VLOOKUP($A5,RBMDBSrvPar_QA[#All],3,FALSE),0)</f>
        <v>0</v>
      </c>
      <c r="F5" s="14"/>
      <c r="G5" s="14"/>
    </row>
    <row r="6" spans="1:7" x14ac:dyDescent="0.35">
      <c r="A6" s="2" t="s">
        <v>6</v>
      </c>
      <c r="B6" s="14">
        <f>IFERROR(VLOOKUP($A6,RBMAppSrvPar[#All],3,FALSE),0)</f>
        <v>16</v>
      </c>
      <c r="C6" s="14">
        <f>IFERROR(VLOOKUP($A6,RBMDBSrvPar[#All],3,FALSE),0)</f>
        <v>16</v>
      </c>
      <c r="D6" s="14">
        <f>IFERROR(VLOOKUP($A6,RBMAppSrvPar_QA[#All],3,FALSE),0)</f>
        <v>16</v>
      </c>
      <c r="E6" s="14">
        <f>IFERROR(VLOOKUP($A6,RBMDBSrvPar_QA[#All],3,FALSE),0)</f>
        <v>16</v>
      </c>
      <c r="F6" s="14"/>
      <c r="G6" s="14"/>
    </row>
    <row r="7" spans="1:7" x14ac:dyDescent="0.35">
      <c r="A7" s="78" t="s">
        <v>179</v>
      </c>
      <c r="B7" s="47">
        <f>IF(B4&gt;0,SUM(B8:B12),0)</f>
        <v>0</v>
      </c>
      <c r="C7" s="47">
        <f t="shared" ref="C7:E7" si="0">IF(C4&gt;0,SUM(C8:C12),0)</f>
        <v>0</v>
      </c>
      <c r="D7" s="47">
        <f t="shared" si="0"/>
        <v>0</v>
      </c>
      <c r="E7" s="47">
        <f t="shared" si="0"/>
        <v>0</v>
      </c>
      <c r="F7" s="14"/>
      <c r="G7" s="14"/>
    </row>
    <row r="8" spans="1:7" x14ac:dyDescent="0.35">
      <c r="A8" s="2" t="s">
        <v>12</v>
      </c>
      <c r="B8" s="14">
        <f>IFERROR(VLOOKUP($A8,RBMAppSrvPar[#All],3,FALSE),0)</f>
        <v>4</v>
      </c>
      <c r="C8" s="14">
        <f>IFERROR(VLOOKUP($A8,RBMDBSrvPar[#All],3,FALSE),0)</f>
        <v>4</v>
      </c>
      <c r="D8" s="14">
        <f>IFERROR(VLOOKUP($A8,RBMAppSrvPar_QA[#All],3,FALSE),0)</f>
        <v>4</v>
      </c>
      <c r="E8" s="14">
        <f>IFERROR(VLOOKUP($A8,RBMDBSrvPar_QA[#All],3,FALSE),0)</f>
        <v>4</v>
      </c>
      <c r="F8" s="14"/>
      <c r="G8" s="14"/>
    </row>
    <row r="9" spans="1:7" x14ac:dyDescent="0.35">
      <c r="A9" s="2" t="s">
        <v>11</v>
      </c>
      <c r="B9" s="14">
        <f>IFERROR(VLOOKUP($A9,RBMAppSrvPar[#All],3,FALSE),0)</f>
        <v>2</v>
      </c>
      <c r="C9" s="14">
        <f>IFERROR(VLOOKUP($A9,RBMDBSrvPar[#All],3,FALSE),0)</f>
        <v>2</v>
      </c>
      <c r="D9" s="14">
        <f>IFERROR(VLOOKUP($A9,RBMAppSrvPar_QA[#All],3,FALSE),0)</f>
        <v>2</v>
      </c>
      <c r="E9" s="14">
        <f>IFERROR(VLOOKUP($A9,RBMDBSrvPar_QA[#All],3,FALSE),0)</f>
        <v>2</v>
      </c>
      <c r="F9" s="14"/>
      <c r="G9" s="14"/>
    </row>
    <row r="10" spans="1:7" x14ac:dyDescent="0.35">
      <c r="A10" s="2" t="s">
        <v>8</v>
      </c>
      <c r="B10" s="14">
        <f>IFERROR(VLOOKUP($A10,RBMAppSrvPar[#All],3,FALSE),0)</f>
        <v>24</v>
      </c>
      <c r="C10" s="14">
        <f>IFERROR(VLOOKUP($A10,RBMDBSrvPar[#All],3,FALSE),0)</f>
        <v>24</v>
      </c>
      <c r="D10" s="14">
        <f>IFERROR(VLOOKUP($A10,RBMAppSrvPar_QA[#All],3,FALSE),0)</f>
        <v>24</v>
      </c>
      <c r="E10" s="14">
        <f>IFERROR(VLOOKUP($A10,RBMDBSrvPar_QA[#All],3,FALSE),0)</f>
        <v>24</v>
      </c>
      <c r="F10" s="14"/>
      <c r="G10" s="14"/>
    </row>
    <row r="11" spans="1:7" x14ac:dyDescent="0.35">
      <c r="A11" s="2" t="s">
        <v>9</v>
      </c>
      <c r="B11" s="14">
        <f>IFERROR(VLOOKUP($A11,RBMAppSrvPar[#All],3,FALSE),0)</f>
        <v>0</v>
      </c>
      <c r="C11" s="14">
        <f>IFERROR(VLOOKUP($A11,RBMDBSrvPar[#All],3,FALSE),0)</f>
        <v>0</v>
      </c>
      <c r="D11" s="14">
        <f>IFERROR(VLOOKUP($A11,RBMAppSrvPar_QA[#All],3,FALSE),0)</f>
        <v>0</v>
      </c>
      <c r="E11" s="14">
        <f>IFERROR(VLOOKUP($A11,RBMDBSrvPar_QA[#All],3,FALSE),0)</f>
        <v>0</v>
      </c>
      <c r="F11" s="14"/>
      <c r="G11" s="14"/>
    </row>
    <row r="12" spans="1:7" x14ac:dyDescent="0.35">
      <c r="A12" s="2" t="s">
        <v>15</v>
      </c>
      <c r="B12" s="14">
        <f>IFERROR(VLOOKUP($A12,RBMAppSrvPar[#All],3,FALSE),0)</f>
        <v>0</v>
      </c>
      <c r="C12" s="14">
        <f>IFERROR(VLOOKUP($A12,RBMDBSrvPar[#All],3,FALSE),0)</f>
        <v>0</v>
      </c>
      <c r="D12" s="14">
        <f>IFERROR(VLOOKUP($A12,RBMAppSrvPar_QA[#All],3,FALSE),0)</f>
        <v>0</v>
      </c>
      <c r="E12" s="14">
        <f>IFERROR(VLOOKUP($A12,RBMDBSrvPar_QA[#All],3,FALSE),0)</f>
        <v>0</v>
      </c>
      <c r="F12" s="14"/>
      <c r="G12" s="14"/>
    </row>
    <row r="13" spans="1:7" x14ac:dyDescent="0.35">
      <c r="A13" s="52" t="s">
        <v>142</v>
      </c>
      <c r="B13" s="51"/>
      <c r="C13" s="51"/>
      <c r="D13" s="51"/>
      <c r="E13" s="51"/>
      <c r="F13" s="51"/>
      <c r="G13" s="51"/>
    </row>
    <row r="14" spans="1:7" x14ac:dyDescent="0.35">
      <c r="A14" s="50" t="s">
        <v>24</v>
      </c>
      <c r="B14" s="14">
        <f>IFERROR(VLOOKUP($A14,RBMAppSrvPar[#All],3,FALSE),0)</f>
        <v>0</v>
      </c>
      <c r="C14" s="14"/>
      <c r="D14" s="14">
        <f>IFERROR(VLOOKUP($A14,RBMAppSrvPar_QA[#All],3,FALSE),0)</f>
        <v>0</v>
      </c>
      <c r="E14" s="14"/>
      <c r="F14" s="14"/>
      <c r="G14" s="14"/>
    </row>
    <row r="15" spans="1:7" x14ac:dyDescent="0.35">
      <c r="A15" s="50" t="s">
        <v>25</v>
      </c>
      <c r="B15" s="14">
        <f>IFERROR(VLOOKUP($A15,RBMAppSrvPar[#All],3,FALSE),0)</f>
        <v>0</v>
      </c>
      <c r="C15" s="14"/>
      <c r="D15" s="14">
        <f>IFERROR(VLOOKUP($A15,RBMAppSrvPar_QA[#All],3,FALSE),0)</f>
        <v>0</v>
      </c>
      <c r="E15" s="14"/>
      <c r="F15" s="14"/>
      <c r="G15" s="14"/>
    </row>
    <row r="16" spans="1:7" x14ac:dyDescent="0.35">
      <c r="A16" s="50" t="s">
        <v>69</v>
      </c>
      <c r="B16" s="14"/>
      <c r="C16" s="14">
        <f>IFERROR(VLOOKUP($A16,RBMDBSrvPar[#All],3,FALSE),0)</f>
        <v>0</v>
      </c>
      <c r="D16" s="14"/>
      <c r="E16" s="14">
        <f>IFERROR(VLOOKUP($A16,RBMDBSrvPar_QA[#All],3,FALSE),0)</f>
        <v>0</v>
      </c>
      <c r="F16" s="14"/>
      <c r="G16" s="14"/>
    </row>
    <row r="17" spans="1:7" x14ac:dyDescent="0.35">
      <c r="A17" s="50" t="s">
        <v>68</v>
      </c>
      <c r="B17" s="14"/>
      <c r="C17" s="14"/>
      <c r="D17" s="14"/>
      <c r="E17" s="14"/>
      <c r="F17" s="14"/>
      <c r="G17" s="14"/>
    </row>
    <row r="18" spans="1:7" x14ac:dyDescent="0.35">
      <c r="A18" s="86" t="s">
        <v>192</v>
      </c>
      <c r="B18" s="87">
        <v>1</v>
      </c>
      <c r="C18" s="87">
        <v>1</v>
      </c>
      <c r="D18" s="87">
        <v>1</v>
      </c>
      <c r="E18" s="87">
        <v>1</v>
      </c>
      <c r="F18" s="87"/>
      <c r="G18" s="87"/>
    </row>
  </sheetData>
  <pageMargins left="0.7" right="0.7" top="0.75" bottom="0.75" header="0.3" footer="0.3"/>
  <pageSetup paperSize="9" orientation="portrait" horizontalDpi="300" verticalDpi="300" r:id="rId1"/>
  <ignoredErrors>
    <ignoredError sqref="C8:C12 C16:C17 D8:F12 D5:F6 C2:C6 D2:E2 D14:F17 E13:F13 D3:E4" calculatedColumn="1"/>
    <ignoredError sqref="B7" formula="1"/>
    <ignoredError sqref="C7:E7" formula="1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manent_x0020_Link xmlns="a5345c3a-333e-4011-aac3-e7f5a5abc67f">https://sps3.netcracker.com/department/it/_layouts/CustomDocId/Redirect.aspx?ListId=a5345c3a-333e-4011-aac3-e7f5a5abc67f&amp;DocId=9591</Permanent_x0020_Link>
    <IconOverlay xmlns="http://schemas.microsoft.com/sharepoint/v4" xsi:nil="true"/>
    <Project_x0020_name xmlns="0e84752a-8836-482e-b953-bbf6ee82a4da" xsi:nil="true"/>
    <Description0 xmlns="0e84752a-8836-482e-b953-bbf6ee82a4d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6CE0492E55094EA6C1DF219131DE3E" ma:contentTypeVersion="5" ma:contentTypeDescription="Create a new document." ma:contentTypeScope="" ma:versionID="a0dfe8e41450e68b25a3fff6ab01f9a8">
  <xsd:schema xmlns:xsd="http://www.w3.org/2001/XMLSchema" xmlns:xs="http://www.w3.org/2001/XMLSchema" xmlns:p="http://schemas.microsoft.com/office/2006/metadata/properties" xmlns:ns2="0e84752a-8836-482e-b953-bbf6ee82a4da" xmlns:ns3="http://schemas.microsoft.com/sharepoint/v4" xmlns:ns4="a5345c3a-333e-4011-aac3-e7f5a5abc67f" targetNamespace="http://schemas.microsoft.com/office/2006/metadata/properties" ma:root="true" ma:fieldsID="0c8532bc63a0c75700168e09b3f6f4c1" ns2:_="" ns3:_="" ns4:_="">
    <xsd:import namespace="0e84752a-8836-482e-b953-bbf6ee82a4da"/>
    <xsd:import namespace="http://schemas.microsoft.com/sharepoint/v4"/>
    <xsd:import namespace="a5345c3a-333e-4011-aac3-e7f5a5abc67f"/>
    <xsd:element name="properties">
      <xsd:complexType>
        <xsd:sequence>
          <xsd:element name="documentManagement">
            <xsd:complexType>
              <xsd:all>
                <xsd:element ref="ns2:Description0" minOccurs="0"/>
                <xsd:element ref="ns2:Project_x0020_name" minOccurs="0"/>
                <xsd:element ref="ns3:IconOverlay" minOccurs="0"/>
                <xsd:element ref="ns4:Permanent_x0020_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4752a-8836-482e-b953-bbf6ee82a4da" elementFormDefault="qualified">
    <xsd:import namespace="http://schemas.microsoft.com/office/2006/documentManagement/types"/>
    <xsd:import namespace="http://schemas.microsoft.com/office/infopath/2007/PartnerControls"/>
    <xsd:element name="Description0" ma:index="8" nillable="true" ma:displayName="Description" ma:internalName="Description0">
      <xsd:simpleType>
        <xsd:restriction base="dms:Text">
          <xsd:maxLength value="255"/>
        </xsd:restriction>
      </xsd:simpleType>
    </xsd:element>
    <xsd:element name="Project_x0020_name" ma:index="9" nillable="true" ma:displayName="Project name" ma:description="Project name accroding https://erp.netcracker.com/report/result.jsp?object=9112832643013530274&amp;report=9021050992013161492&amp;parent=9042353982013506855" ma:internalName="Project_x0020_nam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345c3a-333e-4011-aac3-e7f5a5abc67f" elementFormDefault="qualified">
    <xsd:import namespace="http://schemas.microsoft.com/office/2006/documentManagement/types"/>
    <xsd:import namespace="http://schemas.microsoft.com/office/infopath/2007/PartnerControls"/>
    <xsd:element name="Permanent_x0020_Link" ma:index="11" nillable="true" ma:displayName="Permanent Link" ma:internalName="Permanent_x0020_Link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B794AA-D1FE-45CA-BDF5-70F72C386171}">
  <ds:schemaRefs>
    <ds:schemaRef ds:uri="http://schemas.microsoft.com/office/infopath/2007/PartnerControls"/>
    <ds:schemaRef ds:uri="0e84752a-8836-482e-b953-bbf6ee82a4da"/>
    <ds:schemaRef ds:uri="http://purl.org/dc/elements/1.1/"/>
    <ds:schemaRef ds:uri="http://schemas.microsoft.com/office/2006/metadata/properties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5345c3a-333e-4011-aac3-e7f5a5abc67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17BE880-91A0-4B54-8B81-142B30F655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4752a-8836-482e-b953-bbf6ee82a4da"/>
    <ds:schemaRef ds:uri="http://schemas.microsoft.com/sharepoint/v4"/>
    <ds:schemaRef ds:uri="a5345c3a-333e-4011-aac3-e7f5a5abc6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32833F-462A-43BB-B4FB-C3E5FDD851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About</vt:lpstr>
      <vt:lpstr>devapp###</vt:lpstr>
      <vt:lpstr>qaapp###</vt:lpstr>
      <vt:lpstr>db###</vt:lpstr>
      <vt:lpstr>qadb###</vt:lpstr>
      <vt:lpstr>Total</vt:lpstr>
      <vt:lpstr>RBM+CM+AM (dev)</vt:lpstr>
      <vt:lpstr>RBM+CM+AM (QA)</vt:lpstr>
      <vt:lpstr>Total (RBM)</vt:lpstr>
      <vt:lpstr>Calc</vt:lpstr>
      <vt:lpstr>Dedicated VM</vt:lpstr>
      <vt:lpstr>VM stand</vt:lpstr>
      <vt:lpstr>Enviroments</vt:lpstr>
      <vt:lpstr>Envs</vt:lpstr>
      <vt:lpstr>vCPUoversub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2022-12-29T15:29:57Z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0x010100986CE0492E55094EA6C1DF219131DE3E</vt:lpwstr>
  </property>
</Properties>
</file>