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av\Desktop\M&amp;A PROJECT\"/>
    </mc:Choice>
  </mc:AlternateContent>
  <xr:revisionPtr revIDLastSave="0" documentId="13_ncr:1_{28DE8489-58EA-4BEB-B7DD-C1A3FB726200}" xr6:coauthVersionLast="45" xr6:coauthVersionMax="45" xr10:uidLastSave="{00000000-0000-0000-0000-000000000000}"/>
  <bookViews>
    <workbookView xWindow="-120" yWindow="-120" windowWidth="29040" windowHeight="15840" xr2:uid="{B9A014C4-692B-4B5E-B6CB-3A71664291EA}"/>
  </bookViews>
  <sheets>
    <sheet name="Fin. Stmt. and ProForma Anlysis" sheetId="4" r:id="rId1"/>
    <sheet name="Valuation " sheetId="5" r:id="rId2"/>
    <sheet name="Lions Gate financial" sheetId="2" r:id="rId3"/>
    <sheet name="Netflix Financials" sheetId="1" r:id="rId4"/>
    <sheet name="Historical Stock Prices" sheetId="3" r:id="rId5"/>
  </sheets>
  <externalReferences>
    <externalReference r:id="rId6"/>
  </externalReferences>
  <definedNames>
    <definedName name="_xlnm._FilterDatabase" localSheetId="3" hidden="1">'Netflix Financials'!$B$8:$P$47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7" i="4" l="1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B194" i="4" l="1"/>
  <c r="R72" i="1"/>
  <c r="S72" i="1"/>
  <c r="T72" i="1"/>
  <c r="U72" i="1"/>
  <c r="Q72" i="1"/>
  <c r="B164" i="4"/>
  <c r="B14" i="5"/>
  <c r="B17" i="5" s="1"/>
  <c r="Q38" i="1"/>
  <c r="B211" i="4" l="1"/>
  <c r="B15" i="5"/>
  <c r="B18" i="5" s="1"/>
  <c r="B212" i="4" s="1"/>
  <c r="B180" i="4"/>
  <c r="F85" i="4"/>
  <c r="B181" i="4" l="1"/>
  <c r="B183" i="4" s="1"/>
  <c r="B214" i="4"/>
  <c r="J6" i="5"/>
  <c r="I6" i="5"/>
  <c r="H6" i="5"/>
  <c r="G6" i="5"/>
  <c r="F6" i="5"/>
  <c r="E6" i="5"/>
  <c r="J5" i="5"/>
  <c r="I5" i="5"/>
  <c r="H5" i="5"/>
  <c r="G5" i="5"/>
  <c r="F5" i="5"/>
  <c r="E5" i="5"/>
  <c r="R113" i="4" l="1"/>
  <c r="R112" i="4"/>
  <c r="J32" i="4"/>
  <c r="D72" i="4"/>
  <c r="E72" i="4"/>
  <c r="F72" i="4"/>
  <c r="G72" i="4"/>
  <c r="H72" i="4"/>
  <c r="D73" i="4"/>
  <c r="E73" i="4"/>
  <c r="F73" i="4"/>
  <c r="G73" i="4"/>
  <c r="H73" i="4"/>
  <c r="F81" i="4"/>
  <c r="B90" i="4"/>
  <c r="B91" i="4"/>
  <c r="H92" i="4" s="1"/>
  <c r="B92" i="4"/>
  <c r="R92" i="4"/>
  <c r="B93" i="4"/>
  <c r="R93" i="4" s="1"/>
  <c r="B94" i="4"/>
  <c r="H94" i="4" s="1"/>
  <c r="B95" i="4"/>
  <c r="B96" i="4"/>
  <c r="H96" i="4" s="1"/>
  <c r="B97" i="4"/>
  <c r="R97" i="4" s="1"/>
  <c r="B98" i="4"/>
  <c r="H98" i="4" s="1"/>
  <c r="B99" i="4"/>
  <c r="B100" i="4"/>
  <c r="B101" i="4"/>
  <c r="B102" i="4"/>
  <c r="R101" i="4" s="1"/>
  <c r="B103" i="4"/>
  <c r="H102" i="4" s="1"/>
  <c r="B104" i="4"/>
  <c r="B105" i="4"/>
  <c r="R103" i="4" s="1"/>
  <c r="B106" i="4"/>
  <c r="B107" i="4"/>
  <c r="B108" i="4"/>
  <c r="H106" i="4" s="1"/>
  <c r="B109" i="4"/>
  <c r="B110" i="4"/>
  <c r="R109" i="4" s="1"/>
  <c r="B112" i="4"/>
  <c r="H112" i="4"/>
  <c r="B113" i="4"/>
  <c r="H113" i="4"/>
  <c r="B114" i="4"/>
  <c r="H110" i="4" s="1"/>
  <c r="B115" i="4"/>
  <c r="B116" i="4"/>
  <c r="B117" i="4"/>
  <c r="B118" i="4"/>
  <c r="B119" i="4"/>
  <c r="B120" i="4"/>
  <c r="B121" i="4"/>
  <c r="B122" i="4"/>
  <c r="B123" i="4"/>
  <c r="B127" i="4"/>
  <c r="B128" i="4"/>
  <c r="B129" i="4"/>
  <c r="B130" i="4"/>
  <c r="H120" i="4" s="1"/>
  <c r="B131" i="4"/>
  <c r="R121" i="4" s="1"/>
  <c r="B132" i="4"/>
  <c r="R122" i="4" s="1"/>
  <c r="B135" i="4"/>
  <c r="R123" i="4" s="1"/>
  <c r="B136" i="4"/>
  <c r="B137" i="4"/>
  <c r="R125" i="4" s="1"/>
  <c r="B138" i="4"/>
  <c r="R126" i="4" s="1"/>
  <c r="B139" i="4"/>
  <c r="B140" i="4"/>
  <c r="H128" i="4" s="1"/>
  <c r="B141" i="4"/>
  <c r="R129" i="4" s="1"/>
  <c r="B142" i="4"/>
  <c r="B143" i="4"/>
  <c r="B144" i="4"/>
  <c r="B145" i="4"/>
  <c r="R132" i="4" s="1"/>
  <c r="B146" i="4"/>
  <c r="B148" i="4"/>
  <c r="H133" i="4" s="1"/>
  <c r="B149" i="4"/>
  <c r="R134" i="4" s="1"/>
  <c r="B150" i="4"/>
  <c r="B151" i="4"/>
  <c r="I136" i="4" s="1"/>
  <c r="B152" i="4"/>
  <c r="B153" i="4"/>
  <c r="B154" i="4"/>
  <c r="B155" i="4"/>
  <c r="B156" i="4"/>
  <c r="B157" i="4"/>
  <c r="B158" i="4"/>
  <c r="B159" i="4"/>
  <c r="B160" i="4"/>
  <c r="B161" i="4"/>
  <c r="B162" i="4"/>
  <c r="B163" i="4"/>
  <c r="H139" i="4" s="1"/>
  <c r="B168" i="4" l="1"/>
  <c r="Q122" i="4"/>
  <c r="B169" i="4"/>
  <c r="S93" i="4"/>
  <c r="R94" i="4"/>
  <c r="R130" i="4"/>
  <c r="R128" i="4"/>
  <c r="S134" i="4"/>
  <c r="R102" i="4"/>
  <c r="H74" i="4"/>
  <c r="G74" i="4"/>
  <c r="F74" i="4"/>
  <c r="T137" i="4"/>
  <c r="R96" i="4"/>
  <c r="R106" i="4"/>
  <c r="J101" i="4"/>
  <c r="H134" i="4"/>
  <c r="E74" i="4"/>
  <c r="R133" i="4"/>
  <c r="R110" i="4"/>
  <c r="D74" i="4"/>
  <c r="J136" i="4"/>
  <c r="M133" i="4"/>
  <c r="H123" i="4"/>
  <c r="H103" i="4"/>
  <c r="R98" i="4"/>
  <c r="R120" i="4"/>
  <c r="H136" i="4"/>
  <c r="D137" i="4" s="1"/>
  <c r="R139" i="4"/>
  <c r="R108" i="4"/>
  <c r="H108" i="4"/>
  <c r="V137" i="4"/>
  <c r="R127" i="4"/>
  <c r="R114" i="4"/>
  <c r="J137" i="4"/>
  <c r="U137" i="4"/>
  <c r="L137" i="4"/>
  <c r="W137" i="4"/>
  <c r="M137" i="4"/>
  <c r="R137" i="4"/>
  <c r="H137" i="4"/>
  <c r="S137" i="4"/>
  <c r="I137" i="4"/>
  <c r="K137" i="4"/>
  <c r="H129" i="4"/>
  <c r="R136" i="4"/>
  <c r="M134" i="4"/>
  <c r="W133" i="4"/>
  <c r="L133" i="4"/>
  <c r="H130" i="4"/>
  <c r="M101" i="4"/>
  <c r="W134" i="4"/>
  <c r="L134" i="4"/>
  <c r="V133" i="4"/>
  <c r="K133" i="4"/>
  <c r="L101" i="4"/>
  <c r="H97" i="4"/>
  <c r="M136" i="4"/>
  <c r="V134" i="4"/>
  <c r="K134" i="4"/>
  <c r="U133" i="4"/>
  <c r="J133" i="4"/>
  <c r="H132" i="4"/>
  <c r="K101" i="4"/>
  <c r="L136" i="4"/>
  <c r="U134" i="4"/>
  <c r="J134" i="4"/>
  <c r="T133" i="4"/>
  <c r="I133" i="4"/>
  <c r="H125" i="4"/>
  <c r="K136" i="4"/>
  <c r="T134" i="4"/>
  <c r="I134" i="4"/>
  <c r="S133" i="4"/>
  <c r="H126" i="4"/>
  <c r="D127" i="4" s="1"/>
  <c r="H121" i="4"/>
  <c r="D122" i="4" s="1"/>
  <c r="I101" i="4"/>
  <c r="H122" i="4"/>
  <c r="H109" i="4"/>
  <c r="H101" i="4"/>
  <c r="H93" i="4"/>
  <c r="Q97" i="4" s="1"/>
  <c r="D102" i="4" l="1"/>
  <c r="D134" i="4"/>
  <c r="Q129" i="4"/>
  <c r="Q110" i="4"/>
  <c r="Q93" i="4"/>
  <c r="D130" i="4"/>
  <c r="Q139" i="4"/>
  <c r="Q120" i="4"/>
  <c r="Q113" i="4"/>
  <c r="D140" i="4"/>
  <c r="Q134" i="4"/>
  <c r="Q133" i="4"/>
  <c r="D131" i="4"/>
  <c r="Q98" i="4"/>
  <c r="D110" i="4"/>
  <c r="D98" i="4"/>
  <c r="D96" i="4"/>
  <c r="D94" i="4"/>
  <c r="Q137" i="4"/>
  <c r="D124" i="4"/>
  <c r="Q112" i="4"/>
  <c r="Q101" i="4"/>
  <c r="Q111" i="4"/>
  <c r="H99" i="4"/>
  <c r="D99" i="4" s="1"/>
  <c r="D97" i="4"/>
  <c r="D103" i="4"/>
  <c r="Q123" i="4"/>
  <c r="D101" i="4"/>
  <c r="D109" i="4"/>
  <c r="D133" i="4"/>
  <c r="D108" i="4"/>
  <c r="Q106" i="4"/>
  <c r="Q128" i="4"/>
  <c r="D106" i="4"/>
  <c r="Q109" i="4"/>
  <c r="Q103" i="4"/>
  <c r="D138" i="4"/>
  <c r="D135" i="4"/>
  <c r="Q102" i="4"/>
  <c r="D121" i="4"/>
  <c r="D123" i="4"/>
  <c r="D126" i="4"/>
  <c r="Q136" i="4"/>
  <c r="Q108" i="4"/>
  <c r="Q130" i="4"/>
  <c r="D129" i="4"/>
  <c r="Q121" i="4"/>
  <c r="G136" i="4"/>
  <c r="H95" i="4"/>
  <c r="D95" i="4" s="1"/>
  <c r="R104" i="4"/>
  <c r="Q104" i="4" s="1"/>
  <c r="R124" i="4"/>
  <c r="Q124" i="4" s="1"/>
  <c r="R135" i="4"/>
  <c r="Q135" i="4" s="1"/>
  <c r="I74" i="4"/>
  <c r="B182" i="4" s="1"/>
  <c r="R95" i="4"/>
  <c r="Q95" i="4" s="1"/>
  <c r="F80" i="4"/>
  <c r="R99" i="4"/>
  <c r="S101" i="4"/>
  <c r="I93" i="4"/>
  <c r="G134" i="4"/>
  <c r="G122" i="4"/>
  <c r="G121" i="4"/>
  <c r="S121" i="4" s="1"/>
  <c r="H135" i="4"/>
  <c r="D136" i="4" s="1"/>
  <c r="H124" i="4"/>
  <c r="D125" i="4" s="1"/>
  <c r="H127" i="4"/>
  <c r="G120" i="4"/>
  <c r="G137" i="4"/>
  <c r="G139" i="4"/>
  <c r="G123" i="4"/>
  <c r="G93" i="4"/>
  <c r="G128" i="4"/>
  <c r="G130" i="4"/>
  <c r="G129" i="4"/>
  <c r="H104" i="4"/>
  <c r="R131" i="4"/>
  <c r="Q131" i="4" s="1"/>
  <c r="G133" i="4"/>
  <c r="R100" i="4" l="1"/>
  <c r="Q100" i="4" s="1"/>
  <c r="D104" i="4"/>
  <c r="D128" i="4"/>
  <c r="R138" i="4"/>
  <c r="Q138" i="4" s="1"/>
  <c r="I94" i="4"/>
  <c r="I96" i="4"/>
  <c r="B192" i="4"/>
  <c r="H100" i="4"/>
  <c r="D100" i="4" s="1"/>
  <c r="G124" i="4"/>
  <c r="H131" i="4"/>
  <c r="D132" i="4" s="1"/>
  <c r="H138" i="4"/>
  <c r="D139" i="4" s="1"/>
  <c r="G135" i="4"/>
  <c r="R105" i="4" l="1"/>
  <c r="Q105" i="4" s="1"/>
  <c r="R140" i="4"/>
  <c r="Q140" i="4" s="1"/>
  <c r="H140" i="4"/>
  <c r="G138" i="4"/>
  <c r="G131" i="4"/>
  <c r="H105" i="4"/>
  <c r="D105" i="4" s="1"/>
  <c r="R107" i="4"/>
  <c r="Q107" i="4" s="1"/>
  <c r="G140" i="4" l="1"/>
  <c r="D141" i="4"/>
  <c r="R141" i="4"/>
  <c r="R142" i="4" s="1"/>
  <c r="H141" i="4"/>
  <c r="H142" i="4" s="1"/>
  <c r="H107" i="4"/>
  <c r="D107" i="4" l="1"/>
  <c r="J26" i="4"/>
  <c r="J25" i="4"/>
  <c r="J24" i="4"/>
  <c r="J23" i="4"/>
  <c r="J22" i="4"/>
  <c r="J21" i="4"/>
  <c r="J18" i="4"/>
  <c r="J16" i="4"/>
  <c r="J13" i="4"/>
  <c r="J10" i="4"/>
  <c r="J11" i="4"/>
  <c r="J12" i="4"/>
  <c r="J9" i="4"/>
  <c r="E36" i="4"/>
  <c r="E37" i="4"/>
  <c r="E38" i="4"/>
  <c r="E39" i="4"/>
  <c r="E40" i="4"/>
  <c r="E41" i="4"/>
  <c r="E42" i="4"/>
  <c r="E43" i="4"/>
  <c r="E44" i="4"/>
  <c r="E45" i="4"/>
  <c r="E47" i="4"/>
  <c r="E48" i="4"/>
  <c r="E49" i="4"/>
  <c r="E50" i="4"/>
  <c r="E51" i="4"/>
  <c r="E52" i="4"/>
  <c r="E53" i="4"/>
  <c r="E54" i="4"/>
  <c r="E55" i="4"/>
  <c r="E56" i="4"/>
  <c r="E57" i="4"/>
  <c r="E58" i="4"/>
  <c r="E35" i="4"/>
  <c r="E33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38" i="4"/>
  <c r="D39" i="4"/>
  <c r="D40" i="4"/>
  <c r="D41" i="4"/>
  <c r="D36" i="4"/>
  <c r="D37" i="4"/>
  <c r="D35" i="4"/>
  <c r="D33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35" i="4"/>
  <c r="C33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5" i="4"/>
  <c r="B34" i="4"/>
  <c r="B33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32" i="4"/>
  <c r="K33" i="4"/>
  <c r="K34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32" i="4"/>
  <c r="I33" i="4"/>
  <c r="I34" i="4"/>
  <c r="I36" i="4"/>
  <c r="I37" i="4"/>
  <c r="I38" i="4"/>
  <c r="I39" i="4"/>
  <c r="I40" i="4"/>
  <c r="I42" i="4"/>
  <c r="I43" i="4"/>
  <c r="I44" i="4"/>
  <c r="I45" i="4"/>
  <c r="I46" i="4"/>
  <c r="I47" i="4"/>
  <c r="I48" i="4"/>
  <c r="I49" i="4"/>
  <c r="I50" i="4"/>
  <c r="I51" i="4"/>
  <c r="I52" i="4"/>
  <c r="I56" i="4"/>
  <c r="I57" i="4"/>
  <c r="I58" i="4"/>
  <c r="I59" i="4"/>
  <c r="I60" i="4"/>
  <c r="I61" i="4"/>
  <c r="I32" i="4"/>
  <c r="J33" i="4"/>
  <c r="J34" i="4"/>
  <c r="J36" i="4"/>
  <c r="J37" i="4"/>
  <c r="J38" i="4"/>
  <c r="J39" i="4"/>
  <c r="J40" i="4"/>
  <c r="J42" i="4"/>
  <c r="J43" i="4"/>
  <c r="J44" i="4"/>
  <c r="J45" i="4"/>
  <c r="J46" i="4"/>
  <c r="J47" i="4"/>
  <c r="J48" i="4"/>
  <c r="J49" i="4"/>
  <c r="J50" i="4"/>
  <c r="J51" i="4"/>
  <c r="J52" i="4"/>
  <c r="J54" i="4"/>
  <c r="J56" i="4"/>
  <c r="J57" i="4"/>
  <c r="J58" i="4"/>
  <c r="J59" i="4"/>
  <c r="J60" i="4"/>
  <c r="J61" i="4"/>
  <c r="K26" i="4"/>
  <c r="L25" i="4"/>
  <c r="L10" i="4"/>
  <c r="L11" i="4"/>
  <c r="L12" i="4"/>
  <c r="L13" i="4"/>
  <c r="L14" i="4"/>
  <c r="L16" i="4"/>
  <c r="L17" i="4"/>
  <c r="L18" i="4"/>
  <c r="L19" i="4"/>
  <c r="L20" i="4"/>
  <c r="L21" i="4"/>
  <c r="L22" i="4"/>
  <c r="L23" i="4"/>
  <c r="L24" i="4"/>
  <c r="L26" i="4"/>
  <c r="L9" i="4"/>
  <c r="K10" i="4"/>
  <c r="K11" i="4"/>
  <c r="K12" i="4"/>
  <c r="K13" i="4"/>
  <c r="K14" i="4"/>
  <c r="M14" i="4" s="1"/>
  <c r="K16" i="4"/>
  <c r="K17" i="4"/>
  <c r="K18" i="4"/>
  <c r="K19" i="4"/>
  <c r="M19" i="4" s="1"/>
  <c r="K20" i="4"/>
  <c r="K21" i="4"/>
  <c r="K22" i="4"/>
  <c r="K23" i="4"/>
  <c r="K24" i="4"/>
  <c r="K25" i="4"/>
  <c r="K9" i="4"/>
  <c r="J17" i="4"/>
  <c r="I10" i="4"/>
  <c r="I11" i="4"/>
  <c r="I12" i="4"/>
  <c r="I13" i="4"/>
  <c r="I16" i="4"/>
  <c r="I17" i="4"/>
  <c r="I18" i="4"/>
  <c r="I20" i="4"/>
  <c r="I21" i="4"/>
  <c r="I22" i="4"/>
  <c r="I23" i="4"/>
  <c r="I25" i="4"/>
  <c r="I26" i="4"/>
  <c r="I9" i="4"/>
  <c r="E10" i="4"/>
  <c r="E11" i="4"/>
  <c r="E12" i="4"/>
  <c r="E13" i="4"/>
  <c r="E15" i="4"/>
  <c r="E16" i="4"/>
  <c r="E17" i="4"/>
  <c r="E20" i="4"/>
  <c r="E21" i="4"/>
  <c r="E22" i="4"/>
  <c r="E25" i="4"/>
  <c r="E9" i="4"/>
  <c r="D10" i="4"/>
  <c r="D11" i="4"/>
  <c r="D12" i="4"/>
  <c r="D13" i="4"/>
  <c r="D15" i="4"/>
  <c r="D16" i="4"/>
  <c r="D17" i="4"/>
  <c r="D20" i="4"/>
  <c r="D21" i="4"/>
  <c r="D22" i="4"/>
  <c r="D25" i="4"/>
  <c r="D9" i="4"/>
  <c r="C10" i="4"/>
  <c r="C11" i="4"/>
  <c r="C12" i="4"/>
  <c r="C13" i="4"/>
  <c r="C15" i="4"/>
  <c r="C16" i="4"/>
  <c r="C17" i="4"/>
  <c r="C20" i="4"/>
  <c r="C21" i="4"/>
  <c r="C22" i="4"/>
  <c r="C25" i="4"/>
  <c r="C9" i="4"/>
  <c r="B10" i="4"/>
  <c r="B11" i="4"/>
  <c r="B12" i="4"/>
  <c r="B13" i="4"/>
  <c r="B15" i="4"/>
  <c r="B16" i="4"/>
  <c r="B17" i="4"/>
  <c r="B20" i="4"/>
  <c r="B21" i="4"/>
  <c r="B22" i="4"/>
  <c r="B25" i="4"/>
  <c r="B9" i="4"/>
  <c r="G14" i="3"/>
  <c r="G26" i="3"/>
  <c r="G38" i="3"/>
  <c r="G50" i="3"/>
  <c r="G62" i="3"/>
  <c r="G74" i="3"/>
  <c r="G86" i="3"/>
  <c r="G98" i="3"/>
  <c r="G110" i="3"/>
  <c r="G122" i="3"/>
  <c r="M10" i="4" l="1"/>
  <c r="F25" i="4"/>
  <c r="F12" i="4"/>
  <c r="F22" i="4"/>
  <c r="F11" i="4"/>
  <c r="F20" i="4"/>
  <c r="M22" i="4"/>
  <c r="M11" i="4"/>
  <c r="M20" i="4"/>
  <c r="M17" i="4"/>
  <c r="F16" i="4"/>
  <c r="F15" i="4"/>
  <c r="M16" i="4"/>
  <c r="F17" i="4"/>
  <c r="M21" i="4"/>
  <c r="M24" i="4"/>
  <c r="F13" i="4"/>
  <c r="M9" i="4"/>
  <c r="M26" i="4"/>
  <c r="M18" i="4"/>
  <c r="F9" i="4"/>
  <c r="M25" i="4"/>
  <c r="M13" i="4"/>
  <c r="F21" i="4"/>
  <c r="F10" i="4"/>
  <c r="M23" i="4"/>
  <c r="M12" i="4"/>
  <c r="Q14" i="3"/>
  <c r="Q26" i="3"/>
  <c r="Q38" i="3"/>
  <c r="Q50" i="3"/>
  <c r="Q62" i="3"/>
  <c r="Q74" i="3"/>
  <c r="Q86" i="3"/>
  <c r="Q98" i="3"/>
  <c r="Q110" i="3"/>
  <c r="Q122" i="3"/>
  <c r="S94" i="4" l="1"/>
  <c r="S95" i="4" s="1"/>
  <c r="S98" i="4"/>
  <c r="S130" i="4"/>
  <c r="S125" i="4"/>
  <c r="S102" i="4"/>
  <c r="S106" i="4"/>
  <c r="S126" i="4"/>
  <c r="C196" i="4" s="1"/>
  <c r="S109" i="4"/>
  <c r="S96" i="4"/>
  <c r="S122" i="4"/>
  <c r="T93" i="4"/>
  <c r="T121" i="4" s="1"/>
  <c r="S123" i="4"/>
  <c r="S103" i="4"/>
  <c r="S97" i="4"/>
  <c r="S128" i="4"/>
  <c r="S132" i="4"/>
  <c r="S135" i="4" s="1"/>
  <c r="S129" i="4"/>
  <c r="S108" i="4"/>
  <c r="I129" i="4"/>
  <c r="I121" i="4"/>
  <c r="I139" i="4"/>
  <c r="I128" i="4"/>
  <c r="J93" i="4"/>
  <c r="J94" i="4" s="1"/>
  <c r="I132" i="4"/>
  <c r="I135" i="4" s="1"/>
  <c r="I138" i="4" s="1"/>
  <c r="I95" i="4"/>
  <c r="I126" i="4"/>
  <c r="I97" i="4"/>
  <c r="I120" i="4"/>
  <c r="I102" i="4"/>
  <c r="I125" i="4"/>
  <c r="I130" i="4"/>
  <c r="I108" i="4"/>
  <c r="I109" i="4"/>
  <c r="I98" i="4"/>
  <c r="I103" i="4"/>
  <c r="I122" i="4"/>
  <c r="I106" i="4"/>
  <c r="I123" i="4"/>
  <c r="I127" i="4" l="1"/>
  <c r="S104" i="4"/>
  <c r="C201" i="4"/>
  <c r="I104" i="4"/>
  <c r="S127" i="4"/>
  <c r="C194" i="4" s="1"/>
  <c r="C195" i="4" s="1"/>
  <c r="C197" i="4" s="1"/>
  <c r="I124" i="4"/>
  <c r="T122" i="4"/>
  <c r="T106" i="4"/>
  <c r="T103" i="4"/>
  <c r="U93" i="4"/>
  <c r="T132" i="4"/>
  <c r="T135" i="4" s="1"/>
  <c r="T123" i="4"/>
  <c r="T108" i="4"/>
  <c r="T97" i="4"/>
  <c r="T126" i="4"/>
  <c r="D196" i="4" s="1"/>
  <c r="T125" i="4"/>
  <c r="T94" i="4"/>
  <c r="T95" i="4" s="1"/>
  <c r="T129" i="4"/>
  <c r="T130" i="4"/>
  <c r="T128" i="4"/>
  <c r="T96" i="4"/>
  <c r="T109" i="4"/>
  <c r="T98" i="4"/>
  <c r="T102" i="4"/>
  <c r="I99" i="4"/>
  <c r="I100" i="4" s="1"/>
  <c r="I140" i="4"/>
  <c r="J102" i="4"/>
  <c r="J125" i="4"/>
  <c r="J130" i="4"/>
  <c r="J120" i="4"/>
  <c r="J95" i="4"/>
  <c r="J128" i="4"/>
  <c r="J98" i="4"/>
  <c r="J122" i="4"/>
  <c r="J126" i="4"/>
  <c r="J96" i="4"/>
  <c r="J109" i="4"/>
  <c r="J106" i="4"/>
  <c r="J123" i="4"/>
  <c r="J129" i="4"/>
  <c r="K93" i="4"/>
  <c r="J132" i="4"/>
  <c r="J135" i="4" s="1"/>
  <c r="J138" i="4" s="1"/>
  <c r="J97" i="4"/>
  <c r="J103" i="4"/>
  <c r="J108" i="4"/>
  <c r="J139" i="4"/>
  <c r="J121" i="4"/>
  <c r="S99" i="4"/>
  <c r="S100" i="4" s="1"/>
  <c r="C198" i="4" s="1"/>
  <c r="I131" i="4" l="1"/>
  <c r="I141" i="4" s="1"/>
  <c r="I105" i="4"/>
  <c r="I107" i="4" s="1"/>
  <c r="I110" i="4" s="1"/>
  <c r="I112" i="4" s="1"/>
  <c r="I113" i="4" s="1"/>
  <c r="C202" i="4"/>
  <c r="D201" i="4"/>
  <c r="J127" i="4"/>
  <c r="J99" i="4"/>
  <c r="J100" i="4" s="1"/>
  <c r="S105" i="4"/>
  <c r="S107" i="4" s="1"/>
  <c r="S110" i="4" s="1"/>
  <c r="S112" i="4" s="1"/>
  <c r="S113" i="4" s="1"/>
  <c r="C200" i="4"/>
  <c r="T99" i="4"/>
  <c r="T100" i="4" s="1"/>
  <c r="D198" i="4" s="1"/>
  <c r="D200" i="4" s="1"/>
  <c r="J124" i="4"/>
  <c r="J140" i="4"/>
  <c r="K103" i="4"/>
  <c r="L93" i="4"/>
  <c r="K120" i="4"/>
  <c r="K108" i="4"/>
  <c r="K94" i="4"/>
  <c r="K95" i="4" s="1"/>
  <c r="K139" i="4"/>
  <c r="K123" i="4"/>
  <c r="K106" i="4"/>
  <c r="K121" i="4"/>
  <c r="K126" i="4"/>
  <c r="K125" i="4"/>
  <c r="K97" i="4"/>
  <c r="K96" i="4"/>
  <c r="K129" i="4"/>
  <c r="K102" i="4"/>
  <c r="K128" i="4"/>
  <c r="K130" i="4"/>
  <c r="K122" i="4"/>
  <c r="K98" i="4"/>
  <c r="K132" i="4"/>
  <c r="K135" i="4" s="1"/>
  <c r="K138" i="4" s="1"/>
  <c r="K109" i="4"/>
  <c r="J104" i="4"/>
  <c r="U102" i="4"/>
  <c r="U125" i="4"/>
  <c r="U130" i="4"/>
  <c r="U94" i="4"/>
  <c r="U95" i="4" s="1"/>
  <c r="U128" i="4"/>
  <c r="U98" i="4"/>
  <c r="U122" i="4"/>
  <c r="U96" i="4"/>
  <c r="U109" i="4"/>
  <c r="U106" i="4"/>
  <c r="U132" i="4"/>
  <c r="U135" i="4" s="1"/>
  <c r="U123" i="4"/>
  <c r="U129" i="4"/>
  <c r="V93" i="4"/>
  <c r="U97" i="4"/>
  <c r="U103" i="4"/>
  <c r="U108" i="4"/>
  <c r="U121" i="4"/>
  <c r="U126" i="4"/>
  <c r="E196" i="4" s="1"/>
  <c r="T127" i="4"/>
  <c r="D194" i="4" s="1"/>
  <c r="D195" i="4" s="1"/>
  <c r="D197" i="4" s="1"/>
  <c r="D202" i="4" s="1"/>
  <c r="S114" i="4" l="1"/>
  <c r="S139" i="4" s="1"/>
  <c r="J131" i="4"/>
  <c r="J141" i="4" s="1"/>
  <c r="E201" i="4"/>
  <c r="K104" i="4"/>
  <c r="U99" i="4"/>
  <c r="U100" i="4" s="1"/>
  <c r="E198" i="4" s="1"/>
  <c r="E200" i="4" s="1"/>
  <c r="U127" i="4"/>
  <c r="E194" i="4" s="1"/>
  <c r="E195" i="4" s="1"/>
  <c r="E197" i="4" s="1"/>
  <c r="E202" i="4" s="1"/>
  <c r="L139" i="4"/>
  <c r="L102" i="4"/>
  <c r="L125" i="4"/>
  <c r="L96" i="4"/>
  <c r="L106" i="4"/>
  <c r="L121" i="4"/>
  <c r="L97" i="4"/>
  <c r="L128" i="4"/>
  <c r="L126" i="4"/>
  <c r="L109" i="4"/>
  <c r="L122" i="4"/>
  <c r="L103" i="4"/>
  <c r="L132" i="4"/>
  <c r="L135" i="4" s="1"/>
  <c r="L138" i="4" s="1"/>
  <c r="L130" i="4"/>
  <c r="L123" i="4"/>
  <c r="L120" i="4"/>
  <c r="L98" i="4"/>
  <c r="M93" i="4"/>
  <c r="L108" i="4"/>
  <c r="L129" i="4"/>
  <c r="L94" i="4"/>
  <c r="L95" i="4" s="1"/>
  <c r="S120" i="4"/>
  <c r="S124" i="4" s="1"/>
  <c r="I142" i="4"/>
  <c r="V103" i="4"/>
  <c r="V123" i="4"/>
  <c r="V108" i="4"/>
  <c r="V106" i="4"/>
  <c r="V132" i="4"/>
  <c r="V135" i="4" s="1"/>
  <c r="V129" i="4"/>
  <c r="V121" i="4"/>
  <c r="V102" i="4"/>
  <c r="V98" i="4"/>
  <c r="V122" i="4"/>
  <c r="V94" i="4"/>
  <c r="V95" i="4" s="1"/>
  <c r="V126" i="4"/>
  <c r="F196" i="4" s="1"/>
  <c r="F201" i="4" s="1"/>
  <c r="V125" i="4"/>
  <c r="V128" i="4"/>
  <c r="W93" i="4"/>
  <c r="V97" i="4"/>
  <c r="V96" i="4"/>
  <c r="V130" i="4"/>
  <c r="V109" i="4"/>
  <c r="K99" i="4"/>
  <c r="K100" i="4" s="1"/>
  <c r="J105" i="4"/>
  <c r="J107" i="4" s="1"/>
  <c r="J110" i="4" s="1"/>
  <c r="J112" i="4" s="1"/>
  <c r="J113" i="4" s="1"/>
  <c r="K140" i="4"/>
  <c r="K127" i="4"/>
  <c r="K124" i="4"/>
  <c r="S136" i="4" l="1"/>
  <c r="T101" i="4" s="1"/>
  <c r="T104" i="4" s="1"/>
  <c r="T105" i="4" s="1"/>
  <c r="T107" i="4" s="1"/>
  <c r="T110" i="4" s="1"/>
  <c r="T112" i="4" s="1"/>
  <c r="T113" i="4" s="1"/>
  <c r="T114" i="4" s="1"/>
  <c r="T120" i="4" s="1"/>
  <c r="T124" i="4" s="1"/>
  <c r="T131" i="4" s="1"/>
  <c r="J142" i="4"/>
  <c r="L127" i="4"/>
  <c r="K105" i="4"/>
  <c r="K107" i="4" s="1"/>
  <c r="K110" i="4" s="1"/>
  <c r="K112" i="4" s="1"/>
  <c r="K113" i="4" s="1"/>
  <c r="L140" i="4"/>
  <c r="S131" i="4"/>
  <c r="C192" i="4"/>
  <c r="C193" i="4" s="1"/>
  <c r="C203" i="4" s="1"/>
  <c r="C204" i="4" s="1"/>
  <c r="K131" i="4"/>
  <c r="K141" i="4" s="1"/>
  <c r="V99" i="4"/>
  <c r="V100" i="4" s="1"/>
  <c r="F198" i="4" s="1"/>
  <c r="F200" i="4" s="1"/>
  <c r="V127" i="4"/>
  <c r="F194" i="4" s="1"/>
  <c r="F195" i="4" s="1"/>
  <c r="F197" i="4" s="1"/>
  <c r="F202" i="4" s="1"/>
  <c r="L99" i="4"/>
  <c r="L100" i="4" s="1"/>
  <c r="W97" i="4"/>
  <c r="W128" i="4"/>
  <c r="W109" i="4"/>
  <c r="W103" i="4"/>
  <c r="W98" i="4"/>
  <c r="W94" i="4"/>
  <c r="W95" i="4" s="1"/>
  <c r="W132" i="4"/>
  <c r="W135" i="4" s="1"/>
  <c r="W96" i="4"/>
  <c r="W108" i="4"/>
  <c r="W125" i="4"/>
  <c r="W130" i="4"/>
  <c r="W122" i="4"/>
  <c r="W129" i="4"/>
  <c r="W106" i="4"/>
  <c r="W123" i="4"/>
  <c r="W121" i="4"/>
  <c r="W126" i="4"/>
  <c r="G196" i="4" s="1"/>
  <c r="G201" i="4" s="1"/>
  <c r="W102" i="4"/>
  <c r="L104" i="4"/>
  <c r="M106" i="4"/>
  <c r="M94" i="4"/>
  <c r="M95" i="4" s="1"/>
  <c r="M108" i="4"/>
  <c r="M120" i="4"/>
  <c r="M102" i="4"/>
  <c r="M130" i="4"/>
  <c r="M103" i="4"/>
  <c r="M123" i="4"/>
  <c r="M98" i="4"/>
  <c r="M97" i="4"/>
  <c r="M109" i="4"/>
  <c r="M125" i="4"/>
  <c r="M121" i="4"/>
  <c r="M128" i="4"/>
  <c r="M96" i="4"/>
  <c r="M132" i="4"/>
  <c r="M135" i="4" s="1"/>
  <c r="M138" i="4" s="1"/>
  <c r="M139" i="4"/>
  <c r="M122" i="4"/>
  <c r="M126" i="4"/>
  <c r="M129" i="4"/>
  <c r="L124" i="4"/>
  <c r="L131" i="4" l="1"/>
  <c r="L141" i="4" s="1"/>
  <c r="S138" i="4"/>
  <c r="S140" i="4" s="1"/>
  <c r="S141" i="4" s="1"/>
  <c r="S142" i="4" s="1"/>
  <c r="D192" i="4"/>
  <c r="D193" i="4" s="1"/>
  <c r="D203" i="4" s="1"/>
  <c r="D204" i="4" s="1"/>
  <c r="W127" i="4"/>
  <c r="G194" i="4" s="1"/>
  <c r="G195" i="4" s="1"/>
  <c r="G197" i="4" s="1"/>
  <c r="G202" i="4" s="1"/>
  <c r="K142" i="4"/>
  <c r="M127" i="4"/>
  <c r="L105" i="4"/>
  <c r="L107" i="4" s="1"/>
  <c r="L110" i="4" s="1"/>
  <c r="L112" i="4" s="1"/>
  <c r="L113" i="4" s="1"/>
  <c r="M104" i="4"/>
  <c r="M124" i="4"/>
  <c r="W99" i="4"/>
  <c r="W100" i="4" s="1"/>
  <c r="G198" i="4" s="1"/>
  <c r="G200" i="4" s="1"/>
  <c r="T139" i="4"/>
  <c r="T136" i="4"/>
  <c r="M140" i="4"/>
  <c r="M99" i="4"/>
  <c r="M100" i="4" s="1"/>
  <c r="M105" i="4" s="1"/>
  <c r="M107" i="4" s="1"/>
  <c r="M110" i="4" s="1"/>
  <c r="M112" i="4" s="1"/>
  <c r="M113" i="4" s="1"/>
  <c r="L142" i="4" l="1"/>
  <c r="M131" i="4"/>
  <c r="M141" i="4" s="1"/>
  <c r="M142" i="4" s="1"/>
  <c r="U101" i="4"/>
  <c r="U104" i="4" s="1"/>
  <c r="U105" i="4" s="1"/>
  <c r="U107" i="4" s="1"/>
  <c r="U110" i="4" s="1"/>
  <c r="U112" i="4" s="1"/>
  <c r="U113" i="4" s="1"/>
  <c r="U114" i="4" s="1"/>
  <c r="U120" i="4" s="1"/>
  <c r="U124" i="4" s="1"/>
  <c r="T138" i="4"/>
  <c r="T140" i="4" s="1"/>
  <c r="T141" i="4" s="1"/>
  <c r="T142" i="4" s="1"/>
  <c r="E192" i="4" l="1"/>
  <c r="E193" i="4" s="1"/>
  <c r="E203" i="4" s="1"/>
  <c r="E204" i="4" s="1"/>
  <c r="U131" i="4"/>
  <c r="U139" i="4"/>
  <c r="U136" i="4"/>
  <c r="V101" i="4" l="1"/>
  <c r="V104" i="4" s="1"/>
  <c r="V105" i="4" s="1"/>
  <c r="V107" i="4" s="1"/>
  <c r="V110" i="4" s="1"/>
  <c r="V112" i="4" s="1"/>
  <c r="V113" i="4" s="1"/>
  <c r="V114" i="4" s="1"/>
  <c r="V120" i="4" s="1"/>
  <c r="V124" i="4" s="1"/>
  <c r="U138" i="4"/>
  <c r="U140" i="4" s="1"/>
  <c r="U141" i="4" s="1"/>
  <c r="U142" i="4" s="1"/>
  <c r="V131" i="4" l="1"/>
  <c r="F192" i="4"/>
  <c r="F193" i="4" s="1"/>
  <c r="F203" i="4" s="1"/>
  <c r="F204" i="4" s="1"/>
  <c r="V139" i="4"/>
  <c r="V136" i="4"/>
  <c r="W101" i="4" l="1"/>
  <c r="W104" i="4" s="1"/>
  <c r="W105" i="4" s="1"/>
  <c r="W107" i="4" s="1"/>
  <c r="W110" i="4" s="1"/>
  <c r="W112" i="4" s="1"/>
  <c r="W113" i="4" s="1"/>
  <c r="W114" i="4" s="1"/>
  <c r="W120" i="4" s="1"/>
  <c r="W124" i="4" s="1"/>
  <c r="V138" i="4"/>
  <c r="V140" i="4" s="1"/>
  <c r="V141" i="4" s="1"/>
  <c r="V142" i="4" s="1"/>
  <c r="G192" i="4" l="1"/>
  <c r="G193" i="4" s="1"/>
  <c r="G203" i="4" s="1"/>
  <c r="G204" i="4" s="1"/>
  <c r="G205" i="4" s="1"/>
  <c r="B205" i="4" s="1"/>
  <c r="W131" i="4"/>
  <c r="W139" i="4"/>
  <c r="W136" i="4"/>
  <c r="W138" i="4" s="1"/>
  <c r="B215" i="4" l="1"/>
  <c r="B218" i="4" s="1"/>
  <c r="W140" i="4"/>
  <c r="W141" i="4" s="1"/>
  <c r="W142" i="4" s="1"/>
</calcChain>
</file>

<file path=xl/sharedStrings.xml><?xml version="1.0" encoding="utf-8"?>
<sst xmlns="http://schemas.openxmlformats.org/spreadsheetml/2006/main" count="1207" uniqueCount="225">
  <si>
    <t>Total Liabilities &amp; Equity</t>
  </si>
  <si>
    <t>Total Equity</t>
  </si>
  <si>
    <t>Other Equity</t>
  </si>
  <si>
    <t>-</t>
  </si>
  <si>
    <t>For Curr Trans (BS)</t>
  </si>
  <si>
    <t>Treasury Stock</t>
  </si>
  <si>
    <t>Accum Other Comprehensive Income</t>
  </si>
  <si>
    <t>Retained Earnings</t>
  </si>
  <si>
    <t>Additional Paid-In Capital</t>
  </si>
  <si>
    <t>Common Share Capital</t>
  </si>
  <si>
    <t>Total Liabilities</t>
  </si>
  <si>
    <t>Other Liabilities</t>
  </si>
  <si>
    <t>Minority Interests</t>
  </si>
  <si>
    <t>LT Debt &amp; Leases</t>
  </si>
  <si>
    <t>Total Current Liabilities</t>
  </si>
  <si>
    <t>Other Current Liabilities</t>
  </si>
  <si>
    <t>Current Lease Obligations</t>
  </si>
  <si>
    <t>Current Debt</t>
  </si>
  <si>
    <t>Accrued Expenses</t>
  </si>
  <si>
    <t>Accounts Payable</t>
  </si>
  <si>
    <t>Accounts Payable &amp; Accrued Exps</t>
  </si>
  <si>
    <t>Total Assets</t>
  </si>
  <si>
    <t>Other Assets</t>
  </si>
  <si>
    <t>Deferred LT Assets</t>
  </si>
  <si>
    <t>Intangible Assets</t>
  </si>
  <si>
    <t>Net Property Plant &amp; Equip</t>
  </si>
  <si>
    <t>Accumulated Depreciation</t>
  </si>
  <si>
    <t>Gross Property Plant &amp; Equip</t>
  </si>
  <si>
    <t>Total Current Assets</t>
  </si>
  <si>
    <t>Other Current Assets</t>
  </si>
  <si>
    <t>Prepayments (ST)</t>
  </si>
  <si>
    <t>Current Tax Assets</t>
  </si>
  <si>
    <t>Receivables (ST)</t>
  </si>
  <si>
    <t>Cash &amp; Equivs &amp; ST Investments</t>
  </si>
  <si>
    <t>Short Term Investments</t>
  </si>
  <si>
    <t>Cash &amp; Equivalents</t>
  </si>
  <si>
    <t>Thousands</t>
  </si>
  <si>
    <t>Scale</t>
  </si>
  <si>
    <t>Yes</t>
  </si>
  <si>
    <t>Consolidated</t>
  </si>
  <si>
    <t>Not Qualified</t>
  </si>
  <si>
    <t>Audit Status</t>
  </si>
  <si>
    <t>USD</t>
  </si>
  <si>
    <t>Currency</t>
  </si>
  <si>
    <t>12/31/2005</t>
  </si>
  <si>
    <t>12/31/2006</t>
  </si>
  <si>
    <t>12/31/2007</t>
  </si>
  <si>
    <t>12/31/2008</t>
  </si>
  <si>
    <t>12/31/2009</t>
  </si>
  <si>
    <t>12/31/2010</t>
  </si>
  <si>
    <t>12/31/2011</t>
  </si>
  <si>
    <t>12/31/2012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</si>
  <si>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</si>
  <si>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</si>
  <si>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</si>
  <si>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</si>
  <si>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</si>
  <si>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</si>
  <si>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</si>
  <si>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Report Date</t>
  </si>
  <si>
    <t xml:space="preserve">Standardized Annual Balance Sheet </t>
  </si>
  <si>
    <t>Shares Outstanding</t>
  </si>
  <si>
    <t>EPS Continuing Diluted</t>
  </si>
  <si>
    <t>EPS Net Diluted</t>
  </si>
  <si>
    <t>Average Shares Diluted</t>
  </si>
  <si>
    <t>EPS Continuing Basic</t>
  </si>
  <si>
    <t>EPS Net Basic</t>
  </si>
  <si>
    <t>Average Shares Basic</t>
  </si>
  <si>
    <t>Net Income to Common</t>
  </si>
  <si>
    <t>Preference Dividends &amp; Similar</t>
  </si>
  <si>
    <t>Net Income</t>
  </si>
  <si>
    <t>Accounting Changes</t>
  </si>
  <si>
    <t>Extraordinary Items</t>
  </si>
  <si>
    <t>Taxation</t>
  </si>
  <si>
    <t>Earnings Before Tax</t>
  </si>
  <si>
    <t>Total Non-Operating Income</t>
  </si>
  <si>
    <t>Other Non-Operating Income</t>
  </si>
  <si>
    <t>Gains on Sale of Assets</t>
  </si>
  <si>
    <t>Interest Income</t>
  </si>
  <si>
    <t>Operating Income</t>
  </si>
  <si>
    <t>Total Indirect Operating Costs</t>
  </si>
  <si>
    <t>Other Operating Expense</t>
  </si>
  <si>
    <t>Research &amp; Development</t>
  </si>
  <si>
    <t>Selling General &amp; Admin</t>
  </si>
  <si>
    <t>Gross Profit</t>
  </si>
  <si>
    <t>Direct Costs</t>
  </si>
  <si>
    <t>Total Revenue</t>
  </si>
  <si>
    <t xml:space="preserve">Standardized Annual Income Statement </t>
  </si>
  <si>
    <t>SOURCE: MERGENT ONLINE</t>
  </si>
  <si>
    <t>03/31/2019</t>
  </si>
  <si>
    <t>03/31/2018</t>
  </si>
  <si>
    <t>03/31/2017</t>
  </si>
  <si>
    <t>03/31/2016</t>
  </si>
  <si>
    <t>03/31/2015</t>
  </si>
  <si>
    <t>03/31/2014</t>
  </si>
  <si>
    <t>03/31/2013</t>
  </si>
  <si>
    <t>03/31/2012</t>
  </si>
  <si>
    <t>03/31/2011</t>
  </si>
  <si>
    <t>03/31/2010</t>
  </si>
  <si>
    <t>03/31/2009</t>
  </si>
  <si>
    <t>03/31/2008</t>
  </si>
  <si>
    <t>03/31/2007</t>
  </si>
  <si>
    <t>03/31/2006</t>
  </si>
  <si>
    <t>03/31/2005</t>
  </si>
  <si>
    <t>Inventories</t>
  </si>
  <si>
    <t>Receivables (LT)</t>
  </si>
  <si>
    <t>Long Term Investments</t>
  </si>
  <si>
    <t>Related Parties (ST Liab)</t>
  </si>
  <si>
    <t>Deferred LT Liabilities</t>
  </si>
  <si>
    <t>Related Parties (LT Liab)</t>
  </si>
  <si>
    <t>Equity Earnings</t>
  </si>
  <si>
    <t>Restruct Remediation &amp; Impair</t>
  </si>
  <si>
    <t>Depreciation &amp; Amortization</t>
  </si>
  <si>
    <t>Date</t>
  </si>
  <si>
    <t>Open</t>
  </si>
  <si>
    <t>High</t>
  </si>
  <si>
    <t>Low</t>
  </si>
  <si>
    <t>Close</t>
  </si>
  <si>
    <t>Adj Close</t>
  </si>
  <si>
    <t xml:space="preserve">LGF -A </t>
  </si>
  <si>
    <t>NFLX</t>
  </si>
  <si>
    <t>Average Historical Stock Prices</t>
  </si>
  <si>
    <t>LGF</t>
  </si>
  <si>
    <t>Horizontal Analysis</t>
  </si>
  <si>
    <t>2015-2016</t>
  </si>
  <si>
    <t>2016-2017</t>
  </si>
  <si>
    <t>2017-2018</t>
  </si>
  <si>
    <t>2018-2019</t>
  </si>
  <si>
    <t>Netflix Income Statement</t>
  </si>
  <si>
    <t>Lionsgate Income Statement</t>
  </si>
  <si>
    <t>Lionsgate Balance Sheet</t>
  </si>
  <si>
    <t>Netflix Balace Sheet</t>
  </si>
  <si>
    <t xml:space="preserve"> Growth Averages</t>
  </si>
  <si>
    <t>Balanced?</t>
  </si>
  <si>
    <t>Prepayments (LT)</t>
  </si>
  <si>
    <t>Net New Finance</t>
  </si>
  <si>
    <t>Diff. In Incremental Earnings</t>
  </si>
  <si>
    <t>Incremental Retained Earnings</t>
  </si>
  <si>
    <t xml:space="preserve">Dividends </t>
  </si>
  <si>
    <t>Discontinued Operations</t>
  </si>
  <si>
    <t>Earnings After Tax</t>
  </si>
  <si>
    <t>Foreign Exchange Gains</t>
  </si>
  <si>
    <t>Sales Revenue</t>
  </si>
  <si>
    <t>Original Forecast</t>
  </si>
  <si>
    <t>UNCONSOLIDATED VERSION</t>
  </si>
  <si>
    <t>Risk-Free Rate</t>
  </si>
  <si>
    <t>Cost Of Debt</t>
  </si>
  <si>
    <t>Target Payout Ratio</t>
  </si>
  <si>
    <t>Average Tax Rate (2015-2019)</t>
  </si>
  <si>
    <t>Growth Rate Being Used</t>
  </si>
  <si>
    <t>Forecasted Long-Term Growth Rate (g2)</t>
  </si>
  <si>
    <t>Forecasted Medium-Term Growth Rate (g1)</t>
  </si>
  <si>
    <t>Tax Rate</t>
  </si>
  <si>
    <t>Taxable Income</t>
  </si>
  <si>
    <t xml:space="preserve">Standardized Annual Cash Flows </t>
  </si>
  <si>
    <t>Adjustments from Inc to Cash</t>
  </si>
  <si>
    <t>Change in Working Capital</t>
  </si>
  <si>
    <t>Cash Flow from Operations</t>
  </si>
  <si>
    <t>Purchase of Pty Plant &amp; Equip</t>
  </si>
  <si>
    <t>Purchase of Investments</t>
  </si>
  <si>
    <t>Disposal of Investments</t>
  </si>
  <si>
    <t>Change in Business Activities</t>
  </si>
  <si>
    <t>Other Investing Cash Flows</t>
  </si>
  <si>
    <t>Cash Flow from Investing</t>
  </si>
  <si>
    <t>Change in LT Debt</t>
  </si>
  <si>
    <t>Change in Equity</t>
  </si>
  <si>
    <t>Payment of Dividends</t>
  </si>
  <si>
    <t>Other Financing Cash Flows</t>
  </si>
  <si>
    <t>Cash Flow from Financing</t>
  </si>
  <si>
    <t>Effect of Exchange Rate</t>
  </si>
  <si>
    <t>Change in Cash</t>
  </si>
  <si>
    <t>Opening Cash</t>
  </si>
  <si>
    <t>Closing Cash</t>
  </si>
  <si>
    <t>Depn &amp; Amortn (CF)</t>
  </si>
  <si>
    <t>Net Purch of Pty Plant &amp; Equip</t>
  </si>
  <si>
    <t xml:space="preserve">Standardized Annual Retained Earnings </t>
  </si>
  <si>
    <t>Retained Earnings at Start</t>
  </si>
  <si>
    <t>Retained Earnings at End</t>
  </si>
  <si>
    <t>Balanced Revision</t>
  </si>
  <si>
    <t>Needed info for FCF Calculaton</t>
  </si>
  <si>
    <t>Net Working Capital</t>
  </si>
  <si>
    <t>Change in Net Working Capital</t>
  </si>
  <si>
    <t>Net PP&amp;E</t>
  </si>
  <si>
    <t>Change in PP&amp;E</t>
  </si>
  <si>
    <t>Depreciation</t>
  </si>
  <si>
    <t xml:space="preserve">Capital Expenditures </t>
  </si>
  <si>
    <t>EBIT</t>
  </si>
  <si>
    <t>FCF Calc:</t>
  </si>
  <si>
    <t>EBIT(1-Tax Rate)</t>
  </si>
  <si>
    <t>Plus Depreciation</t>
  </si>
  <si>
    <t>Less Capital Expenditures</t>
  </si>
  <si>
    <t>Less Change in NWC</t>
  </si>
  <si>
    <t>Free Cash Flow (in units)</t>
  </si>
  <si>
    <t xml:space="preserve">Cost of Equity VIA CAPM </t>
  </si>
  <si>
    <t>Equity Beta (Estimated)</t>
  </si>
  <si>
    <t>Market Risk Premium</t>
  </si>
  <si>
    <t>WACC ANAYLSIS FOR LIONSGATE</t>
  </si>
  <si>
    <t>FREE CASH FLOW ANALYSIS FOR LIONSGATE</t>
  </si>
  <si>
    <t>(E + D)</t>
  </si>
  <si>
    <t>LIONSGATE Pro Forma Analysis and Assumptions</t>
  </si>
  <si>
    <t>(E/(E+D)) * Re &lt;--- from part2</t>
  </si>
  <si>
    <t>(D/(E+D))* Rd * (1-Tc)</t>
  </si>
  <si>
    <t>Average</t>
  </si>
  <si>
    <t>WACC (Add top two values)</t>
  </si>
  <si>
    <t>COMBINED VALUATION</t>
  </si>
  <si>
    <t>Value of Lionsgate</t>
  </si>
  <si>
    <t>Enterprise Value Calculation</t>
  </si>
  <si>
    <t>http://pages.stern.nyu.edu/~adamodar/New_Home_Page/datafile/Betas.html</t>
  </si>
  <si>
    <t>LGF CURRENT SHARE PRICE(5/30)</t>
  </si>
  <si>
    <t>NFLX CURRENT SHARE PRICE (5/30)</t>
  </si>
  <si>
    <t>Value of Netflix</t>
  </si>
  <si>
    <t>Note: all values are in thousands</t>
  </si>
  <si>
    <t>Debt-to-Equity</t>
  </si>
  <si>
    <t>Current Ratio</t>
  </si>
  <si>
    <t>Key Ratios for Lionsgate:</t>
  </si>
  <si>
    <t>LIONSGATE MARKET CAP (thousands)</t>
  </si>
  <si>
    <t>NETFLIX MARKET CAP (thousands)</t>
  </si>
  <si>
    <t>LIONSGATE ENTERPRISE VALUE (thousands)</t>
  </si>
  <si>
    <t>NETFLIX ENTERPRISE VALUE (thousands)</t>
  </si>
  <si>
    <t>TERMINAL VALUE</t>
  </si>
  <si>
    <t>SYNERGIES NPV VALUED VIA WACC (In thousands)</t>
  </si>
  <si>
    <t>COMBINED MERGER VALUE (LIONS +NETFLIX)</t>
  </si>
  <si>
    <t>NPV OF SYNERGIES (CF'S TO NETFLIX FROM TAKING LIONSGATE)</t>
  </si>
  <si>
    <t xml:space="preserve">RATE OF RETURN OF ACQUISITION </t>
  </si>
  <si>
    <t>Investment to Acquire Lionsgate (25% Premium)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</si>
</sst>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"/>
    <numFmt numFmtId="166" formatCode="&quot;$&quot;#,##0.00"/>
    <numFmt numFmtId="168" formatCode="&quot;$&quot;#,##0.000_);[Red]\(&quot;$&quot;#,##0.000\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00"/>
      <name val="Arial"/>
      <family val="2"/>
    </font>
    <font>
      <b/>
      <sz val="20"/>
      <color rgb="FF000000"/>
      <name val="Arial"/>
      <family val="2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DF97E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21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1" fontId="1" fillId="0" borderId="0" xfId="0" applyNumberFormat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vertical="top" wrapText="1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0" fillId="0" borderId="0" xfId="0" applyBorder="1"/>
    <xf numFmtId="0" fontId="1" fillId="0" borderId="0" xfId="0" applyFont="1" applyBorder="1"/>
    <xf numFmtId="0" fontId="0" fillId="3" borderId="1" xfId="0" applyFill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4" fontId="0" fillId="0" borderId="0" xfId="0" applyNumberFormat="1"/>
    <xf numFmtId="166" fontId="0" fillId="0" borderId="2" xfId="1" applyNumberFormat="1" applyFont="1" applyBorder="1"/>
    <xf numFmtId="166" fontId="0" fillId="0" borderId="3" xfId="1" applyNumberFormat="1" applyFont="1" applyBorder="1"/>
    <xf numFmtId="166" fontId="0" fillId="0" borderId="4" xfId="1" applyNumberFormat="1" applyFont="1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166" fontId="0" fillId="0" borderId="9" xfId="1" applyNumberFormat="1" applyFont="1" applyBorder="1"/>
    <xf numFmtId="0" fontId="6" fillId="0" borderId="0" xfId="0" applyFont="1"/>
    <xf numFmtId="10" fontId="6" fillId="0" borderId="6" xfId="0" applyNumberFormat="1" applyFont="1" applyBorder="1"/>
    <xf numFmtId="10" fontId="7" fillId="0" borderId="8" xfId="0" applyNumberFormat="1" applyFont="1" applyBorder="1"/>
    <xf numFmtId="10" fontId="7" fillId="0" borderId="9" xfId="0" applyNumberFormat="1" applyFont="1" applyBorder="1"/>
    <xf numFmtId="0" fontId="0" fillId="0" borderId="0" xfId="0" applyBorder="1" applyAlignment="1">
      <alignment horizontal="left"/>
    </xf>
    <xf numFmtId="10" fontId="6" fillId="0" borderId="0" xfId="0" applyNumberFormat="1" applyFont="1" applyBorder="1"/>
    <xf numFmtId="10" fontId="6" fillId="0" borderId="0" xfId="0" applyNumberFormat="1" applyFont="1" applyBorder="1" applyAlignment="1">
      <alignment horizontal="right"/>
    </xf>
    <xf numFmtId="0" fontId="6" fillId="0" borderId="0" xfId="0" applyFont="1" applyBorder="1"/>
    <xf numFmtId="0" fontId="7" fillId="0" borderId="0" xfId="0" applyFont="1" applyBorder="1"/>
    <xf numFmtId="10" fontId="7" fillId="0" borderId="0" xfId="0" applyNumberFormat="1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0" fillId="0" borderId="2" xfId="0" applyBorder="1" applyAlignment="1">
      <alignment horizontal="left"/>
    </xf>
    <xf numFmtId="10" fontId="6" fillId="0" borderId="3" xfId="0" applyNumberFormat="1" applyFont="1" applyBorder="1"/>
    <xf numFmtId="10" fontId="6" fillId="0" borderId="4" xfId="0" applyNumberFormat="1" applyFont="1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10" fontId="0" fillId="0" borderId="3" xfId="2" applyNumberFormat="1" applyFont="1" applyBorder="1"/>
    <xf numFmtId="10" fontId="0" fillId="0" borderId="4" xfId="2" applyNumberFormat="1" applyFont="1" applyBorder="1"/>
    <xf numFmtId="10" fontId="0" fillId="0" borderId="0" xfId="2" applyNumberFormat="1" applyFont="1" applyBorder="1"/>
    <xf numFmtId="10" fontId="0" fillId="0" borderId="6" xfId="2" applyNumberFormat="1" applyFont="1" applyBorder="1"/>
    <xf numFmtId="10" fontId="0" fillId="0" borderId="8" xfId="2" applyNumberFormat="1" applyFont="1" applyBorder="1"/>
    <xf numFmtId="10" fontId="0" fillId="0" borderId="9" xfId="2" applyNumberFormat="1" applyFont="1" applyBorder="1"/>
    <xf numFmtId="0" fontId="1" fillId="0" borderId="7" xfId="0" applyFont="1" applyBorder="1" applyAlignment="1">
      <alignment horizontal="left"/>
    </xf>
    <xf numFmtId="10" fontId="1" fillId="0" borderId="8" xfId="2" applyNumberFormat="1" applyFont="1" applyBorder="1"/>
    <xf numFmtId="10" fontId="1" fillId="0" borderId="9" xfId="2" applyNumberFormat="1" applyFont="1" applyBorder="1"/>
    <xf numFmtId="44" fontId="0" fillId="0" borderId="0" xfId="1" applyFont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0" xfId="0" applyFont="1" applyBorder="1" applyAlignment="1"/>
    <xf numFmtId="0" fontId="0" fillId="0" borderId="6" xfId="0" applyBorder="1"/>
    <xf numFmtId="0" fontId="0" fillId="0" borderId="8" xfId="0" applyBorder="1"/>
    <xf numFmtId="0" fontId="1" fillId="0" borderId="15" xfId="0" applyFont="1" applyBorder="1"/>
    <xf numFmtId="10" fontId="0" fillId="0" borderId="14" xfId="0" applyNumberFormat="1" applyBorder="1"/>
    <xf numFmtId="10" fontId="0" fillId="0" borderId="15" xfId="0" applyNumberFormat="1" applyBorder="1"/>
    <xf numFmtId="0" fontId="7" fillId="0" borderId="1" xfId="0" applyFont="1" applyFill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10" fontId="0" fillId="0" borderId="13" xfId="0" applyNumberFormat="1" applyBorder="1"/>
    <xf numFmtId="0" fontId="1" fillId="0" borderId="5" xfId="0" applyFont="1" applyBorder="1" applyAlignment="1">
      <alignment horizontal="left"/>
    </xf>
    <xf numFmtId="166" fontId="1" fillId="0" borderId="13" xfId="0" applyNumberFormat="1" applyFont="1" applyBorder="1"/>
    <xf numFmtId="166" fontId="1" fillId="0" borderId="15" xfId="0" applyNumberFormat="1" applyFont="1" applyBorder="1"/>
    <xf numFmtId="0" fontId="1" fillId="0" borderId="0" xfId="0" applyFont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9" xfId="0" applyBorder="1" applyAlignment="1">
      <alignment horizontal="right"/>
    </xf>
    <xf numFmtId="0" fontId="1" fillId="0" borderId="6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1" fontId="0" fillId="0" borderId="6" xfId="1" applyNumberFormat="1" applyFont="1" applyBorder="1" applyAlignment="1">
      <alignment horizontal="right"/>
    </xf>
    <xf numFmtId="1" fontId="0" fillId="0" borderId="0" xfId="1" applyNumberFormat="1" applyFont="1" applyBorder="1" applyAlignment="1">
      <alignment horizontal="right"/>
    </xf>
    <xf numFmtId="1" fontId="1" fillId="0" borderId="6" xfId="1" applyNumberFormat="1" applyFont="1" applyBorder="1" applyAlignment="1">
      <alignment horizontal="right"/>
    </xf>
    <xf numFmtId="1" fontId="1" fillId="0" borderId="0" xfId="1" applyNumberFormat="1" applyFont="1" applyBorder="1" applyAlignment="1">
      <alignment horizontal="right"/>
    </xf>
    <xf numFmtId="0" fontId="1" fillId="0" borderId="0" xfId="1" applyNumberFormat="1" applyFont="1" applyBorder="1" applyAlignment="1">
      <alignment horizontal="right"/>
    </xf>
    <xf numFmtId="10" fontId="1" fillId="0" borderId="0" xfId="2" applyNumberFormat="1" applyFont="1" applyBorder="1" applyAlignment="1">
      <alignment horizontal="right"/>
    </xf>
    <xf numFmtId="1" fontId="0" fillId="5" borderId="6" xfId="1" applyNumberFormat="1" applyFont="1" applyFill="1" applyBorder="1" applyAlignment="1">
      <alignment horizontal="right"/>
    </xf>
    <xf numFmtId="1" fontId="0" fillId="5" borderId="0" xfId="1" applyNumberFormat="1" applyFont="1" applyFill="1" applyBorder="1" applyAlignment="1">
      <alignment horizontal="right"/>
    </xf>
    <xf numFmtId="0" fontId="0" fillId="5" borderId="0" xfId="1" applyNumberFormat="1" applyFont="1" applyFill="1" applyBorder="1" applyAlignment="1">
      <alignment horizontal="right"/>
    </xf>
    <xf numFmtId="1" fontId="0" fillId="4" borderId="6" xfId="1" applyNumberFormat="1" applyFont="1" applyFill="1" applyBorder="1" applyAlignment="1">
      <alignment horizontal="right"/>
    </xf>
    <xf numFmtId="1" fontId="0" fillId="4" borderId="0" xfId="1" applyNumberFormat="1" applyFont="1" applyFill="1" applyBorder="1" applyAlignment="1">
      <alignment horizontal="right"/>
    </xf>
    <xf numFmtId="0" fontId="0" fillId="4" borderId="0" xfId="1" applyNumberFormat="1" applyFont="1" applyFill="1" applyBorder="1" applyAlignment="1">
      <alignment horizontal="right"/>
    </xf>
    <xf numFmtId="1" fontId="1" fillId="5" borderId="6" xfId="1" applyNumberFormat="1" applyFont="1" applyFill="1" applyBorder="1" applyAlignment="1">
      <alignment horizontal="right"/>
    </xf>
    <xf numFmtId="1" fontId="1" fillId="5" borderId="0" xfId="1" applyNumberFormat="1" applyFont="1" applyFill="1" applyBorder="1" applyAlignment="1">
      <alignment horizontal="right"/>
    </xf>
    <xf numFmtId="0" fontId="1" fillId="5" borderId="0" xfId="1" applyNumberFormat="1" applyFont="1" applyFill="1" applyBorder="1" applyAlignment="1">
      <alignment horizontal="right"/>
    </xf>
    <xf numFmtId="1" fontId="1" fillId="4" borderId="6" xfId="1" applyNumberFormat="1" applyFont="1" applyFill="1" applyBorder="1" applyAlignment="1">
      <alignment horizontal="right"/>
    </xf>
    <xf numFmtId="1" fontId="1" fillId="4" borderId="0" xfId="1" applyNumberFormat="1" applyFont="1" applyFill="1" applyBorder="1" applyAlignment="1">
      <alignment horizontal="right"/>
    </xf>
    <xf numFmtId="0" fontId="1" fillId="4" borderId="0" xfId="1" applyNumberFormat="1" applyFont="1" applyFill="1" applyBorder="1" applyAlignment="1">
      <alignment horizontal="right"/>
    </xf>
    <xf numFmtId="0" fontId="0" fillId="0" borderId="0" xfId="1" applyNumberFormat="1" applyFont="1" applyBorder="1" applyAlignment="1">
      <alignment horizontal="right"/>
    </xf>
    <xf numFmtId="0" fontId="2" fillId="0" borderId="5" xfId="0" applyFont="1" applyBorder="1" applyAlignment="1">
      <alignment horizontal="left" vertical="top"/>
    </xf>
    <xf numFmtId="0" fontId="1" fillId="0" borderId="4" xfId="0" applyFont="1" applyBorder="1" applyAlignment="1">
      <alignment horizontal="right"/>
    </xf>
    <xf numFmtId="0" fontId="2" fillId="0" borderId="2" xfId="0" applyFont="1" applyBorder="1" applyAlignment="1">
      <alignment horizontal="left" vertical="top"/>
    </xf>
    <xf numFmtId="0" fontId="9" fillId="2" borderId="0" xfId="0" applyFont="1" applyFill="1" applyAlignment="1">
      <alignment vertical="top" wrapText="1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1" fontId="0" fillId="0" borderId="6" xfId="0" applyNumberFormat="1" applyBorder="1" applyAlignment="1">
      <alignment horizontal="right"/>
    </xf>
    <xf numFmtId="1" fontId="8" fillId="0" borderId="0" xfId="0" applyNumberFormat="1" applyFont="1" applyAlignment="1">
      <alignment horizontal="right"/>
    </xf>
    <xf numFmtId="1" fontId="8" fillId="0" borderId="6" xfId="0" applyNumberFormat="1" applyFont="1" applyBorder="1" applyAlignment="1">
      <alignment horizontal="right"/>
    </xf>
    <xf numFmtId="1" fontId="1" fillId="0" borderId="6" xfId="0" applyNumberFormat="1" applyFont="1" applyBorder="1" applyAlignment="1">
      <alignment horizontal="right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1" fillId="5" borderId="6" xfId="1" applyNumberFormat="1" applyFont="1" applyFill="1" applyBorder="1" applyAlignment="1">
      <alignment horizontal="right"/>
    </xf>
    <xf numFmtId="0" fontId="2" fillId="0" borderId="6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8" fillId="0" borderId="0" xfId="0" applyFont="1"/>
    <xf numFmtId="0" fontId="8" fillId="0" borderId="4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8" fillId="0" borderId="0" xfId="0" applyFont="1" applyAlignment="1">
      <alignment horizontal="left"/>
    </xf>
    <xf numFmtId="10" fontId="0" fillId="0" borderId="0" xfId="2" applyNumberFormat="1" applyFont="1" applyFill="1" applyBorder="1"/>
    <xf numFmtId="10" fontId="0" fillId="4" borderId="9" xfId="2" applyNumberFormat="1" applyFont="1" applyFill="1" applyBorder="1"/>
    <xf numFmtId="10" fontId="0" fillId="4" borderId="6" xfId="2" applyNumberFormat="1" applyFont="1" applyFill="1" applyBorder="1"/>
    <xf numFmtId="10" fontId="0" fillId="4" borderId="4" xfId="2" applyNumberFormat="1" applyFont="1" applyFill="1" applyBorder="1"/>
    <xf numFmtId="10" fontId="1" fillId="4" borderId="9" xfId="2" applyNumberFormat="1" applyFont="1" applyFill="1" applyBorder="1" applyAlignment="1"/>
    <xf numFmtId="10" fontId="1" fillId="4" borderId="8" xfId="2" applyNumberFormat="1" applyFont="1" applyFill="1" applyBorder="1" applyAlignment="1"/>
    <xf numFmtId="10" fontId="1" fillId="4" borderId="7" xfId="2" applyNumberFormat="1" applyFont="1" applyFill="1" applyBorder="1" applyAlignment="1"/>
    <xf numFmtId="44" fontId="0" fillId="0" borderId="6" xfId="1" applyFont="1" applyBorder="1"/>
    <xf numFmtId="44" fontId="0" fillId="0" borderId="5" xfId="1" applyFont="1" applyBorder="1"/>
    <xf numFmtId="44" fontId="0" fillId="0" borderId="4" xfId="1" applyFont="1" applyBorder="1"/>
    <xf numFmtId="44" fontId="0" fillId="0" borderId="3" xfId="1" applyFont="1" applyBorder="1"/>
    <xf numFmtId="44" fontId="0" fillId="0" borderId="2" xfId="1" applyFont="1" applyBorder="1"/>
    <xf numFmtId="2" fontId="0" fillId="0" borderId="6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0" fontId="0" fillId="0" borderId="5" xfId="0" applyFill="1" applyBorder="1" applyAlignment="1">
      <alignment horizontal="left"/>
    </xf>
    <xf numFmtId="2" fontId="1" fillId="0" borderId="6" xfId="0" applyNumberFormat="1" applyFont="1" applyBorder="1" applyAlignment="1">
      <alignment horizontal="right"/>
    </xf>
    <xf numFmtId="1" fontId="0" fillId="0" borderId="6" xfId="0" applyNumberFormat="1" applyFont="1" applyBorder="1" applyAlignment="1">
      <alignment horizontal="right"/>
    </xf>
    <xf numFmtId="0" fontId="11" fillId="2" borderId="0" xfId="0" applyFont="1" applyFill="1"/>
    <xf numFmtId="0" fontId="10" fillId="2" borderId="0" xfId="0" applyFont="1" applyFill="1" applyAlignment="1">
      <alignment vertical="top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center" vertical="top"/>
    </xf>
    <xf numFmtId="1" fontId="0" fillId="6" borderId="0" xfId="1" applyNumberFormat="1" applyFont="1" applyFill="1" applyBorder="1" applyAlignment="1">
      <alignment horizontal="right"/>
    </xf>
    <xf numFmtId="1" fontId="0" fillId="6" borderId="6" xfId="1" applyNumberFormat="1" applyFont="1" applyFill="1" applyBorder="1" applyAlignment="1">
      <alignment horizontal="right"/>
    </xf>
    <xf numFmtId="1" fontId="1" fillId="6" borderId="0" xfId="1" applyNumberFormat="1" applyFont="1" applyFill="1" applyBorder="1" applyAlignment="1">
      <alignment horizontal="right"/>
    </xf>
    <xf numFmtId="1" fontId="1" fillId="6" borderId="6" xfId="1" applyNumberFormat="1" applyFont="1" applyFill="1" applyBorder="1" applyAlignment="1">
      <alignment horizontal="right"/>
    </xf>
    <xf numFmtId="0" fontId="8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8" fillId="2" borderId="10" xfId="0" applyFont="1" applyFill="1" applyBorder="1" applyAlignment="1">
      <alignment horizontal="left"/>
    </xf>
    <xf numFmtId="0" fontId="1" fillId="0" borderId="2" xfId="0" applyFont="1" applyBorder="1"/>
    <xf numFmtId="166" fontId="0" fillId="0" borderId="5" xfId="0" applyNumberFormat="1" applyBorder="1"/>
    <xf numFmtId="166" fontId="0" fillId="0" borderId="0" xfId="0" applyNumberFormat="1" applyBorder="1"/>
    <xf numFmtId="166" fontId="0" fillId="0" borderId="6" xfId="0" applyNumberFormat="1" applyBorder="1"/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2" fontId="0" fillId="4" borderId="6" xfId="2" applyNumberFormat="1" applyFont="1" applyFill="1" applyBorder="1"/>
    <xf numFmtId="9" fontId="0" fillId="4" borderId="6" xfId="2" applyFont="1" applyFill="1" applyBorder="1"/>
    <xf numFmtId="10" fontId="0" fillId="0" borderId="0" xfId="2" applyNumberFormat="1" applyFont="1"/>
    <xf numFmtId="10" fontId="1" fillId="0" borderId="0" xfId="0" applyNumberFormat="1" applyFont="1"/>
    <xf numFmtId="0" fontId="1" fillId="2" borderId="10" xfId="0" applyFont="1" applyFill="1" applyBorder="1"/>
    <xf numFmtId="10" fontId="1" fillId="2" borderId="12" xfId="0" applyNumberFormat="1" applyFont="1" applyFill="1" applyBorder="1"/>
    <xf numFmtId="1" fontId="8" fillId="2" borderId="11" xfId="0" applyNumberFormat="1" applyFont="1" applyFill="1" applyBorder="1"/>
    <xf numFmtId="0" fontId="8" fillId="2" borderId="11" xfId="0" applyFont="1" applyFill="1" applyBorder="1"/>
    <xf numFmtId="0" fontId="12" fillId="0" borderId="0" xfId="3"/>
    <xf numFmtId="44" fontId="0" fillId="0" borderId="0" xfId="1" applyFont="1"/>
    <xf numFmtId="44" fontId="1" fillId="0" borderId="4" xfId="1" applyFont="1" applyBorder="1"/>
    <xf numFmtId="0" fontId="1" fillId="0" borderId="7" xfId="0" applyFont="1" applyBorder="1"/>
    <xf numFmtId="166" fontId="1" fillId="0" borderId="9" xfId="0" applyNumberFormat="1" applyFont="1" applyBorder="1"/>
    <xf numFmtId="44" fontId="0" fillId="0" borderId="0" xfId="0" applyNumberFormat="1"/>
    <xf numFmtId="44" fontId="1" fillId="0" borderId="4" xfId="0" applyNumberFormat="1" applyFont="1" applyBorder="1"/>
    <xf numFmtId="0" fontId="1" fillId="2" borderId="10" xfId="0" applyFont="1" applyFill="1" applyBorder="1" applyAlignment="1">
      <alignment horizontal="left" indent="1"/>
    </xf>
    <xf numFmtId="8" fontId="1" fillId="2" borderId="12" xfId="0" applyNumberFormat="1" applyFont="1" applyFill="1" applyBorder="1"/>
    <xf numFmtId="44" fontId="1" fillId="2" borderId="12" xfId="0" applyNumberFormat="1" applyFont="1" applyFill="1" applyBorder="1"/>
    <xf numFmtId="0" fontId="13" fillId="0" borderId="0" xfId="0" applyFont="1"/>
    <xf numFmtId="44" fontId="1" fillId="0" borderId="0" xfId="0" applyNumberFormat="1" applyFont="1"/>
    <xf numFmtId="10" fontId="1" fillId="0" borderId="0" xfId="2" applyNumberFormat="1" applyFont="1"/>
    <xf numFmtId="0" fontId="13" fillId="0" borderId="0" xfId="0" applyFont="1" applyBorder="1"/>
    <xf numFmtId="2" fontId="0" fillId="0" borderId="0" xfId="0" applyNumberFormat="1" applyBorder="1"/>
    <xf numFmtId="10" fontId="8" fillId="0" borderId="0" xfId="2" applyNumberFormat="1" applyFont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horizontal="left" vertical="top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9" fillId="2" borderId="5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8" fillId="0" borderId="5" xfId="0" applyFont="1" applyBorder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" fontId="8" fillId="2" borderId="1" xfId="0" applyNumberFormat="1" applyFont="1" applyFill="1" applyBorder="1"/>
    <xf numFmtId="0" fontId="8" fillId="0" borderId="15" xfId="0" applyFont="1" applyBorder="1"/>
    <xf numFmtId="168" fontId="1" fillId="2" borderId="12" xfId="0" applyNumberFormat="1" applyFont="1" applyFill="1" applyBorder="1"/>
    <xf numFmtId="0" fontId="0" fillId="0" borderId="0" xfId="0" applyAlignment="1"/>
    <xf numFmtId="0" fontId="0" fillId="0" borderId="3" xfId="0" applyBorder="1" applyAlignment="1"/>
    <xf numFmtId="0" fontId="0" fillId="0" borderId="0" xfId="0" applyBorder="1" applyAlignme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DF97E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ghav/Desktop/WORK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SHOP 8"/>
      <sheetName val="WORKSHOP 5"/>
      <sheetName val="wkshp. 8 work"/>
      <sheetName val="COMPANY FINANCIALS (20+)"/>
      <sheetName val="WORKSHOP 7"/>
      <sheetName val="wkshp. 7 -work"/>
      <sheetName val="WORKSHOP 6"/>
      <sheetName val="wkshp. 6 - work "/>
      <sheetName val="WORKSHOP 4"/>
      <sheetName val="WORKSHOP 3"/>
      <sheetName val="WORKSHOP 2 "/>
      <sheetName val="ANNUAL INCOME STMT. "/>
      <sheetName val="COMP FIRMS"/>
      <sheetName val="COMP FIRMS 2"/>
      <sheetName val="CORRELATION"/>
      <sheetName val="REGRESSION - FULL MODEL"/>
      <sheetName val="REGRESSION - REDUCED MODEL"/>
      <sheetName val="ANNUAL BALANCE SHEET"/>
      <sheetName val="ANNUAL RETAINED EARNINGS"/>
      <sheetName val="STOCK PRICE"/>
    </sheetNames>
    <sheetDataSet>
      <sheetData sheetId="0"/>
      <sheetData sheetId="1"/>
      <sheetData sheetId="2"/>
      <sheetData sheetId="3">
        <row r="3">
          <cell r="AM3">
            <v>2019</v>
          </cell>
        </row>
        <row r="4">
          <cell r="AM4" t="str">
            <v>Thousands</v>
          </cell>
        </row>
        <row r="49">
          <cell r="AM49">
            <v>2019</v>
          </cell>
        </row>
        <row r="50">
          <cell r="AM50" t="str">
            <v>Thousands</v>
          </cell>
        </row>
        <row r="63">
          <cell r="AM63" t="str">
            <v>-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ages.stern.nyu.edu/~adamodar/New_Home_Page/datafile/Beta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2133-25E7-41EB-9132-97AF5758DD1B}">
  <dimension ref="A2:Y223"/>
  <sheetViews>
    <sheetView tabSelected="1" topLeftCell="A184" zoomScale="85" zoomScaleNormal="85" workbookViewId="0">
      <selection activeCell="B190" sqref="B190"/>
    </sheetView>
  </sheetViews>
  <sheetFormatPr defaultColWidth="8.85546875" defaultRowHeight="15" x14ac:dyDescent="0.25"/>
  <cols>
    <col min="1" max="1" width="65" customWidth="1"/>
    <col min="2" max="2" width="41.140625" bestFit="1" customWidth="1"/>
    <col min="3" max="3" width="15.42578125" bestFit="1" customWidth="1"/>
    <col min="4" max="4" width="15.140625" customWidth="1"/>
    <col min="5" max="5" width="27.42578125" bestFit="1" customWidth="1"/>
    <col min="6" max="6" width="23.7109375" bestFit="1" customWidth="1"/>
    <col min="7" max="7" width="15.42578125" bestFit="1" customWidth="1"/>
    <col min="8" max="8" width="36.5703125" bestFit="1" customWidth="1"/>
    <col min="9" max="11" width="14.42578125" bestFit="1" customWidth="1"/>
    <col min="12" max="12" width="14.7109375" bestFit="1" customWidth="1"/>
    <col min="13" max="13" width="23.7109375" bestFit="1" customWidth="1"/>
    <col min="14" max="14" width="13.85546875" bestFit="1" customWidth="1"/>
    <col min="15" max="15" width="27.42578125" bestFit="1" customWidth="1"/>
    <col min="16" max="16" width="11.28515625" bestFit="1" customWidth="1"/>
    <col min="17" max="17" width="13.140625" bestFit="1" customWidth="1"/>
    <col min="18" max="19" width="16.28515625" bestFit="1" customWidth="1"/>
    <col min="20" max="23" width="19.5703125" bestFit="1" customWidth="1"/>
  </cols>
  <sheetData>
    <row r="2" spans="1:13" ht="15.75" thickBot="1" x14ac:dyDescent="0.3"/>
    <row r="3" spans="1:13" ht="15.75" thickBot="1" x14ac:dyDescent="0.3">
      <c r="A3" s="22">
        <v>1</v>
      </c>
      <c r="B3" s="192" t="s">
        <v>123</v>
      </c>
      <c r="C3" s="193"/>
      <c r="D3" s="194"/>
    </row>
    <row r="4" spans="1:13" ht="17.100000000000001" customHeight="1" x14ac:dyDescent="0.25"/>
    <row r="5" spans="1:13" ht="17.100000000000001" customHeight="1" thickBot="1" x14ac:dyDescent="0.3"/>
    <row r="6" spans="1:13" ht="17.100000000000001" customHeight="1" thickBot="1" x14ac:dyDescent="0.3">
      <c r="B6" s="192" t="s">
        <v>128</v>
      </c>
      <c r="C6" s="193"/>
      <c r="D6" s="193"/>
      <c r="E6" s="194"/>
      <c r="I6" s="192" t="s">
        <v>129</v>
      </c>
      <c r="J6" s="193"/>
      <c r="K6" s="193"/>
      <c r="L6" s="194"/>
    </row>
    <row r="7" spans="1:13" ht="17.100000000000001" customHeight="1" thickBot="1" x14ac:dyDescent="0.3"/>
    <row r="8" spans="1:13" ht="15.75" thickBot="1" x14ac:dyDescent="0.3">
      <c r="A8" s="33"/>
      <c r="B8" s="43" t="s">
        <v>124</v>
      </c>
      <c r="C8" s="44" t="s">
        <v>125</v>
      </c>
      <c r="D8" s="44" t="s">
        <v>126</v>
      </c>
      <c r="E8" s="45" t="s">
        <v>127</v>
      </c>
      <c r="F8" s="70" t="s">
        <v>132</v>
      </c>
      <c r="I8" s="71" t="s">
        <v>124</v>
      </c>
      <c r="J8" s="72" t="s">
        <v>125</v>
      </c>
      <c r="K8" s="72" t="s">
        <v>126</v>
      </c>
      <c r="L8" s="73" t="s">
        <v>127</v>
      </c>
      <c r="M8" s="70" t="s">
        <v>132</v>
      </c>
    </row>
    <row r="9" spans="1:13" x14ac:dyDescent="0.25">
      <c r="A9" s="46" t="s">
        <v>86</v>
      </c>
      <c r="B9" s="47">
        <f>('Netflix Financials'!M59-'Netflix Financials'!L59)/'Netflix Financials'!L59</f>
        <v>0.3025524997304378</v>
      </c>
      <c r="C9" s="47">
        <f>('Netflix Financials'!N59-'Netflix Financials'!M59)/'Netflix Financials'!M59</f>
        <v>0.32410273785598803</v>
      </c>
      <c r="D9" s="47">
        <f>('Netflix Financials'!O59-'Netflix Financials'!N59)/'Netflix Financials'!N59</f>
        <v>0.35078497180252349</v>
      </c>
      <c r="E9" s="48">
        <f>('Netflix Financials'!P59-'Netflix Financials'!O59)/'Netflix Financials'!O59</f>
        <v>0.27618157667990073</v>
      </c>
      <c r="F9" s="68">
        <f>AVERAGE(B9:E9)</f>
        <v>0.31340544651721253</v>
      </c>
      <c r="H9" s="46" t="s">
        <v>86</v>
      </c>
      <c r="I9" s="53">
        <f>('Lions Gate financial'!M54-'Lions Gate financial'!L54)/'Lions Gate financial'!L54</f>
        <v>-2.1762014302145322E-2</v>
      </c>
      <c r="J9" s="53">
        <f>('Lions Gate financial'!N54-'Lions Gate financial'!M54)/'Lions Gate financial'!M54</f>
        <v>0.36383832626386681</v>
      </c>
      <c r="K9" s="53">
        <f>('Lions Gate financial'!O54-'Lions Gate financial'!N54)/'Lions Gate financial'!N54</f>
        <v>0.28973918475714511</v>
      </c>
      <c r="L9" s="54">
        <f>('Lions Gate financial'!P54-'Lions Gate financial'!O54)/'Lions Gate financial'!O54</f>
        <v>-0.10864353006708484</v>
      </c>
      <c r="M9" s="74">
        <f>AVERAGE(I9:L9)</f>
        <v>0.13079299166294545</v>
      </c>
    </row>
    <row r="10" spans="1:13" x14ac:dyDescent="0.25">
      <c r="A10" s="49" t="s">
        <v>85</v>
      </c>
      <c r="B10" s="38">
        <f>('Netflix Financials'!M60-'Netflix Financials'!L60)/'Netflix Financials'!L60</f>
        <v>0.31328161140339184</v>
      </c>
      <c r="C10" s="38">
        <f>('Netflix Financials'!N60-'Netflix Financials'!M60)/'Netflix Financials'!M60</f>
        <v>0.2702805568449631</v>
      </c>
      <c r="D10" s="38">
        <f>('Netflix Financials'!O60-'Netflix Financials'!N60)/'Netflix Financials'!N60</f>
        <v>0.30130191055327998</v>
      </c>
      <c r="E10" s="34">
        <f>('Netflix Financials'!P60-'Netflix Financials'!O60)/'Netflix Financials'!O60</f>
        <v>0.24807279390356976</v>
      </c>
      <c r="F10" s="68">
        <f t="shared" ref="F10:F25" si="0">AVERAGE(B10:E10)</f>
        <v>0.28323421817630118</v>
      </c>
      <c r="H10" s="49" t="s">
        <v>85</v>
      </c>
      <c r="I10" s="53">
        <f>('Lions Gate financial'!M55-'Lions Gate financial'!L55)/'Lions Gate financial'!L55</f>
        <v>7.5673272405996472E-2</v>
      </c>
      <c r="J10" s="53">
        <f>('Lions Gate financial'!N55-'Lions Gate financial'!M55)/'Lions Gate financial'!M55</f>
        <v>0.34511468589968236</v>
      </c>
      <c r="K10" s="53">
        <f>('Lions Gate financial'!O55-'Lions Gate financial'!N55)/'Lions Gate financial'!N55</f>
        <v>0.21315264208425255</v>
      </c>
      <c r="L10" s="54">
        <f>('Lions Gate financial'!P55-'Lions Gate financial'!O55)/'Lions Gate financial'!O55</f>
        <v>-0.12183927952892276</v>
      </c>
      <c r="M10" s="68">
        <f t="shared" ref="M10:M26" si="1">AVERAGE(I10:L10)</f>
        <v>0.12802533021525214</v>
      </c>
    </row>
    <row r="11" spans="1:13" x14ac:dyDescent="0.25">
      <c r="A11" s="49" t="s">
        <v>84</v>
      </c>
      <c r="B11" s="38">
        <f>('Netflix Financials'!M61-'Netflix Financials'!L61)/'Netflix Financials'!L61</f>
        <v>0.28003802498588914</v>
      </c>
      <c r="C11" s="38">
        <f>('Netflix Financials'!N61-'Netflix Financials'!M61)/'Netflix Financials'!M61</f>
        <v>0.43997896291302957</v>
      </c>
      <c r="D11" s="38">
        <f>('Netflix Financials'!O61-'Netflix Financials'!N61)/'Netflix Financials'!N61</f>
        <v>0.44476446716341267</v>
      </c>
      <c r="E11" s="34">
        <f>('Netflix Financials'!P61-'Netflix Financials'!O61)/'Netflix Financials'!O61</f>
        <v>0.32426546770158526</v>
      </c>
      <c r="F11" s="68">
        <f t="shared" si="0"/>
        <v>0.37226173069097918</v>
      </c>
      <c r="H11" s="49" t="s">
        <v>84</v>
      </c>
      <c r="I11" s="53">
        <f>('Lions Gate financial'!M56-'Lions Gate financial'!L56)/'Lions Gate financial'!L56</f>
        <v>-0.14004511631983688</v>
      </c>
      <c r="J11" s="53">
        <f>('Lions Gate financial'!N56-'Lions Gate financial'!M56)/'Lions Gate financial'!M56</f>
        <v>0.39226993535927901</v>
      </c>
      <c r="K11" s="53">
        <f>('Lions Gate financial'!O56-'Lions Gate financial'!N56)/'Lions Gate financial'!N56</f>
        <v>0.40209601602835787</v>
      </c>
      <c r="L11" s="54">
        <f>('Lions Gate financial'!P56-'Lions Gate financial'!O56)/'Lions Gate financial'!O56</f>
        <v>-9.1893377301456441E-2</v>
      </c>
      <c r="M11" s="68">
        <f t="shared" si="1"/>
        <v>0.1406068644415859</v>
      </c>
    </row>
    <row r="12" spans="1:13" x14ac:dyDescent="0.25">
      <c r="A12" s="49" t="s">
        <v>83</v>
      </c>
      <c r="B12" s="38">
        <f>('Netflix Financials'!M62-'Netflix Financials'!L62)/'Netflix Financials'!L62</f>
        <v>0.27403787981527034</v>
      </c>
      <c r="C12" s="38">
        <f>('Netflix Financials'!N62-'Netflix Financials'!M62)/'Netflix Financials'!M62</f>
        <v>0.36504646317079031</v>
      </c>
      <c r="D12" s="38">
        <f>('Netflix Financials'!O62-'Netflix Financials'!N62)/'Netflix Financials'!N62</f>
        <v>0.40071769106131427</v>
      </c>
      <c r="E12" s="34">
        <f>('Netflix Financials'!P62-'Netflix Financials'!O62)/'Netflix Financials'!O62</f>
        <v>0.189037600637117</v>
      </c>
      <c r="F12" s="68">
        <f t="shared" si="0"/>
        <v>0.30720990867112302</v>
      </c>
      <c r="H12" s="49" t="s">
        <v>83</v>
      </c>
      <c r="I12" s="53">
        <f>('Lions Gate financial'!M57-'Lions Gate financial'!L57)/'Lions Gate financial'!L57</f>
        <v>0.10412071139347695</v>
      </c>
      <c r="J12" s="53">
        <f>('Lions Gate financial'!N57-'Lions Gate financial'!M57)/'Lions Gate financial'!M57</f>
        <v>0.23111668066706142</v>
      </c>
      <c r="K12" s="53">
        <f>('Lions Gate financial'!O57-'Lions Gate financial'!N57)/'Lions Gate financial'!N57</f>
        <v>0.16331096196868009</v>
      </c>
      <c r="L12" s="54">
        <f>('Lions Gate financial'!P57-'Lions Gate financial'!O57)/'Lions Gate financial'!O57</f>
        <v>-5.2588757396449706E-2</v>
      </c>
      <c r="M12" s="68">
        <f t="shared" si="1"/>
        <v>0.1114898991581922</v>
      </c>
    </row>
    <row r="13" spans="1:13" x14ac:dyDescent="0.25">
      <c r="A13" s="49" t="s">
        <v>82</v>
      </c>
      <c r="B13" s="38">
        <f>('Netflix Financials'!M63-'Netflix Financials'!L63)/'Netflix Financials'!L63</f>
        <v>0.30933268591307767</v>
      </c>
      <c r="C13" s="38">
        <f>('Netflix Financials'!N63-'Netflix Financials'!M63)/'Netflix Financials'!M63</f>
        <v>0.23551281660090742</v>
      </c>
      <c r="D13" s="38">
        <f>('Netflix Financials'!O63-'Netflix Financials'!N63)/'Netflix Financials'!N63</f>
        <v>0.16056186584446103</v>
      </c>
      <c r="E13" s="34">
        <f>('Netflix Financials'!P63-'Netflix Financials'!O63)/'Netflix Financials'!O63</f>
        <v>0.26463520634073601</v>
      </c>
      <c r="F13" s="68">
        <f t="shared" si="0"/>
        <v>0.24251064367479552</v>
      </c>
      <c r="H13" s="49" t="s">
        <v>112</v>
      </c>
      <c r="I13" s="53">
        <f>('Lions Gate financial'!M58-'Lions Gate financial'!L58)/'Lions Gate financial'!L58</f>
        <v>0.98663832371697535</v>
      </c>
      <c r="J13" s="53">
        <f>('Lions Gate financial'!N58-'Lions Gate financial'!M58)/'Lions Gate financial'!M58</f>
        <v>3.8226841944359524</v>
      </c>
      <c r="K13" s="53">
        <f>('Lions Gate financial'!O58-'Lions Gate financial'!N58)/'Lions Gate financial'!N58</f>
        <v>1.5198098256735342</v>
      </c>
      <c r="L13" s="54">
        <f>('Lions Gate financial'!P58-'Lions Gate financial'!O58)/'Lions Gate financial'!O58</f>
        <v>2.7672955974842768E-2</v>
      </c>
      <c r="M13" s="68">
        <f t="shared" si="1"/>
        <v>1.5892013249503263</v>
      </c>
    </row>
    <row r="14" spans="1:13" x14ac:dyDescent="0.25">
      <c r="A14" s="49" t="s">
        <v>81</v>
      </c>
      <c r="B14" s="38" t="s">
        <v>3</v>
      </c>
      <c r="C14" s="38" t="s">
        <v>3</v>
      </c>
      <c r="D14" s="38" t="s">
        <v>3</v>
      </c>
      <c r="E14" s="34" t="s">
        <v>3</v>
      </c>
      <c r="F14" s="68"/>
      <c r="H14" s="49" t="s">
        <v>111</v>
      </c>
      <c r="I14" s="53" t="s">
        <v>3</v>
      </c>
      <c r="J14" s="53" t="s">
        <v>3</v>
      </c>
      <c r="K14" s="53">
        <f>('Lions Gate financial'!O59-'Lions Gate financial'!N59)/'Lions Gate financial'!N59</f>
        <v>-0.32581736189402483</v>
      </c>
      <c r="L14" s="54">
        <f>('Lions Gate financial'!P59-'Lions Gate financial'!O59)/'Lions Gate financial'!O59</f>
        <v>0.30434782608695654</v>
      </c>
      <c r="M14" s="68">
        <f t="shared" si="1"/>
        <v>-1.0734767903534143E-2</v>
      </c>
    </row>
    <row r="15" spans="1:13" x14ac:dyDescent="0.25">
      <c r="A15" s="49" t="s">
        <v>80</v>
      </c>
      <c r="B15" s="38">
        <f>('Netflix Financials'!M65-'Netflix Financials'!L65)/'Netflix Financials'!L65</f>
        <v>0.28624132601639879</v>
      </c>
      <c r="C15" s="38">
        <f>('Netflix Financials'!N65-'Netflix Financials'!M65)/'Netflix Financials'!M65</f>
        <v>0.31945517818234387</v>
      </c>
      <c r="D15" s="38">
        <f>('Netflix Financials'!O65-'Netflix Financials'!N65)/'Netflix Financials'!N65</f>
        <v>0.32156877354143293</v>
      </c>
      <c r="E15" s="34">
        <f>('Netflix Financials'!P65-'Netflix Financials'!O65)/'Netflix Financials'!O65</f>
        <v>0.21091715252380805</v>
      </c>
      <c r="F15" s="68">
        <f t="shared" si="0"/>
        <v>0.28454560756599589</v>
      </c>
      <c r="H15" s="49" t="s">
        <v>81</v>
      </c>
      <c r="I15" s="53" t="s">
        <v>3</v>
      </c>
      <c r="J15" s="53" t="s">
        <v>3</v>
      </c>
      <c r="K15" s="53" t="s">
        <v>3</v>
      </c>
      <c r="L15" s="54" t="s">
        <v>3</v>
      </c>
      <c r="M15" s="68"/>
    </row>
    <row r="16" spans="1:13" x14ac:dyDescent="0.25">
      <c r="A16" s="49" t="s">
        <v>79</v>
      </c>
      <c r="B16" s="38">
        <f>('Netflix Financials'!M66-'Netflix Financials'!L66)/'Netflix Financials'!L66</f>
        <v>0.24185975031553891</v>
      </c>
      <c r="C16" s="38">
        <f>('Netflix Financials'!N66-'Netflix Financials'!M66)/'Netflix Financials'!M66</f>
        <v>1.2082529167204241</v>
      </c>
      <c r="D16" s="38">
        <f>('Netflix Financials'!O66-'Netflix Financials'!N66)/'Netflix Financials'!N66</f>
        <v>0.91399331567858499</v>
      </c>
      <c r="E16" s="34">
        <f>('Netflix Financials'!P66-'Netflix Financials'!O66)/'Netflix Financials'!O66</f>
        <v>0.62235971757247888</v>
      </c>
      <c r="F16" s="68">
        <f t="shared" si="0"/>
        <v>0.74661642507175663</v>
      </c>
      <c r="H16" s="49" t="s">
        <v>80</v>
      </c>
      <c r="I16" s="53">
        <f>('Lions Gate financial'!M61-'Lions Gate financial'!L61)/'Lions Gate financial'!L61</f>
        <v>0.11086672918717154</v>
      </c>
      <c r="J16" s="53">
        <f>('Lions Gate financial'!N61-'Lions Gate financial'!M61)/'Lions Gate financial'!M61</f>
        <v>0.37289012177347314</v>
      </c>
      <c r="K16" s="53">
        <f>('Lions Gate financial'!O61-'Lions Gate financial'!N61)/'Lions Gate financial'!N61</f>
        <v>0.19543378995433791</v>
      </c>
      <c r="L16" s="54">
        <f>('Lions Gate financial'!P61-'Lions Gate financial'!O61)/'Lions Gate financial'!O61</f>
        <v>-3.0875986758339701E-2</v>
      </c>
      <c r="M16" s="68">
        <f t="shared" si="1"/>
        <v>0.16207866353916073</v>
      </c>
    </row>
    <row r="17" spans="1:13" x14ac:dyDescent="0.25">
      <c r="A17" s="49" t="s">
        <v>78</v>
      </c>
      <c r="B17" s="38">
        <f>('Netflix Financials'!M67-'Netflix Financials'!L67)/'Netflix Financials'!L67</f>
        <v>-0.27238457737844712</v>
      </c>
      <c r="C17" s="38">
        <f>('Netflix Financials'!N67-'Netflix Financials'!M67)/'Netflix Financials'!M67</f>
        <v>1.9622755394597857</v>
      </c>
      <c r="D17" s="38">
        <f>('Netflix Financials'!O67-'Netflix Financials'!N67)/'Netflix Financials'!N67</f>
        <v>7.1910074202367003E-2</v>
      </c>
      <c r="E17" s="34">
        <f>('Netflix Financials'!P67-'Netflix Financials'!O67)/'Netflix Financials'!O67</f>
        <v>0.43101581971021841</v>
      </c>
      <c r="F17" s="68">
        <f t="shared" si="0"/>
        <v>0.54820421399848107</v>
      </c>
      <c r="H17" s="49" t="s">
        <v>79</v>
      </c>
      <c r="I17" s="53">
        <f>('Lions Gate financial'!M62-'Lions Gate financial'!L62)/'Lions Gate financial'!L62</f>
        <v>-0.88739478407961092</v>
      </c>
      <c r="J17" s="53">
        <f>('Netflix Financials'!N67-'Netflix Financials'!M67)/'Netflix Financials'!M67</f>
        <v>1.9622755394597857</v>
      </c>
      <c r="K17" s="53">
        <f>('Lions Gate financial'!O62-'Lions Gate financial'!N62)/'Lions Gate financial'!N62</f>
        <v>14.257668711656441</v>
      </c>
      <c r="L17" s="54">
        <f>('Lions Gate financial'!P62-'Lions Gate financial'!O62)/'Lions Gate financial'!O62</f>
        <v>-0.4772818657016486</v>
      </c>
      <c r="M17" s="68">
        <f t="shared" si="1"/>
        <v>3.7138169003337418</v>
      </c>
    </row>
    <row r="18" spans="1:13" x14ac:dyDescent="0.25">
      <c r="A18" s="49" t="s">
        <v>77</v>
      </c>
      <c r="B18" s="38" t="s">
        <v>3</v>
      </c>
      <c r="C18" s="38" t="s">
        <v>3</v>
      </c>
      <c r="D18" s="38" t="s">
        <v>3</v>
      </c>
      <c r="E18" s="34" t="s">
        <v>3</v>
      </c>
      <c r="F18" s="68"/>
      <c r="H18" s="49" t="s">
        <v>78</v>
      </c>
      <c r="I18" s="53">
        <f>('Lions Gate financial'!M63-'Lions Gate financial'!L63)/'Lions Gate financial'!L63</f>
        <v>6.7262407921748577E-2</v>
      </c>
      <c r="J18" s="53">
        <f>('Lions Gate financial'!N63-'Lions Gate financial'!M63)/'Lions Gate financial'!M63</f>
        <v>1.0517462472655956</v>
      </c>
      <c r="K18" s="53">
        <f>('Lions Gate financial'!O63-'Lions Gate financial'!N63)/'Lions Gate financial'!N63</f>
        <v>0.68474264705882348</v>
      </c>
      <c r="L18" s="54">
        <f>('Lions Gate financial'!P63-'Lions Gate financial'!O63)/'Lions Gate financial'!O63</f>
        <v>1.9639934533551555E-2</v>
      </c>
      <c r="M18" s="68">
        <f t="shared" si="1"/>
        <v>0.45584780919492984</v>
      </c>
    </row>
    <row r="19" spans="1:13" x14ac:dyDescent="0.25">
      <c r="A19" s="49" t="s">
        <v>76</v>
      </c>
      <c r="B19" s="38" t="s">
        <v>3</v>
      </c>
      <c r="C19" s="38" t="s">
        <v>3</v>
      </c>
      <c r="D19" s="38" t="s">
        <v>3</v>
      </c>
      <c r="E19" s="34" t="s">
        <v>3</v>
      </c>
      <c r="F19" s="68"/>
      <c r="H19" s="49" t="s">
        <v>77</v>
      </c>
      <c r="I19" s="53" t="s">
        <v>3</v>
      </c>
      <c r="J19" s="53" t="s">
        <v>3</v>
      </c>
      <c r="K19" s="53">
        <f>('Lions Gate financial'!O64-'Lions Gate financial'!N64)/'Lions Gate financial'!N64</f>
        <v>8.8529411764705888</v>
      </c>
      <c r="L19" s="54">
        <f>('Lions Gate financial'!P64-'Lions Gate financial'!O64)/'Lions Gate financial'!O64</f>
        <v>-0.56417910447761199</v>
      </c>
      <c r="M19" s="68">
        <f t="shared" si="1"/>
        <v>4.1443810359964885</v>
      </c>
    </row>
    <row r="20" spans="1:13" x14ac:dyDescent="0.25">
      <c r="A20" s="49" t="s">
        <v>75</v>
      </c>
      <c r="B20" s="38">
        <f>('Netflix Financials'!M70-'Netflix Financials'!L70)/'Netflix Financials'!L70</f>
        <v>-0.27238457737844712</v>
      </c>
      <c r="C20" s="38">
        <f>('Netflix Financials'!N70-'Netflix Financials'!M70)/'Netflix Financials'!M70</f>
        <v>1.9622755394597857</v>
      </c>
      <c r="D20" s="38">
        <f>('Netflix Financials'!O70-'Netflix Financials'!N70)/'Netflix Financials'!N70</f>
        <v>7.1910074202367003E-2</v>
      </c>
      <c r="E20" s="34">
        <f>('Netflix Financials'!P70-'Netflix Financials'!O70)/'Netflix Financials'!O70</f>
        <v>0.43101581971021841</v>
      </c>
      <c r="F20" s="68">
        <f t="shared" si="0"/>
        <v>0.54820421399848107</v>
      </c>
      <c r="H20" s="49" t="s">
        <v>76</v>
      </c>
      <c r="I20" s="53">
        <f>('Lions Gate financial'!M65-'Lions Gate financial'!L65)/'Lions Gate financial'!L65</f>
        <v>-1</v>
      </c>
      <c r="J20" s="53" t="s">
        <v>3</v>
      </c>
      <c r="K20" s="53">
        <f>('Lions Gate financial'!O65-'Lions Gate financial'!N65)/'Lions Gate financial'!N65</f>
        <v>0.60643564356435642</v>
      </c>
      <c r="L20" s="54">
        <f>('Lions Gate financial'!P65-'Lions Gate financial'!O65)/'Lions Gate financial'!O65</f>
        <v>0.8597842835130971</v>
      </c>
      <c r="M20" s="68">
        <f t="shared" si="1"/>
        <v>0.15540664235915116</v>
      </c>
    </row>
    <row r="21" spans="1:13" x14ac:dyDescent="0.25">
      <c r="A21" s="49" t="s">
        <v>74</v>
      </c>
      <c r="B21" s="38">
        <f>('Netflix Financials'!M71-'Netflix Financials'!L71)/'Netflix Financials'!L71</f>
        <v>0.83604327448285587</v>
      </c>
      <c r="C21" s="38">
        <f>('Netflix Financials'!N71-'Netflix Financials'!M71)/'Netflix Financials'!M71</f>
        <v>0.86298640727504439</v>
      </c>
      <c r="D21" s="38">
        <f>('Netflix Financials'!O71-'Netflix Financials'!N71)/'Netflix Financials'!N71</f>
        <v>1.5271068014777849</v>
      </c>
      <c r="E21" s="34">
        <f>('Netflix Financials'!P71-'Netflix Financials'!O71)/'Netflix Financials'!O71</f>
        <v>0.68145260579652955</v>
      </c>
      <c r="F21" s="68">
        <f t="shared" si="0"/>
        <v>0.97689727225805367</v>
      </c>
      <c r="H21" s="49" t="s">
        <v>75</v>
      </c>
      <c r="I21" s="53">
        <f>('Lions Gate financial'!M66-'Lions Gate financial'!L66)/'Lions Gate financial'!L66</f>
        <v>-0.1356479217603912</v>
      </c>
      <c r="J21" s="53">
        <f>('Lions Gate financial'!N66-'Lions Gate financial'!M66)/'Lions Gate financial'!M66</f>
        <v>1.4289054838953006</v>
      </c>
      <c r="K21" s="53">
        <f>('Lions Gate financial'!O66-'Lions Gate financial'!N66)/'Lions Gate financial'!N66</f>
        <v>-0.63354037267080743</v>
      </c>
      <c r="L21" s="54">
        <f>('Lions Gate financial'!P66-'Lions Gate financial'!O66)/'Lions Gate financial'!O66</f>
        <v>7.3728813559322033</v>
      </c>
      <c r="M21" s="68">
        <f t="shared" si="1"/>
        <v>2.0081496363490765</v>
      </c>
    </row>
    <row r="22" spans="1:13" x14ac:dyDescent="0.25">
      <c r="A22" s="49" t="s">
        <v>73</v>
      </c>
      <c r="B22" s="38">
        <f>('Netflix Financials'!M72-'Netflix Financials'!L72)/'Netflix Financials'!L72</f>
        <v>2.8364685096653504</v>
      </c>
      <c r="C22" s="38">
        <f>('Netflix Financials'!N72-'Netflix Financials'!M72)/'Netflix Financials'!M72</f>
        <v>-1.9970065963239378</v>
      </c>
      <c r="D22" s="38">
        <f>('Netflix Financials'!O72-'Netflix Financials'!N72)/'Netflix Financials'!N72</f>
        <v>-1.2067166612324747</v>
      </c>
      <c r="E22" s="34">
        <f>('Netflix Financials'!P72-'Netflix Financials'!O72)/'Netflix Financials'!O72</f>
        <v>11.836159305993691</v>
      </c>
      <c r="F22" s="68">
        <f t="shared" si="0"/>
        <v>2.8672261395256573</v>
      </c>
      <c r="H22" s="49" t="s">
        <v>74</v>
      </c>
      <c r="I22" s="53">
        <f>('Lions Gate financial'!M67-'Lions Gate financial'!L67)/'Lions Gate financial'!L67</f>
        <v>-0.51495982750371272</v>
      </c>
      <c r="J22" s="53">
        <f>('Lions Gate financial'!N67-'Lions Gate financial'!M67)/'Lions Gate financial'!M67</f>
        <v>0.85887417048861103</v>
      </c>
      <c r="K22" s="53">
        <f>('Lions Gate financial'!O67-'Lions Gate financial'!N67)/'Lions Gate financial'!N67</f>
        <v>0.38869745003445899</v>
      </c>
      <c r="L22" s="54">
        <f>('Lions Gate financial'!P67-'Lions Gate financial'!O67)/'Lions Gate financial'!O67</f>
        <v>0.31612903225806449</v>
      </c>
      <c r="M22" s="68">
        <f t="shared" si="1"/>
        <v>0.26218520631935543</v>
      </c>
    </row>
    <row r="23" spans="1:13" x14ac:dyDescent="0.25">
      <c r="A23" s="49" t="s">
        <v>72</v>
      </c>
      <c r="B23" s="38" t="s">
        <v>3</v>
      </c>
      <c r="C23" s="38" t="s">
        <v>3</v>
      </c>
      <c r="D23" s="38" t="s">
        <v>3</v>
      </c>
      <c r="E23" s="34" t="s">
        <v>3</v>
      </c>
      <c r="F23" s="68"/>
      <c r="H23" s="49" t="s">
        <v>73</v>
      </c>
      <c r="I23" s="53">
        <f>('Lions Gate financial'!M68-'Lions Gate financial'!L68)/'Lions Gate financial'!L68</f>
        <v>1.4196730641540456</v>
      </c>
      <c r="J23" s="53">
        <f>('Lions Gate financial'!N68-'Lions Gate financial'!M68)/'Lions Gate financial'!M68</f>
        <v>0.94571850458008289</v>
      </c>
      <c r="K23" s="53">
        <f>('Lions Gate financial'!O68-'Lions Gate financial'!N68)/'Lions Gate financial'!N68</f>
        <v>1.145063801208865</v>
      </c>
      <c r="L23" s="54">
        <f>('Lions Gate financial'!P68-'Lions Gate financial'!O68)/'Lions Gate financial'!O68</f>
        <v>-0.97338760175328742</v>
      </c>
      <c r="M23" s="68">
        <f t="shared" si="1"/>
        <v>0.63426694204742651</v>
      </c>
    </row>
    <row r="24" spans="1:13" x14ac:dyDescent="0.25">
      <c r="A24" s="49" t="s">
        <v>71</v>
      </c>
      <c r="B24" s="38" t="s">
        <v>3</v>
      </c>
      <c r="C24" s="38" t="s">
        <v>3</v>
      </c>
      <c r="D24" s="38" t="s">
        <v>3</v>
      </c>
      <c r="E24" s="34" t="s">
        <v>3</v>
      </c>
      <c r="F24" s="68"/>
      <c r="H24" s="49" t="s">
        <v>12</v>
      </c>
      <c r="I24" s="53" t="s">
        <v>3</v>
      </c>
      <c r="J24" s="53">
        <f>('Lions Gate financial'!N69-'Lions Gate financial'!M69)/'Lions Gate financial'!M69</f>
        <v>-0.96004794246903713</v>
      </c>
      <c r="K24" s="53">
        <f>('Lions Gate financial'!O69-'Lions Gate financial'!N69)/'Lions Gate financial'!N69</f>
        <v>17.333333333333332</v>
      </c>
      <c r="L24" s="54">
        <f>('Lions Gate financial'!P69-'Lions Gate financial'!O69)/'Lions Gate financial'!O69</f>
        <v>1.8</v>
      </c>
      <c r="M24" s="68">
        <f t="shared" si="1"/>
        <v>6.0577617969547655</v>
      </c>
    </row>
    <row r="25" spans="1:13" ht="15.75" thickBot="1" x14ac:dyDescent="0.3">
      <c r="A25" s="50" t="s">
        <v>70</v>
      </c>
      <c r="B25" s="35">
        <f>('Netflix Financials'!M75-'Netflix Financials'!L75)/'Netflix Financials'!L75</f>
        <v>0.52215001508467807</v>
      </c>
      <c r="C25" s="35">
        <f>('Netflix Financials'!N75-'Netflix Financials'!M75)/'Netflix Financials'!M75</f>
        <v>1.9940807165279251</v>
      </c>
      <c r="D25" s="35">
        <f>('Netflix Financials'!O75-'Netflix Financials'!N75)/'Netflix Financials'!N75</f>
        <v>1.167076677001909</v>
      </c>
      <c r="E25" s="36">
        <f>('Netflix Financials'!P75-'Netflix Financials'!O75)/'Netflix Financials'!O75</f>
        <v>0.54132369914517497</v>
      </c>
      <c r="F25" s="69">
        <f t="shared" si="0"/>
        <v>1.0561577769399217</v>
      </c>
      <c r="H25" s="49" t="s">
        <v>110</v>
      </c>
      <c r="I25" s="53">
        <f>('Lions Gate financial'!M70-'Lions Gate financial'!L70)/'Lions Gate financial'!L70</f>
        <v>-0.15713550698401205</v>
      </c>
      <c r="J25" s="53">
        <f>('Lions Gate financial'!N70-'Lions Gate financial'!M70)/'Lions Gate financial'!M70</f>
        <v>-0.75808821867016341</v>
      </c>
      <c r="K25" s="53">
        <f>('Lions Gate financial'!O70-'Lions Gate financial'!N70)/'Lions Gate financial'!N70</f>
        <v>3.9345794392523366</v>
      </c>
      <c r="L25" s="54">
        <f>('Lions Gate financial'!P70-'Lions Gate financial'!O70)/'Lions Gate financial'!O70</f>
        <v>-0.1875</v>
      </c>
      <c r="M25" s="68">
        <f t="shared" si="1"/>
        <v>0.70796392839954025</v>
      </c>
    </row>
    <row r="26" spans="1:13" ht="15.75" thickBot="1" x14ac:dyDescent="0.3">
      <c r="A26" s="37"/>
      <c r="B26" s="38"/>
      <c r="C26" s="38"/>
      <c r="D26" s="38"/>
      <c r="E26" s="38"/>
      <c r="F26" s="20"/>
      <c r="H26" s="50" t="s">
        <v>70</v>
      </c>
      <c r="I26" s="55">
        <f>('Lions Gate financial'!M73-'Lions Gate financial'!L73)/'Lions Gate financial'!L73</f>
        <v>-0.7237940158762467</v>
      </c>
      <c r="J26" s="55">
        <f>('Lions Gate financial'!N73-'Lions Gate financial'!M73)/'Lions Gate financial'!M73</f>
        <v>-0.70523212969786297</v>
      </c>
      <c r="K26" s="55">
        <f>('Lions Gate financial'!O73-'Lions Gate financial'!N73)/'Lions Gate financial'!N73</f>
        <v>31</v>
      </c>
      <c r="L26" s="56">
        <f>('Lions Gate financial'!P73-'Lions Gate financial'!O73)/'Lions Gate financial'!O73</f>
        <v>-0.39991554054054052</v>
      </c>
      <c r="M26" s="69">
        <f t="shared" si="1"/>
        <v>7.2927645784713375</v>
      </c>
    </row>
    <row r="27" spans="1:13" x14ac:dyDescent="0.25">
      <c r="A27" s="37"/>
      <c r="B27" s="38"/>
      <c r="C27" s="39"/>
      <c r="D27" s="39"/>
      <c r="E27" s="39"/>
      <c r="F27" s="20"/>
    </row>
    <row r="28" spans="1:13" ht="15.75" thickBot="1" x14ac:dyDescent="0.3">
      <c r="A28" s="37"/>
      <c r="B28" s="38"/>
      <c r="C28" s="39"/>
      <c r="D28" s="39"/>
      <c r="E28" s="39"/>
      <c r="F28" s="20"/>
    </row>
    <row r="29" spans="1:13" ht="15.75" thickBot="1" x14ac:dyDescent="0.3">
      <c r="A29" s="40"/>
      <c r="B29" s="192" t="s">
        <v>131</v>
      </c>
      <c r="C29" s="193"/>
      <c r="D29" s="193"/>
      <c r="E29" s="194"/>
      <c r="F29" s="20"/>
      <c r="I29" s="192" t="s">
        <v>130</v>
      </c>
      <c r="J29" s="193"/>
      <c r="K29" s="193"/>
      <c r="L29" s="194"/>
    </row>
    <row r="30" spans="1:13" ht="15.75" thickBot="1" x14ac:dyDescent="0.3">
      <c r="A30" s="41"/>
      <c r="B30" s="38"/>
      <c r="C30" s="42"/>
      <c r="D30" s="42"/>
      <c r="E30" s="42"/>
      <c r="F30" s="20"/>
    </row>
    <row r="31" spans="1:13" ht="15.75" thickBot="1" x14ac:dyDescent="0.3">
      <c r="A31" s="20"/>
      <c r="B31" s="20"/>
      <c r="C31" s="20"/>
      <c r="D31" s="20"/>
      <c r="E31" s="20"/>
      <c r="F31" s="20"/>
      <c r="I31" s="43" t="s">
        <v>124</v>
      </c>
      <c r="J31" s="44" t="s">
        <v>125</v>
      </c>
      <c r="K31" s="44" t="s">
        <v>126</v>
      </c>
      <c r="L31" s="45" t="s">
        <v>127</v>
      </c>
    </row>
    <row r="32" spans="1:13" ht="15.75" thickBot="1" x14ac:dyDescent="0.3">
      <c r="B32" s="43" t="s">
        <v>124</v>
      </c>
      <c r="C32" s="44" t="s">
        <v>125</v>
      </c>
      <c r="D32" s="44" t="s">
        <v>126</v>
      </c>
      <c r="E32" s="45" t="s">
        <v>127</v>
      </c>
      <c r="H32" s="46" t="s">
        <v>35</v>
      </c>
      <c r="I32" s="51">
        <f>('Lions Gate financial'!M9-'Lions Gate financial'!L9)/'Lions Gate financial'!L9</f>
        <v>-0.43774404315608051</v>
      </c>
      <c r="J32" s="51">
        <f>('Lions Gate financial'!N9-'Lions Gate financial'!M9)/'Lions Gate financial'!M9</f>
        <v>4.5747982404488932</v>
      </c>
      <c r="K32" s="51">
        <f>('Lions Gate financial'!O9-'Lions Gate financial'!N9)/'Lions Gate financial'!N9</f>
        <v>0.17458838148493322</v>
      </c>
      <c r="L32" s="52">
        <f>('Lions Gate financial'!P9-'Lions Gate financial'!O9)/'Lions Gate financial'!O9</f>
        <v>-0.51256281407035176</v>
      </c>
    </row>
    <row r="33" spans="1:12" x14ac:dyDescent="0.25">
      <c r="A33" s="46" t="s">
        <v>35</v>
      </c>
      <c r="B33" s="51">
        <f>('Netflix Financials'!M13-'Netflix Financials'!L13)/'Netflix Financials'!L13</f>
        <v>-0.18888428313243025</v>
      </c>
      <c r="C33" s="51">
        <f>('Netflix Financials'!N13-'Netflix Financials'!M13)/'Netflix Financials'!M13</f>
        <v>0.92344042148413441</v>
      </c>
      <c r="D33" s="51">
        <f>('Netflix Financials'!O13-'Netflix Financials'!N13)/'Netflix Financials'!N13</f>
        <v>0.34422903540639688</v>
      </c>
      <c r="E33" s="52">
        <f>('Netflix Financials'!P13-'Netflix Financials'!O13)/'Netflix Financials'!O13</f>
        <v>0.3225614662129202</v>
      </c>
      <c r="H33" s="49" t="s">
        <v>33</v>
      </c>
      <c r="I33" s="53">
        <f>('Lions Gate financial'!M11-'Lions Gate financial'!L11)/'Lions Gate financial'!L11</f>
        <v>-0.43774404315608051</v>
      </c>
      <c r="J33" s="53">
        <f>('Lions Gate financial'!N11-'Lions Gate financial'!M11)/'Lions Gate financial'!M11</f>
        <v>4.5747982404488932</v>
      </c>
      <c r="K33" s="53">
        <f>('Lions Gate financial'!O11-'Lions Gate financial'!N11)/'Lions Gate financial'!N11</f>
        <v>0.17458838148493322</v>
      </c>
      <c r="L33" s="54">
        <f>('Lions Gate financial'!P11-'Lions Gate financial'!O11)/'Lions Gate financial'!O11</f>
        <v>-0.51256281407035176</v>
      </c>
    </row>
    <row r="34" spans="1:12" x14ac:dyDescent="0.25">
      <c r="A34" s="49" t="s">
        <v>34</v>
      </c>
      <c r="B34" s="53">
        <f>('Netflix Financials'!M14-'Netflix Financials'!L14)/'Netflix Financials'!L14</f>
        <v>-0.46905870738055588</v>
      </c>
      <c r="C34" s="53" t="s">
        <v>3</v>
      </c>
      <c r="D34" s="53" t="s">
        <v>3</v>
      </c>
      <c r="E34" s="54" t="s">
        <v>3</v>
      </c>
      <c r="H34" s="49" t="s">
        <v>32</v>
      </c>
      <c r="I34" s="53">
        <f>('Lions Gate financial'!M12-'Lions Gate financial'!L12)/'Lions Gate financial'!L12</f>
        <v>0.1764912320043055</v>
      </c>
      <c r="J34" s="53">
        <f>('Lions Gate financial'!N12-'Lions Gate financial'!M12)/'Lions Gate financial'!M12</f>
        <v>-0.13455682848099998</v>
      </c>
      <c r="K34" s="53">
        <f>('Lions Gate financial'!O12-'Lions Gate financial'!N12)/'Lions Gate financial'!N12</f>
        <v>0.19744521528466027</v>
      </c>
      <c r="L34" s="54">
        <f>('Lions Gate financial'!P12-'Lions Gate financial'!O12)/'Lions Gate financial'!O12</f>
        <v>-0.3158911164244988</v>
      </c>
    </row>
    <row r="35" spans="1:12" x14ac:dyDescent="0.25">
      <c r="A35" s="49" t="s">
        <v>33</v>
      </c>
      <c r="B35" s="53">
        <f>('Netflix Financials'!M15-'Netflix Financials'!L15)/'Netflix Financials'!L15</f>
        <v>-0.24967726439651797</v>
      </c>
      <c r="C35" s="53">
        <f>('Netflix Financials'!N15-'Netflix Financials'!M15)/'Netflix Financials'!M15</f>
        <v>0.62811414583840408</v>
      </c>
      <c r="D35" s="53">
        <f>('Netflix Financials'!O15-'Netflix Financials'!N15)/'Netflix Financials'!N15</f>
        <v>0.34422903540639688</v>
      </c>
      <c r="E35" s="54">
        <f>('Netflix Financials'!P15-'Netflix Financials'!O15)/'Netflix Financials'!O15</f>
        <v>0.3225614662129202</v>
      </c>
      <c r="H35" s="49" t="s">
        <v>104</v>
      </c>
      <c r="I35" s="53" t="s">
        <v>3</v>
      </c>
      <c r="J35" s="53" t="s">
        <v>3</v>
      </c>
      <c r="K35" s="53" t="s">
        <v>3</v>
      </c>
      <c r="L35" s="54">
        <f>('Lions Gate financial'!P13-'Lions Gate financial'!O13)/'Lions Gate financial'!O13</f>
        <v>-1.9704433497536946E-2</v>
      </c>
    </row>
    <row r="36" spans="1:12" x14ac:dyDescent="0.25">
      <c r="A36" s="49" t="s">
        <v>29</v>
      </c>
      <c r="B36" s="53">
        <f>('Netflix Financials'!M19-'Netflix Financials'!L19)/'Netflix Financials'!L19</f>
        <v>0.27726669069646359</v>
      </c>
      <c r="C36" s="53">
        <f>('Netflix Financials'!N19-'Netflix Financials'!M19)/'Netflix Financials'!M19</f>
        <v>0.21589566209432864</v>
      </c>
      <c r="D36" s="53">
        <f>('Netflix Financials'!O19-'Netflix Financials'!N19)/'Netflix Financials'!N19</f>
        <v>0.21713103642345372</v>
      </c>
      <c r="E36" s="54">
        <f>('Netflix Financials'!P19-'Netflix Financials'!O19)/'Netflix Financials'!O19</f>
        <v>-1</v>
      </c>
      <c r="H36" s="49" t="s">
        <v>29</v>
      </c>
      <c r="I36" s="53">
        <f>('Lions Gate financial'!M14-'Lions Gate financial'!L14)/'Lions Gate financial'!L14</f>
        <v>0.15869218500797447</v>
      </c>
      <c r="J36" s="53">
        <f>('Lions Gate financial'!N14-'Lions Gate financial'!M14)/'Lions Gate financial'!M14</f>
        <v>157.43083275980729</v>
      </c>
      <c r="K36" s="53">
        <f>('Lions Gate financial'!O14-'Lions Gate financial'!N14)/'Lions Gate financial'!N14</f>
        <v>-0.3759774109470026</v>
      </c>
      <c r="L36" s="54">
        <f>('Lions Gate financial'!P14-'Lions Gate financial'!O14)/'Lions Gate financial'!O14</f>
        <v>0.55342847198050815</v>
      </c>
    </row>
    <row r="37" spans="1:12" x14ac:dyDescent="0.25">
      <c r="A37" s="49" t="s">
        <v>28</v>
      </c>
      <c r="B37" s="53">
        <f>('Netflix Financials'!M20-'Netflix Financials'!L20)/'Netflix Financials'!L20</f>
        <v>5.3103736487083567E-2</v>
      </c>
      <c r="C37" s="53">
        <f>('Netflix Financials'!N20-'Netflix Financials'!M20)/'Netflix Financials'!M20</f>
        <v>0.34083633157823612</v>
      </c>
      <c r="D37" s="53">
        <f>('Netflix Financials'!O20-'Netflix Financials'!N20)/'Netflix Financials'!N20</f>
        <v>0.26390715274914883</v>
      </c>
      <c r="E37" s="54">
        <f>('Netflix Financials'!P20-'Netflix Financials'!O20)/'Netflix Financials'!O20</f>
        <v>-0.36265546126601289</v>
      </c>
      <c r="H37" s="49" t="s">
        <v>28</v>
      </c>
      <c r="I37" s="53">
        <f>('Lions Gate financial'!M15-'Lions Gate financial'!L15)/'Lions Gate financial'!L15</f>
        <v>0.11318192531228531</v>
      </c>
      <c r="J37" s="53">
        <f>('Lions Gate financial'!N15-'Lions Gate financial'!M15)/'Lions Gate financial'!M15</f>
        <v>0.52296932168222166</v>
      </c>
      <c r="K37" s="53">
        <f>('Lions Gate financial'!O15-'Lions Gate financial'!N15)/'Lions Gate financial'!N15</f>
        <v>4.8923331755797446E-2</v>
      </c>
      <c r="L37" s="54">
        <f>('Lions Gate financial'!P15-'Lions Gate financial'!O15)/'Lions Gate financial'!O15</f>
        <v>-0.21358073430714566</v>
      </c>
    </row>
    <row r="38" spans="1:12" x14ac:dyDescent="0.25">
      <c r="A38" s="49" t="s">
        <v>27</v>
      </c>
      <c r="B38" s="53">
        <f>('Netflix Financials'!M21-'Netflix Financials'!L21)/'Netflix Financials'!L21</f>
        <v>0.15686616053258787</v>
      </c>
      <c r="C38" s="53">
        <f>('Netflix Financials'!N21-'Netflix Financials'!M21)/'Netflix Financials'!M21</f>
        <v>0.17740229598019847</v>
      </c>
      <c r="D38" s="53">
        <f>('Netflix Financials'!O21-'Netflix Financials'!N21)/'Netflix Financials'!N21</f>
        <v>0.22703978989984686</v>
      </c>
      <c r="E38" s="54">
        <f>('Netflix Financials'!P21-'Netflix Financials'!O21)/'Netflix Financials'!O21</f>
        <v>0.24710981189628878</v>
      </c>
      <c r="H38" s="49" t="s">
        <v>27</v>
      </c>
      <c r="I38" s="53">
        <f>('Lions Gate financial'!M16-'Lions Gate financial'!L16)/'Lions Gate financial'!L16</f>
        <v>0.35940256737847537</v>
      </c>
      <c r="J38" s="53">
        <f>('Lions Gate financial'!N16-'Lions Gate financial'!M16)/'Lions Gate financial'!M16</f>
        <v>1.3070554275101256</v>
      </c>
      <c r="K38" s="53">
        <f>('Lions Gate financial'!O16-'Lions Gate financial'!N16)/'Lions Gate financial'!N16</f>
        <v>0.21241513094083414</v>
      </c>
      <c r="L38" s="54">
        <f>('Lions Gate financial'!P16-'Lions Gate financial'!O16)/'Lions Gate financial'!O16</f>
        <v>0.1852</v>
      </c>
    </row>
    <row r="39" spans="1:12" x14ac:dyDescent="0.25">
      <c r="A39" s="49" t="s">
        <v>26</v>
      </c>
      <c r="B39" s="53">
        <f>('Netflix Financials'!M22-'Netflix Financials'!L22)/'Netflix Financials'!L22</f>
        <v>-1.0549998991074372E-2</v>
      </c>
      <c r="C39" s="53">
        <f>('Netflix Financials'!N22-'Netflix Financials'!M22)/'Netflix Financials'!M22</f>
        <v>9.3827857067594805E-2</v>
      </c>
      <c r="D39" s="53">
        <f>('Netflix Financials'!O22-'Netflix Financials'!N22)/'Netflix Financials'!N22</f>
        <v>0.14513041694892082</v>
      </c>
      <c r="E39" s="54">
        <f>('Netflix Financials'!P22-'Netflix Financials'!O22)/'Netflix Financials'!O22</f>
        <v>0.12885631405707712</v>
      </c>
      <c r="H39" s="49" t="s">
        <v>26</v>
      </c>
      <c r="I39" s="53">
        <f>('Lions Gate financial'!M17-'Lions Gate financial'!L17)/'Lions Gate financial'!L17</f>
        <v>0.1764073969869811</v>
      </c>
      <c r="J39" s="53">
        <f>('Lions Gate financial'!N17-'Lions Gate financial'!M17)/'Lions Gate financial'!M17</f>
        <v>-0.11510196982215072</v>
      </c>
      <c r="K39" s="53">
        <f>('Lions Gate financial'!O17-'Lions Gate financial'!N17)/'Lions Gate financial'!N17</f>
        <v>1.1695331695331694</v>
      </c>
      <c r="L39" s="54">
        <f>('Lions Gate financial'!P17-'Lions Gate financial'!O17)/'Lions Gate financial'!O17</f>
        <v>0.59682899207248019</v>
      </c>
    </row>
    <row r="40" spans="1:12" x14ac:dyDescent="0.25">
      <c r="A40" s="49" t="s">
        <v>25</v>
      </c>
      <c r="B40" s="53">
        <f>('Netflix Financials'!M23-'Netflix Financials'!L23)/'Netflix Financials'!L23</f>
        <v>0.44393121583281436</v>
      </c>
      <c r="C40" s="53">
        <f>('Netflix Financials'!N23-'Netflix Financials'!M23)/'Netflix Financials'!M23</f>
        <v>0.27560055112921583</v>
      </c>
      <c r="D40" s="53">
        <f>('Netflix Financials'!O23-'Netflix Financials'!N23)/'Netflix Financials'!N23</f>
        <v>0.30956719389863618</v>
      </c>
      <c r="E40" s="54">
        <f>('Netflix Financials'!P23-'Netflix Financials'!O23)/'Netflix Financials'!O23</f>
        <v>0.35129494287333157</v>
      </c>
      <c r="H40" s="49" t="s">
        <v>25</v>
      </c>
      <c r="I40" s="53">
        <f>('Lions Gate financial'!M18-'Lions Gate financial'!L18)/'Lions Gate financial'!L18</f>
        <v>0.62785636561479874</v>
      </c>
      <c r="J40" s="53">
        <f>('Lions Gate financial'!N18-'Lions Gate financial'!M18)/'Lions Gate financial'!M18</f>
        <v>2.8147704222754935</v>
      </c>
      <c r="K40" s="53">
        <f>('Lions Gate financial'!O18-'Lions Gate financial'!N18)/'Lions Gate financial'!N18</f>
        <v>-2.2960725075528703E-2</v>
      </c>
      <c r="L40" s="54">
        <f>('Lions Gate financial'!P18-'Lions Gate financial'!O18)/'Lions Gate financial'!O18</f>
        <v>-3.9579468150896725E-2</v>
      </c>
    </row>
    <row r="41" spans="1:12" x14ac:dyDescent="0.25">
      <c r="A41" s="49" t="s">
        <v>24</v>
      </c>
      <c r="B41" s="53">
        <f>('Netflix Financials'!M24-'Netflix Financials'!L24)/'Netflix Financials'!L24</f>
        <v>0.68671682568492931</v>
      </c>
      <c r="C41" s="53">
        <f>('Netflix Financials'!N24-'Netflix Financials'!M24)/'Netflix Financials'!M24</f>
        <v>0.4256723588325852</v>
      </c>
      <c r="D41" s="53">
        <f>('Netflix Financials'!O24-'Netflix Financials'!N24)/'Netflix Financials'!N24</f>
        <v>0.44256818616813814</v>
      </c>
      <c r="E41" s="54">
        <f>('Netflix Financials'!P24-'Netflix Financials'!O24)/'Netflix Financials'!O24</f>
        <v>0.63790136645029449</v>
      </c>
      <c r="H41" s="49" t="s">
        <v>105</v>
      </c>
      <c r="I41" s="53" t="s">
        <v>3</v>
      </c>
      <c r="J41" s="53" t="s">
        <v>3</v>
      </c>
      <c r="K41" s="53">
        <f>('Lions Gate financial'!O19-'Lions Gate financial'!N19)/'Lions Gate financial'!N19</f>
        <v>4.3890043890043888E-3</v>
      </c>
      <c r="L41" s="54">
        <f>('Lions Gate financial'!P19-'Lions Gate financial'!O19)/'Lions Gate financial'!O19</f>
        <v>-0.24816007359705611</v>
      </c>
    </row>
    <row r="42" spans="1:12" x14ac:dyDescent="0.25">
      <c r="A42" s="49" t="s">
        <v>22</v>
      </c>
      <c r="B42" s="53">
        <f>('Netflix Financials'!M26-'Netflix Financials'!L26)/'Netflix Financials'!L26</f>
        <v>0.19880829488556961</v>
      </c>
      <c r="C42" s="53">
        <f>('Netflix Financials'!N26-'Netflix Financials'!M26)/'Netflix Financials'!M26</f>
        <v>0.91055962837887316</v>
      </c>
      <c r="D42" s="53">
        <f>('Netflix Financials'!O26-'Netflix Financials'!N26)/'Netflix Financials'!N26</f>
        <v>0.38129322146406075</v>
      </c>
      <c r="E42" s="54">
        <f>('Netflix Financials'!P26-'Netflix Financials'!O26)/'Netflix Financials'!O26</f>
        <v>2.0270024305517018</v>
      </c>
      <c r="H42" s="49" t="s">
        <v>106</v>
      </c>
      <c r="I42" s="53">
        <f>('Lions Gate financial'!M20-'Lions Gate financial'!L20)/'Lions Gate financial'!L20</f>
        <v>6.7311237073017435E-2</v>
      </c>
      <c r="J42" s="53">
        <f>('Lions Gate financial'!N20-'Lions Gate financial'!M20)/'Lions Gate financial'!M20</f>
        <v>8.1516820906785706E-2</v>
      </c>
      <c r="K42" s="53">
        <f>('Lions Gate financial'!O20-'Lions Gate financial'!N20)/'Lions Gate financial'!N20</f>
        <v>-0.11618277010947169</v>
      </c>
      <c r="L42" s="54">
        <f>('Lions Gate financial'!P20-'Lions Gate financial'!O20)/'Lions Gate financial'!O20</f>
        <v>-8.5465022349076422E-2</v>
      </c>
    </row>
    <row r="43" spans="1:12" x14ac:dyDescent="0.25">
      <c r="A43" s="49" t="s">
        <v>21</v>
      </c>
      <c r="B43" s="53">
        <f>('Netflix Financials'!M27-'Netflix Financials'!L27)/'Netflix Financials'!L27</f>
        <v>0.33164576911733962</v>
      </c>
      <c r="C43" s="53">
        <f>('Netflix Financials'!N27-'Netflix Financials'!M27)/'Netflix Financials'!M27</f>
        <v>0.39937350082176498</v>
      </c>
      <c r="D43" s="53">
        <f>('Netflix Financials'!O27-'Netflix Financials'!N27)/'Netflix Financials'!N27</f>
        <v>0.36615749585199231</v>
      </c>
      <c r="E43" s="54">
        <f>('Netflix Financials'!P27-'Netflix Financials'!O27)/'Netflix Financials'!O27</f>
        <v>0.30804607613650364</v>
      </c>
      <c r="H43" s="49" t="s">
        <v>24</v>
      </c>
      <c r="I43" s="53">
        <f>('Lions Gate financial'!M21-'Lions Gate financial'!L21)/'Lions Gate financial'!L21</f>
        <v>0.68291142166001573</v>
      </c>
      <c r="J43" s="53">
        <f>('Lions Gate financial'!N21-'Lions Gate financial'!M21)/'Lions Gate financial'!M21</f>
        <v>7.6924358669181334</v>
      </c>
      <c r="K43" s="53">
        <f>('Lions Gate financial'!O21-'Lions Gate financial'!N21)/'Lions Gate financial'!N21</f>
        <v>-1.4471688574317493E-2</v>
      </c>
      <c r="L43" s="54">
        <f>('Lions Gate financial'!P21-'Lions Gate financial'!O21)/'Lions Gate financial'!O21</f>
        <v>5.6855829859997859E-3</v>
      </c>
    </row>
    <row r="44" spans="1:12" x14ac:dyDescent="0.25">
      <c r="A44" s="49" t="s">
        <v>20</v>
      </c>
      <c r="B44" s="53">
        <f>('Netflix Financials'!M28-'Netflix Financials'!L28)/'Netflix Financials'!L28</f>
        <v>0.29601401442063574</v>
      </c>
      <c r="C44" s="53">
        <f>('Netflix Financials'!N28-'Netflix Financials'!M28)/'Netflix Financials'!M28</f>
        <v>0.32161285393575384</v>
      </c>
      <c r="D44" s="53">
        <f>('Netflix Financials'!O28-'Netflix Financials'!N28)/'Netflix Financials'!N28</f>
        <v>0.54213820816454183</v>
      </c>
      <c r="E44" s="54">
        <f>('Netflix Financials'!P28-'Netflix Financials'!O28)/'Netflix Financials'!O28</f>
        <v>-0.35183996186089606</v>
      </c>
      <c r="H44" s="49" t="s">
        <v>23</v>
      </c>
      <c r="I44" s="53">
        <f>('Lions Gate financial'!M22-'Lions Gate financial'!L22)/'Lions Gate financial'!L22</f>
        <v>0.99158287921815436</v>
      </c>
      <c r="J44" s="53">
        <f>('Lions Gate financial'!N22-'Lions Gate financial'!M22)/'Lions Gate financial'!M22</f>
        <v>-0.87153959791894153</v>
      </c>
      <c r="K44" s="53">
        <f>('Lions Gate financial'!O22-'Lions Gate financial'!N22)/'Lions Gate financial'!N22</f>
        <v>0.94</v>
      </c>
      <c r="L44" s="54">
        <f>('Lions Gate financial'!P22-'Lions Gate financial'!O22)/'Lions Gate financial'!O22</f>
        <v>-0.48969072164948452</v>
      </c>
    </row>
    <row r="45" spans="1:12" x14ac:dyDescent="0.25">
      <c r="A45" s="49" t="s">
        <v>19</v>
      </c>
      <c r="B45" s="53">
        <f>('Netflix Financials'!M29-'Netflix Financials'!L29)/'Netflix Financials'!L29</f>
        <v>0.23413454521067809</v>
      </c>
      <c r="C45" s="53">
        <f>('Netflix Financials'!N29-'Netflix Financials'!M29)/'Netflix Financials'!M29</f>
        <v>0.14931818617704784</v>
      </c>
      <c r="D45" s="53">
        <f>('Netflix Financials'!O29-'Netflix Financials'!N29)/'Netflix Financials'!N29</f>
        <v>0.56578270361975225</v>
      </c>
      <c r="E45" s="54">
        <f>('Netflix Financials'!P29-'Netflix Financials'!O29)/'Netflix Financials'!O29</f>
        <v>0.19780633587040508</v>
      </c>
      <c r="H45" s="49" t="s">
        <v>22</v>
      </c>
      <c r="I45" s="53">
        <f>('Lions Gate financial'!M23-'Lions Gate financial'!L23)/'Lions Gate financial'!L23</f>
        <v>0.26765048202560554</v>
      </c>
      <c r="J45" s="53">
        <f>('Lions Gate financial'!N23-'Lions Gate financial'!M23)/'Lions Gate financial'!M23</f>
        <v>-0.30879168471199653</v>
      </c>
      <c r="K45" s="53">
        <f>('Lions Gate financial'!O23-'Lions Gate financial'!N23)/'Lions Gate financial'!N23</f>
        <v>-0.40350877192982454</v>
      </c>
      <c r="L45" s="54">
        <f>('Lions Gate financial'!P23-'Lions Gate financial'!O23)/'Lions Gate financial'!O23</f>
        <v>3.5882352941176472</v>
      </c>
    </row>
    <row r="46" spans="1:12" x14ac:dyDescent="0.25">
      <c r="A46" s="49" t="s">
        <v>18</v>
      </c>
      <c r="B46" s="53">
        <f>('Netflix Financials'!M30-'Netflix Financials'!L30)/'Netflix Financials'!L30</f>
        <v>0.40774562109566986</v>
      </c>
      <c r="C46" s="53">
        <f>('Netflix Financials'!N30-'Netflix Financials'!M30)/'Netflix Financials'!M30</f>
        <v>0.59434706930051817</v>
      </c>
      <c r="D46" s="53">
        <f>('Netflix Financials'!O30-'Netflix Financials'!N30)/'Netflix Financials'!N30</f>
        <v>0.51515738160675861</v>
      </c>
      <c r="E46" s="54">
        <v>0</v>
      </c>
      <c r="H46" s="49" t="s">
        <v>21</v>
      </c>
      <c r="I46" s="53">
        <f>('Lions Gate financial'!M24-'Lions Gate financial'!L24)/'Lions Gate financial'!L24</f>
        <v>0.17114330748652298</v>
      </c>
      <c r="J46" s="53">
        <f>('Lions Gate financial'!N24-'Lions Gate financial'!M24)/'Lions Gate financial'!M24</f>
        <v>1.3853925345246334</v>
      </c>
      <c r="K46" s="53">
        <f>('Lions Gate financial'!O24-'Lions Gate financial'!N24)/'Lions Gate financial'!N24</f>
        <v>-2.4932314149332929E-2</v>
      </c>
      <c r="L46" s="54">
        <f>('Lions Gate financial'!P24-'Lions Gate financial'!O24)/'Lions Gate financial'!O24</f>
        <v>-6.2302065212542931E-2</v>
      </c>
    </row>
    <row r="47" spans="1:12" x14ac:dyDescent="0.25">
      <c r="A47" s="49" t="s">
        <v>15</v>
      </c>
      <c r="B47" s="53">
        <f>('Netflix Financials'!M33-'Netflix Financials'!L33)/'Netflix Financials'!L33</f>
        <v>0.29990936760143683</v>
      </c>
      <c r="C47" s="53">
        <f>('Netflix Financials'!N33-'Netflix Financials'!M33)/'Netflix Financials'!M33</f>
        <v>0.17552695745014393</v>
      </c>
      <c r="D47" s="53">
        <f>('Netflix Financials'!O33-'Netflix Financials'!N33)/'Netflix Financials'!N33</f>
        <v>0.13674897420791071</v>
      </c>
      <c r="E47" s="54">
        <f>('Netflix Financials'!P33-'Netflix Financials'!O33)/'Netflix Financials'!O33</f>
        <v>0.13483423102752787</v>
      </c>
      <c r="H47" s="49" t="s">
        <v>20</v>
      </c>
      <c r="I47" s="53">
        <f>('Lions Gate financial'!M25-'Lions Gate financial'!L25)/'Lions Gate financial'!L25</f>
        <v>0.13602608332105162</v>
      </c>
      <c r="J47" s="53">
        <f>('Lions Gate financial'!N25-'Lions Gate financial'!M25)/'Lions Gate financial'!M25</f>
        <v>0.51708507855482422</v>
      </c>
      <c r="K47" s="53">
        <f>('Lions Gate financial'!O25-'Lions Gate financial'!N25)/'Lions Gate financial'!N25</f>
        <v>-0.218673647469459</v>
      </c>
      <c r="L47" s="54">
        <f>('Lions Gate financial'!P25-'Lions Gate financial'!O25)/'Lions Gate financial'!O25</f>
        <v>0.18650882287245923</v>
      </c>
    </row>
    <row r="48" spans="1:12" x14ac:dyDescent="0.25">
      <c r="A48" s="49" t="s">
        <v>14</v>
      </c>
      <c r="B48" s="53">
        <f>('Netflix Financials'!M34-'Netflix Financials'!L34)/'Netflix Financials'!L34</f>
        <v>0.29947467492288132</v>
      </c>
      <c r="C48" s="53">
        <f>('Netflix Financials'!N34-'Netflix Financials'!M34)/'Netflix Financials'!M34</f>
        <v>0.19178565129243369</v>
      </c>
      <c r="D48" s="53">
        <f>('Netflix Financials'!O34-'Netflix Financials'!N34)/'Netflix Financials'!N34</f>
        <v>0.18678187414110281</v>
      </c>
      <c r="E48" s="54">
        <f>('Netflix Financials'!P34-'Netflix Financials'!O34)/'Netflix Financials'!O34</f>
        <v>5.678400325558166E-2</v>
      </c>
      <c r="H48" s="49" t="s">
        <v>19</v>
      </c>
      <c r="I48" s="53">
        <f>('Lions Gate financial'!M26-'Lions Gate financial'!L26)/'Lions Gate financial'!L26</f>
        <v>0.13602608332105162</v>
      </c>
      <c r="J48" s="53">
        <f>('Lions Gate financial'!N26-'Lions Gate financial'!M26)/'Lions Gate financial'!M26</f>
        <v>0.51708507855482422</v>
      </c>
      <c r="K48" s="53">
        <f>('Lions Gate financial'!O26-'Lions Gate financial'!N26)/'Lions Gate financial'!N26</f>
        <v>-0.218673647469459</v>
      </c>
      <c r="L48" s="54">
        <f>('Lions Gate financial'!P26-'Lions Gate financial'!O26)/'Lions Gate financial'!O26</f>
        <v>0.18650882287245923</v>
      </c>
    </row>
    <row r="49" spans="1:12" x14ac:dyDescent="0.25">
      <c r="A49" s="49" t="s">
        <v>13</v>
      </c>
      <c r="B49" s="53">
        <f>('Netflix Financials'!M35-'Netflix Financials'!L35)/'Netflix Financials'!L35</f>
        <v>0.41872518830950317</v>
      </c>
      <c r="C49" s="53">
        <f>('Netflix Financials'!N35-'Netflix Financials'!M35)/'Netflix Financials'!M35</f>
        <v>0.93187609587817533</v>
      </c>
      <c r="D49" s="53">
        <f>('Netflix Financials'!O35-'Netflix Financials'!N35)/'Netflix Financials'!N35</f>
        <v>0.59399436750780688</v>
      </c>
      <c r="E49" s="54">
        <f>('Netflix Financials'!P35-'Netflix Financials'!O35)/'Netflix Financials'!O35</f>
        <v>0.42463102040548423</v>
      </c>
      <c r="H49" s="49" t="s">
        <v>17</v>
      </c>
      <c r="I49" s="53">
        <f>('Lions Gate financial'!M27-'Lions Gate financial'!L27)/'Lions Gate financial'!L27</f>
        <v>5.776377936413013E-2</v>
      </c>
      <c r="J49" s="53">
        <f>('Lions Gate financial'!N27-'Lions Gate financial'!M27)/'Lions Gate financial'!M27</f>
        <v>-0.45413963527550555</v>
      </c>
      <c r="K49" s="53">
        <f>('Lions Gate financial'!O27-'Lions Gate financial'!N27)/'Lions Gate financial'!N27</f>
        <v>-8.5598741855762744E-2</v>
      </c>
      <c r="L49" s="54">
        <f>('Lions Gate financial'!P27-'Lions Gate financial'!O27)/'Lions Gate financial'!O27</f>
        <v>0.39115479115479118</v>
      </c>
    </row>
    <row r="50" spans="1:12" x14ac:dyDescent="0.25">
      <c r="A50" s="49" t="s">
        <v>11</v>
      </c>
      <c r="B50" s="53">
        <f>('Netflix Financials'!M37-'Netflix Financials'!L37)/'Netflix Financials'!L37</f>
        <v>0.42213149261063126</v>
      </c>
      <c r="C50" s="53">
        <f>('Netflix Financials'!N37-'Netflix Financials'!M37)/'Netflix Financials'!M37</f>
        <v>0.17226901843873929</v>
      </c>
      <c r="D50" s="53">
        <f>('Netflix Financials'!O37-'Netflix Financials'!N37)/'Netflix Financials'!N37</f>
        <v>0.12213849067341752</v>
      </c>
      <c r="E50" s="54">
        <f>('Netflix Financials'!P37-'Netflix Financials'!O37)/'Netflix Financials'!O37</f>
        <v>0.22898229206557077</v>
      </c>
      <c r="H50" s="49" t="s">
        <v>15</v>
      </c>
      <c r="I50" s="53">
        <f>('Lions Gate financial'!M29-'Lions Gate financial'!L29)/'Lions Gate financial'!L29</f>
        <v>0.25340546159946842</v>
      </c>
      <c r="J50" s="53">
        <f>('Lions Gate financial'!N29-'Lions Gate financial'!M29)/'Lions Gate financial'!M29</f>
        <v>-0.28195963668311952</v>
      </c>
      <c r="K50" s="53">
        <f>('Lions Gate financial'!O29-'Lions Gate financial'!N29)/'Lions Gate financial'!N29</f>
        <v>2.4709735040190531E-2</v>
      </c>
      <c r="L50" s="54">
        <f>('Lions Gate financial'!P29-'Lions Gate financial'!O29)/'Lions Gate financial'!O29</f>
        <v>-0.19378268448576408</v>
      </c>
    </row>
    <row r="51" spans="1:12" x14ac:dyDescent="0.25">
      <c r="A51" s="49" t="s">
        <v>10</v>
      </c>
      <c r="B51" s="53">
        <f>('Netflix Financials'!M38-'Netflix Financials'!L38)/'Netflix Financials'!L38</f>
        <v>0.36686323422243028</v>
      </c>
      <c r="C51" s="53">
        <f>('Netflix Financials'!N38-'Netflix Financials'!M38)/'Netflix Financials'!M38</f>
        <v>0.41478452453100401</v>
      </c>
      <c r="D51" s="53">
        <f>('Netflix Financials'!O38-'Netflix Financials'!N38)/'Netflix Financials'!N38</f>
        <v>0.34378345989633968</v>
      </c>
      <c r="E51" s="54">
        <f>('Netflix Financials'!P38-'Netflix Financials'!O38)/'Netflix Financials'!O38</f>
        <v>0.27285974121361606</v>
      </c>
      <c r="H51" s="49" t="s">
        <v>14</v>
      </c>
      <c r="I51" s="53">
        <f>('Lions Gate financial'!M30-'Lions Gate financial'!L30)/'Lions Gate financial'!L30</f>
        <v>0.15077721831850111</v>
      </c>
      <c r="J51" s="53">
        <f>('Lions Gate financial'!N30-'Lions Gate financial'!M30)/'Lions Gate financial'!M30</f>
        <v>-0.20613892921064869</v>
      </c>
      <c r="K51" s="53">
        <f>('Lions Gate financial'!O30-'Lions Gate financial'!N30)/'Lions Gate financial'!N30</f>
        <v>0.42754009112965263</v>
      </c>
      <c r="L51" s="54">
        <f>('Lions Gate financial'!P30-'Lions Gate financial'!O30)/'Lions Gate financial'!O30</f>
        <v>-0.3150389653457138</v>
      </c>
    </row>
    <row r="52" spans="1:12" x14ac:dyDescent="0.25">
      <c r="A52" s="49" t="s">
        <v>9</v>
      </c>
      <c r="B52" s="53">
        <f>('Netflix Financials'!M39-'Netflix Financials'!L39)/'Netflix Financials'!L39</f>
        <v>0.20754161543286617</v>
      </c>
      <c r="C52" s="53">
        <f>('Netflix Financials'!N39-'Netflix Financials'!M39)/'Netflix Financials'!M39</f>
        <v>0.16979650723045053</v>
      </c>
      <c r="D52" s="53">
        <f>('Netflix Financials'!O39-'Netflix Financials'!N39)/'Netflix Financials'!N39</f>
        <v>0.23757237912232365</v>
      </c>
      <c r="E52" s="54">
        <f>('Netflix Financials'!P39-'Netflix Financials'!O39)/'Netflix Financials'!O39</f>
        <v>0.20636592244864826</v>
      </c>
      <c r="H52" s="49" t="s">
        <v>13</v>
      </c>
      <c r="I52" s="53">
        <f>('Lions Gate financial'!M31-'Lions Gate financial'!L31)/'Lions Gate financial'!L31</f>
        <v>0.31</v>
      </c>
      <c r="J52" s="53">
        <f>('Lions Gate financial'!N31-'Lions Gate financial'!M31)/'Lions Gate financial'!M31</f>
        <v>3.0241730279898218</v>
      </c>
      <c r="K52" s="53">
        <f>('Lions Gate financial'!O31-'Lions Gate financial'!N31)/'Lions Gate financial'!N31</f>
        <v>-0.16231425861523871</v>
      </c>
      <c r="L52" s="54">
        <f>('Lions Gate financial'!P31-'Lions Gate financial'!O31)/'Lions Gate financial'!O31</f>
        <v>0.12994414251207728</v>
      </c>
    </row>
    <row r="53" spans="1:12" x14ac:dyDescent="0.25">
      <c r="A53" s="49" t="s">
        <v>7</v>
      </c>
      <c r="B53" s="53">
        <f>('Netflix Financials'!M41-'Netflix Financials'!L41)/'Netflix Financials'!L41</f>
        <v>0.19818775380205431</v>
      </c>
      <c r="C53" s="53">
        <f>('Netflix Financials'!N41-'Netflix Financials'!M41)/'Netflix Financials'!M41</f>
        <v>0.53385823004191912</v>
      </c>
      <c r="D53" s="53">
        <f>('Netflix Financials'!O41-'Netflix Financials'!N41)/'Netflix Financials'!N41</f>
        <v>0.69968812044477646</v>
      </c>
      <c r="E53" s="54">
        <f>('Netflix Financials'!P41-'Netflix Financials'!O41)/'Netflix Financials'!O41</f>
        <v>0.63533715634292076</v>
      </c>
      <c r="H53" s="49" t="s">
        <v>108</v>
      </c>
      <c r="I53" s="53" t="s">
        <v>3</v>
      </c>
      <c r="J53" s="53" t="s">
        <v>3</v>
      </c>
      <c r="K53" s="53">
        <f>('Lions Gate financial'!O32-'Lions Gate financial'!N32)/'Lions Gate financial'!N32</f>
        <v>-0.68375901735231037</v>
      </c>
      <c r="L53" s="54">
        <f>('Lions Gate financial'!P32-'Lions Gate financial'!O32)/'Lions Gate financial'!O32</f>
        <v>-0.26448828606658448</v>
      </c>
    </row>
    <row r="54" spans="1:12" x14ac:dyDescent="0.25">
      <c r="A54" s="49" t="s">
        <v>6</v>
      </c>
      <c r="B54" s="53">
        <f>('Netflix Financials'!M42-'Netflix Financials'!L42)/'Netflix Financials'!L42</f>
        <v>0.12138634894245867</v>
      </c>
      <c r="C54" s="53">
        <f>('Netflix Financials'!N42-'Netflix Financials'!M42)/'Netflix Financials'!M42</f>
        <v>-0.57671162359724082</v>
      </c>
      <c r="D54" s="53">
        <f>('Netflix Financials'!O42-'Netflix Financials'!N42)/'Netflix Financials'!N42</f>
        <v>-4.7429099576786496E-2</v>
      </c>
      <c r="E54" s="54">
        <f>('Netflix Financials'!P42-'Netflix Financials'!O42)/'Netflix Financials'!O42</f>
        <v>0.20115412113165151</v>
      </c>
      <c r="H54" s="49" t="s">
        <v>12</v>
      </c>
      <c r="I54" s="53" t="s">
        <v>3</v>
      </c>
      <c r="J54" s="53">
        <f>('Lions Gate financial'!N34-'Lions Gate financial'!M34)/'Lions Gate financial'!M34</f>
        <v>3.6177851422259044E-2</v>
      </c>
      <c r="K54" s="53">
        <f>('Lions Gate financial'!O34-'Lions Gate financial'!N34)/'Lions Gate financial'!N34</f>
        <v>9.5948827292110878E-2</v>
      </c>
      <c r="L54" s="54">
        <f>('Lions Gate financial'!P34-'Lions Gate financial'!O34)/'Lions Gate financial'!O34</f>
        <v>0.2723735408560311</v>
      </c>
    </row>
    <row r="55" spans="1:12" x14ac:dyDescent="0.25">
      <c r="A55" s="49" t="s">
        <v>4</v>
      </c>
      <c r="B55" s="53">
        <f>('Netflix Financials'!M44-'Netflix Financials'!L44)/'Netflix Financials'!L44</f>
        <v>0.12855865606324407</v>
      </c>
      <c r="C55" s="53">
        <f>('Netflix Financials'!N44-'Netflix Financials'!M44)/'Netflix Financials'!M44</f>
        <v>-0.57142559312846597</v>
      </c>
      <c r="D55" s="53">
        <f>('Netflix Financials'!O44-'Netflix Financials'!N44)/'Netflix Financials'!N44</f>
        <v>-4.7429099576786496E-2</v>
      </c>
      <c r="E55" s="54">
        <f>('Netflix Financials'!P44-'Netflix Financials'!O44)/'Netflix Financials'!O44</f>
        <v>0.20115412113165151</v>
      </c>
      <c r="H55" s="49" t="s">
        <v>11</v>
      </c>
      <c r="I55" s="53" t="s">
        <v>3</v>
      </c>
      <c r="J55" s="53" t="s">
        <v>3</v>
      </c>
      <c r="K55" s="53">
        <f>('Lions Gate financial'!O35-'Lions Gate financial'!N35)/'Lions Gate financial'!N35</f>
        <v>-0.60364706844386296</v>
      </c>
      <c r="L55" s="54">
        <f>('Lions Gate financial'!P35-'Lions Gate financial'!O35)/'Lions Gate financial'!O35</f>
        <v>0.22508768310295027</v>
      </c>
    </row>
    <row r="56" spans="1:12" x14ac:dyDescent="0.25">
      <c r="A56" s="49" t="s">
        <v>2</v>
      </c>
      <c r="B56" s="53">
        <f>('Netflix Financials'!M45-'Netflix Financials'!L45)/'Netflix Financials'!L45</f>
        <v>0.12855865606324407</v>
      </c>
      <c r="C56" s="53">
        <f>('Netflix Financials'!N45-'Netflix Financials'!M45)/'Netflix Financials'!M45</f>
        <v>-0.57142559312846597</v>
      </c>
      <c r="D56" s="53">
        <f>('Netflix Financials'!O45-'Netflix Financials'!N45)/'Netflix Financials'!N45</f>
        <v>-4.7429099576786496E-2</v>
      </c>
      <c r="E56" s="54">
        <f>('Netflix Financials'!P45-'Netflix Financials'!O45)/'Netflix Financials'!O45</f>
        <v>0.20115412113165151</v>
      </c>
      <c r="H56" s="49" t="s">
        <v>10</v>
      </c>
      <c r="I56" s="53">
        <f>('Lions Gate financial'!M36-'Lions Gate financial'!L36)/'Lions Gate financial'!L36</f>
        <v>0.22672567007456113</v>
      </c>
      <c r="J56" s="53">
        <f>('Lions Gate financial'!N36-'Lions Gate financial'!M36)/'Lions Gate financial'!M36</f>
        <v>1.2236197834778313</v>
      </c>
      <c r="K56" s="53">
        <f>('Lions Gate financial'!O36-'Lions Gate financial'!N36)/'Lions Gate financial'!N36</f>
        <v>-0.13031051253273476</v>
      </c>
      <c r="L56" s="54">
        <f>('Lions Gate financial'!P36-'Lions Gate financial'!O36)/'Lions Gate financial'!O36</f>
        <v>-5.5319441815647748E-2</v>
      </c>
    </row>
    <row r="57" spans="1:12" x14ac:dyDescent="0.25">
      <c r="A57" s="49" t="s">
        <v>1</v>
      </c>
      <c r="B57" s="53">
        <f>('Netflix Financials'!M46-'Netflix Financials'!L46)/'Netflix Financials'!L46</f>
        <v>0.20525711222230916</v>
      </c>
      <c r="C57" s="53">
        <f>('Netflix Financials'!N46-'Netflix Financials'!M46)/'Netflix Financials'!M46</f>
        <v>0.33665049630569444</v>
      </c>
      <c r="D57" s="53">
        <f>('Netflix Financials'!O46-'Netflix Financials'!N46)/'Netflix Financials'!N46</f>
        <v>0.46254309098157542</v>
      </c>
      <c r="E57" s="54">
        <f>('Netflix Financials'!P46-'Netflix Financials'!O46)/'Netflix Financials'!O46</f>
        <v>0.4473176407034864</v>
      </c>
      <c r="H57" s="49" t="s">
        <v>9</v>
      </c>
      <c r="I57" s="53">
        <f>('Lions Gate financial'!M37-'Lions Gate financial'!L37)/'Lions Gate financial'!L37</f>
        <v>6.6219218908359079E-2</v>
      </c>
      <c r="J57" s="53">
        <f>('Lions Gate financial'!N37-'Lions Gate financial'!M37)/'Lions Gate financial'!M37</f>
        <v>1.8446601941747574</v>
      </c>
      <c r="K57" s="53">
        <f>('Lions Gate financial'!O37-'Lions Gate financial'!N37)/'Lions Gate financial'!N37</f>
        <v>5.1273910627827608E-2</v>
      </c>
      <c r="L57" s="54">
        <f>('Lions Gate financial'!P37-'Lions Gate financial'!O37)/'Lions Gate financial'!O37</f>
        <v>5.3340883352208379E-2</v>
      </c>
    </row>
    <row r="58" spans="1:12" ht="15.75" thickBot="1" x14ac:dyDescent="0.3">
      <c r="A58" s="50" t="s">
        <v>0</v>
      </c>
      <c r="B58" s="55">
        <f>('Netflix Financials'!M47-'Netflix Financials'!L47)/'Netflix Financials'!L47</f>
        <v>0.33164576911733962</v>
      </c>
      <c r="C58" s="55">
        <f>('Netflix Financials'!N47-'Netflix Financials'!M47)/'Netflix Financials'!M47</f>
        <v>0.39937350082176498</v>
      </c>
      <c r="D58" s="55">
        <f>('Netflix Financials'!O47-'Netflix Financials'!N47)/'Netflix Financials'!N47</f>
        <v>0.36615749585199231</v>
      </c>
      <c r="E58" s="56">
        <f>('Netflix Financials'!P47-'Netflix Financials'!O47)/'Netflix Financials'!O47</f>
        <v>0.30804607613650364</v>
      </c>
      <c r="H58" s="49" t="s">
        <v>7</v>
      </c>
      <c r="I58" s="53">
        <f>('Lions Gate financial'!M38-'Lions Gate financial'!L38)/'Lions Gate financial'!L38</f>
        <v>-0.44723032069970847</v>
      </c>
      <c r="J58" s="53">
        <f>('Lions Gate financial'!N38-'Lions Gate financial'!M38)/'Lions Gate financial'!M38</f>
        <v>0.39767932489451474</v>
      </c>
      <c r="K58" s="53">
        <f>('Lions Gate financial'!O38-'Lions Gate financial'!N38)/'Lions Gate financial'!N38</f>
        <v>47.735849056603776</v>
      </c>
      <c r="L58" s="54">
        <f>('Lions Gate financial'!P38-'Lions Gate financial'!O38)/'Lions Gate financial'!O38</f>
        <v>-0.59601238869531548</v>
      </c>
    </row>
    <row r="59" spans="1:12" x14ac:dyDescent="0.25">
      <c r="H59" s="49" t="s">
        <v>6</v>
      </c>
      <c r="I59" s="53">
        <f>('Lions Gate financial'!M39-'Lions Gate financial'!L39)/'Lions Gate financial'!L39</f>
        <v>18.428120775123929</v>
      </c>
      <c r="J59" s="53">
        <f>('Lions Gate financial'!N39-'Lions Gate financial'!M39)/'Lions Gate financial'!M39</f>
        <v>-0.62886502284799706</v>
      </c>
      <c r="K59" s="53">
        <f>('Lions Gate financial'!O39-'Lions Gate financial'!N39)/'Lions Gate financial'!N39</f>
        <v>-0.39374999999999999</v>
      </c>
      <c r="L59" s="54">
        <f>('Lions Gate financial'!P39-'Lions Gate financial'!O39)/'Lions Gate financial'!O39</f>
        <v>7.2783505154639174</v>
      </c>
    </row>
    <row r="60" spans="1:12" x14ac:dyDescent="0.25">
      <c r="H60" s="49" t="s">
        <v>1</v>
      </c>
      <c r="I60" s="53">
        <f>('Lions Gate financial'!M43-'Lions Gate financial'!L43)/'Lions Gate financial'!L43</f>
        <v>9.4813288107260356E-3</v>
      </c>
      <c r="J60" s="53">
        <f>('Lions Gate financial'!N43-'Lions Gate financial'!M43)/'Lions Gate financial'!M43</f>
        <v>1.9571678743180132</v>
      </c>
      <c r="K60" s="53">
        <f>('Lions Gate financial'!O43-'Lions Gate financial'!N43)/'Lions Gate financial'!N43</f>
        <v>0.25513044861597201</v>
      </c>
      <c r="L60" s="54">
        <f>('Lions Gate financial'!P43-'Lions Gate financial'!O43)/'Lions Gate financial'!O43</f>
        <v>-7.5160809911594156E-2</v>
      </c>
    </row>
    <row r="61" spans="1:12" ht="15.75" thickBot="1" x14ac:dyDescent="0.3">
      <c r="H61" s="57" t="s">
        <v>0</v>
      </c>
      <c r="I61" s="58">
        <f>('Lions Gate financial'!M44-'Lions Gate financial'!L44)/'Lions Gate financial'!L44</f>
        <v>0.17114330748652298</v>
      </c>
      <c r="J61" s="58">
        <f>('Lions Gate financial'!N44-'Lions Gate financial'!M44)/'Lions Gate financial'!M44</f>
        <v>1.3853925345246334</v>
      </c>
      <c r="K61" s="58">
        <f>('Lions Gate financial'!O44-'Lions Gate financial'!N44)/'Lions Gate financial'!N44</f>
        <v>-2.4932314149332929E-2</v>
      </c>
      <c r="L61" s="59">
        <f>('Lions Gate financial'!P44-'Lions Gate financial'!O44)/'Lions Gate financial'!O44</f>
        <v>-6.2302065212542931E-2</v>
      </c>
    </row>
    <row r="64" spans="1:12" x14ac:dyDescent="0.25">
      <c r="A64" s="149"/>
      <c r="B64" s="20"/>
      <c r="C64" s="20"/>
      <c r="D64" s="20"/>
      <c r="E64" s="20"/>
      <c r="F64" s="20"/>
    </row>
    <row r="65" spans="1:18" ht="15.75" thickBot="1" x14ac:dyDescent="0.3">
      <c r="A65" s="20"/>
      <c r="B65" s="21"/>
      <c r="C65" s="21"/>
      <c r="D65" s="21"/>
      <c r="E65" s="21"/>
      <c r="F65" s="21"/>
    </row>
    <row r="66" spans="1:18" ht="15.75" thickBot="1" x14ac:dyDescent="0.3">
      <c r="A66" s="61">
        <v>2</v>
      </c>
      <c r="B66" s="192" t="s">
        <v>199</v>
      </c>
      <c r="C66" s="193"/>
      <c r="D66" s="193"/>
      <c r="E66" s="193"/>
      <c r="F66" s="194"/>
    </row>
    <row r="67" spans="1:18" x14ac:dyDescent="0.25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</row>
    <row r="68" spans="1:18" x14ac:dyDescent="0.25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148"/>
      <c r="R68" s="148"/>
    </row>
    <row r="69" spans="1:18" x14ac:dyDescent="0.25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148"/>
      <c r="R69" s="148"/>
    </row>
    <row r="70" spans="1:18" ht="15.75" thickBot="1" x14ac:dyDescent="0.3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148"/>
      <c r="R70" s="148"/>
    </row>
    <row r="71" spans="1:18" ht="15.75" thickBot="1" x14ac:dyDescent="0.3">
      <c r="D71" s="145">
        <v>2015</v>
      </c>
      <c r="E71" s="146">
        <v>2016</v>
      </c>
      <c r="F71" s="146">
        <v>2017</v>
      </c>
      <c r="G71" s="146">
        <v>2018</v>
      </c>
      <c r="H71" s="147">
        <v>2019</v>
      </c>
      <c r="I71" t="s">
        <v>202</v>
      </c>
    </row>
    <row r="72" spans="1:18" x14ac:dyDescent="0.25">
      <c r="A72" s="205" t="s">
        <v>153</v>
      </c>
      <c r="B72" s="206"/>
      <c r="C72" s="206"/>
      <c r="D72" s="137">
        <f>'Lions Gate financial'!L73+'Lions Gate financial'!L68</f>
        <v>213408</v>
      </c>
      <c r="E72" s="136">
        <f>'Lions Gate financial'!M73+'Lions Gate financial'!M68</f>
        <v>126736</v>
      </c>
      <c r="F72" s="136">
        <f>'Lions Gate financial'!N73+'Lions Gate financial'!N68</f>
        <v>163700</v>
      </c>
      <c r="G72" s="136">
        <f>'Lions Gate financial'!O73+'Lions Gate financial'!O68</f>
        <v>793000</v>
      </c>
      <c r="H72" s="135">
        <f>'Lions Gate financial'!P73+'Lions Gate financial'!P68</f>
        <v>292700</v>
      </c>
    </row>
    <row r="73" spans="1:18" x14ac:dyDescent="0.25">
      <c r="A73" s="197" t="s">
        <v>73</v>
      </c>
      <c r="B73" s="198"/>
      <c r="C73" s="198"/>
      <c r="D73" s="134">
        <f>'Lions Gate financial'!L68</f>
        <v>31627</v>
      </c>
      <c r="E73" s="60">
        <f>'Lions Gate financial'!M68</f>
        <v>76527</v>
      </c>
      <c r="F73" s="60">
        <f>'Lions Gate financial'!N68</f>
        <v>148900</v>
      </c>
      <c r="G73" s="60">
        <f>'Lions Gate financial'!O68</f>
        <v>319400</v>
      </c>
      <c r="H73" s="133">
        <f>'Lions Gate financial'!P68</f>
        <v>8500</v>
      </c>
    </row>
    <row r="74" spans="1:18" ht="15.75" thickBot="1" x14ac:dyDescent="0.3">
      <c r="A74" s="203" t="s">
        <v>152</v>
      </c>
      <c r="B74" s="204"/>
      <c r="C74" s="204"/>
      <c r="D74" s="132">
        <f>D73/D72</f>
        <v>0.14819969260758734</v>
      </c>
      <c r="E74" s="131">
        <f>E73/E72</f>
        <v>0.60383000883726801</v>
      </c>
      <c r="F74" s="131">
        <f>F73/F72</f>
        <v>0.90959071472205255</v>
      </c>
      <c r="G74" s="131">
        <f>G73/G72</f>
        <v>0.40277427490542245</v>
      </c>
      <c r="H74" s="130">
        <f>H73/H72</f>
        <v>2.9039972668261017E-2</v>
      </c>
      <c r="I74" s="171">
        <f>AVERAGE(D74:H74)</f>
        <v>0.4186869327481183</v>
      </c>
    </row>
    <row r="76" spans="1:18" ht="15.75" thickBot="1" x14ac:dyDescent="0.3"/>
    <row r="77" spans="1:18" x14ac:dyDescent="0.25">
      <c r="A77" s="201" t="s">
        <v>151</v>
      </c>
      <c r="B77" s="202"/>
      <c r="C77" s="202"/>
      <c r="D77" s="202"/>
      <c r="E77" s="202"/>
      <c r="F77" s="129">
        <v>0.05</v>
      </c>
      <c r="G77" s="126"/>
    </row>
    <row r="78" spans="1:18" x14ac:dyDescent="0.25">
      <c r="A78" s="195" t="s">
        <v>150</v>
      </c>
      <c r="B78" s="196"/>
      <c r="C78" s="196"/>
      <c r="D78" s="196"/>
      <c r="E78" s="196"/>
      <c r="F78" s="128">
        <v>2.5000000000000001E-2</v>
      </c>
      <c r="G78" s="126"/>
    </row>
    <row r="79" spans="1:18" x14ac:dyDescent="0.25">
      <c r="A79" s="195" t="s">
        <v>149</v>
      </c>
      <c r="B79" s="196"/>
      <c r="C79" s="196"/>
      <c r="D79" s="196"/>
      <c r="E79" s="196"/>
      <c r="F79" s="128">
        <v>0.05</v>
      </c>
      <c r="G79" s="126"/>
    </row>
    <row r="80" spans="1:18" x14ac:dyDescent="0.25">
      <c r="A80" s="195" t="s">
        <v>148</v>
      </c>
      <c r="B80" s="196"/>
      <c r="C80" s="196"/>
      <c r="D80" s="196"/>
      <c r="E80" s="196"/>
      <c r="F80" s="128">
        <f>AVERAGE(D74:H74)</f>
        <v>0.4186869327481183</v>
      </c>
      <c r="G80" s="126"/>
    </row>
    <row r="81" spans="1:25" ht="18" customHeight="1" x14ac:dyDescent="0.25">
      <c r="A81" s="195" t="s">
        <v>147</v>
      </c>
      <c r="B81" s="196"/>
      <c r="C81" s="196"/>
      <c r="D81" s="196"/>
      <c r="E81" s="196"/>
      <c r="F81" s="128">
        <f>(-'Lions Gate financial'!P107/'Lions Gate financial'!P82)/'Lions Gate financial'!P77</f>
        <v>0.21268448900027848</v>
      </c>
      <c r="G81" s="126"/>
    </row>
    <row r="82" spans="1:25" ht="18" customHeight="1" x14ac:dyDescent="0.25">
      <c r="A82" s="164" t="s">
        <v>194</v>
      </c>
      <c r="B82" s="165"/>
      <c r="C82" s="165"/>
      <c r="D82" s="165"/>
      <c r="E82" s="165"/>
      <c r="F82" s="168">
        <v>1.33</v>
      </c>
      <c r="G82" s="176" t="s">
        <v>207</v>
      </c>
    </row>
    <row r="83" spans="1:25" ht="18" customHeight="1" x14ac:dyDescent="0.25">
      <c r="A83" s="164" t="s">
        <v>195</v>
      </c>
      <c r="B83" s="165"/>
      <c r="C83" s="165"/>
      <c r="D83" s="165"/>
      <c r="E83" s="165"/>
      <c r="F83" s="169">
        <v>0.05</v>
      </c>
      <c r="G83" s="126"/>
    </row>
    <row r="84" spans="1:25" x14ac:dyDescent="0.25">
      <c r="A84" s="195" t="s">
        <v>146</v>
      </c>
      <c r="B84" s="196"/>
      <c r="C84" s="196"/>
      <c r="D84" s="196"/>
      <c r="E84" s="196"/>
      <c r="F84" s="128">
        <v>4.99E-2</v>
      </c>
      <c r="G84" s="126"/>
    </row>
    <row r="85" spans="1:25" x14ac:dyDescent="0.25">
      <c r="A85" s="164" t="s">
        <v>193</v>
      </c>
      <c r="B85" s="165"/>
      <c r="C85" s="165"/>
      <c r="D85" s="165"/>
      <c r="E85" s="165"/>
      <c r="F85" s="128">
        <f>F82*(F83)+F86</f>
        <v>9.64E-2</v>
      </c>
      <c r="G85" s="126"/>
    </row>
    <row r="86" spans="1:25" ht="15.75" thickBot="1" x14ac:dyDescent="0.3">
      <c r="A86" s="207" t="s">
        <v>145</v>
      </c>
      <c r="B86" s="208"/>
      <c r="C86" s="208"/>
      <c r="D86" s="208"/>
      <c r="E86" s="208"/>
      <c r="F86" s="127">
        <v>2.9899999999999999E-2</v>
      </c>
      <c r="G86" s="126"/>
    </row>
    <row r="88" spans="1:25" x14ac:dyDescent="0.25">
      <c r="A88" s="118" t="s">
        <v>144</v>
      </c>
      <c r="B88" s="2"/>
      <c r="Y88" s="15"/>
    </row>
    <row r="89" spans="1:25" ht="27" thickBot="1" x14ac:dyDescent="0.3">
      <c r="A89" s="14" t="s">
        <v>87</v>
      </c>
      <c r="B89" s="124"/>
      <c r="E89" s="199" t="s">
        <v>143</v>
      </c>
      <c r="F89" s="199"/>
      <c r="G89" s="125"/>
      <c r="O89" s="199" t="s">
        <v>178</v>
      </c>
      <c r="P89" s="199"/>
      <c r="Q89" s="125"/>
    </row>
    <row r="90" spans="1:25" ht="16.5" customHeight="1" thickBot="1" x14ac:dyDescent="0.3">
      <c r="A90" s="105" t="s">
        <v>59</v>
      </c>
      <c r="B90" s="122">
        <f>'[1]COMPANY FINANCIALS (20+)'!AM49</f>
        <v>2019</v>
      </c>
      <c r="C90" s="124"/>
      <c r="E90" s="200" t="s">
        <v>87</v>
      </c>
      <c r="F90" s="200"/>
      <c r="G90" s="123"/>
      <c r="O90" s="200" t="s">
        <v>87</v>
      </c>
      <c r="P90" s="200"/>
      <c r="Q90" s="123"/>
    </row>
    <row r="91" spans="1:25" x14ac:dyDescent="0.25">
      <c r="A91" s="117" t="s">
        <v>37</v>
      </c>
      <c r="B91" s="116" t="str">
        <f>'[1]COMPANY FINANCIALS (20+)'!AM50</f>
        <v>Thousands</v>
      </c>
      <c r="C91" s="5"/>
      <c r="E91" s="201" t="s">
        <v>59</v>
      </c>
      <c r="F91" s="202" t="s">
        <v>59</v>
      </c>
      <c r="G91" s="121"/>
      <c r="H91" s="63">
        <v>2019</v>
      </c>
      <c r="I91" s="120">
        <v>2020</v>
      </c>
      <c r="J91" s="120">
        <v>2021</v>
      </c>
      <c r="K91" s="120">
        <v>2022</v>
      </c>
      <c r="L91" s="120">
        <v>2023</v>
      </c>
      <c r="M91" s="119">
        <v>2024</v>
      </c>
      <c r="N91" s="15"/>
      <c r="O91" s="201" t="s">
        <v>59</v>
      </c>
      <c r="P91" s="202" t="s">
        <v>59</v>
      </c>
      <c r="Q91" s="167"/>
      <c r="R91" s="63">
        <v>2019</v>
      </c>
      <c r="S91" s="120">
        <v>2020</v>
      </c>
      <c r="T91" s="120">
        <v>2021</v>
      </c>
      <c r="U91" s="120">
        <v>2022</v>
      </c>
      <c r="V91" s="120">
        <v>2023</v>
      </c>
      <c r="W91" s="119">
        <v>2024</v>
      </c>
    </row>
    <row r="92" spans="1:25" x14ac:dyDescent="0.25">
      <c r="A92" s="49" t="s">
        <v>142</v>
      </c>
      <c r="B92" s="138">
        <f>'Lions Gate financial'!P54</f>
        <v>3680500</v>
      </c>
      <c r="C92" s="13"/>
      <c r="E92" s="195" t="s">
        <v>37</v>
      </c>
      <c r="F92" s="196" t="s">
        <v>37</v>
      </c>
      <c r="G92" s="78"/>
      <c r="H92" s="16" t="str">
        <f>B91</f>
        <v>Thousands</v>
      </c>
      <c r="I92" s="3"/>
      <c r="J92" s="3"/>
      <c r="K92" s="3"/>
      <c r="L92" s="3"/>
      <c r="M92" s="82"/>
      <c r="N92" s="3"/>
      <c r="O92" s="195" t="s">
        <v>37</v>
      </c>
      <c r="P92" s="196" t="s">
        <v>37</v>
      </c>
      <c r="Q92" s="166"/>
      <c r="R92" s="16">
        <f>L92</f>
        <v>0</v>
      </c>
      <c r="S92" s="3"/>
      <c r="T92" s="3"/>
      <c r="U92" s="3"/>
      <c r="V92" s="3"/>
      <c r="W92" s="82"/>
    </row>
    <row r="93" spans="1:25" x14ac:dyDescent="0.25">
      <c r="A93" s="75" t="s">
        <v>86</v>
      </c>
      <c r="B93" s="141">
        <f>'Lions Gate financial'!P54</f>
        <v>3680500</v>
      </c>
      <c r="C93" s="2"/>
      <c r="D93" s="188"/>
      <c r="E93" s="195" t="s">
        <v>86</v>
      </c>
      <c r="F93" s="196" t="s">
        <v>86</v>
      </c>
      <c r="G93" s="89">
        <f>H93/$H$93</f>
        <v>1</v>
      </c>
      <c r="H93" s="88">
        <f>$B$93</f>
        <v>3680500</v>
      </c>
      <c r="I93" s="87">
        <f>H93*(1+$F$79)</f>
        <v>3864525</v>
      </c>
      <c r="J93" s="87">
        <f>I93*(1+$F$79)</f>
        <v>4057751.25</v>
      </c>
      <c r="K93" s="87">
        <f>J93*(1+$F$79)</f>
        <v>4260638.8125</v>
      </c>
      <c r="L93" s="87">
        <f>K93*(1+$F$79)</f>
        <v>4473670.7531249998</v>
      </c>
      <c r="M93" s="86">
        <f>L93*(1+$F$79)</f>
        <v>4697354.2907812502</v>
      </c>
      <c r="N93" s="3"/>
      <c r="O93" s="195" t="s">
        <v>86</v>
      </c>
      <c r="P93" s="196" t="s">
        <v>86</v>
      </c>
      <c r="Q93" s="89">
        <f>R93/$H$93</f>
        <v>1</v>
      </c>
      <c r="R93" s="88">
        <f>$B$93</f>
        <v>3680500</v>
      </c>
      <c r="S93" s="87">
        <f>R93*(1+$F$79)</f>
        <v>3864525</v>
      </c>
      <c r="T93" s="87">
        <f>S93*(1+$F$79)</f>
        <v>4057751.25</v>
      </c>
      <c r="U93" s="87">
        <f>T93*(1+$F$79)</f>
        <v>4260638.8125</v>
      </c>
      <c r="V93" s="87">
        <f>U93*(1+$F$79)</f>
        <v>4473670.7531249998</v>
      </c>
      <c r="W93" s="86">
        <f>V93*(1+$F$79)</f>
        <v>4697354.2907812502</v>
      </c>
    </row>
    <row r="94" spans="1:25" x14ac:dyDescent="0.25">
      <c r="A94" s="49" t="s">
        <v>85</v>
      </c>
      <c r="B94" s="138">
        <f>'Lions Gate financial'!P55</f>
        <v>2028200</v>
      </c>
      <c r="C94" s="2"/>
      <c r="D94" s="188">
        <f t="shared" ref="D94:D110" si="2">H94/$H$93</f>
        <v>0.55106643119141419</v>
      </c>
      <c r="E94" s="197" t="s">
        <v>85</v>
      </c>
      <c r="F94" s="198" t="s">
        <v>85</v>
      </c>
      <c r="G94" s="89">
        <v>0.4</v>
      </c>
      <c r="H94" s="85">
        <f>$B$94</f>
        <v>2028200</v>
      </c>
      <c r="I94" s="85">
        <f>I$93*$G94</f>
        <v>1545810</v>
      </c>
      <c r="J94" s="85">
        <f>J$93*$G94</f>
        <v>1623100.5</v>
      </c>
      <c r="K94" s="85">
        <f>K$93*$G94</f>
        <v>1704255.5250000001</v>
      </c>
      <c r="L94" s="85">
        <f>L$93*$G94</f>
        <v>1789468.30125</v>
      </c>
      <c r="M94" s="84">
        <f>M$93*$G94</f>
        <v>1878941.7163125002</v>
      </c>
      <c r="N94" s="3"/>
      <c r="O94" s="197" t="s">
        <v>85</v>
      </c>
      <c r="P94" s="198" t="s">
        <v>85</v>
      </c>
      <c r="Q94" s="191">
        <v>0.12</v>
      </c>
      <c r="R94" s="102">
        <f>$B$94</f>
        <v>2028200</v>
      </c>
      <c r="S94" s="85">
        <f>S$93*$G94</f>
        <v>1545810</v>
      </c>
      <c r="T94" s="85">
        <f>T$93*$G94</f>
        <v>1623100.5</v>
      </c>
      <c r="U94" s="85">
        <f>U$93*$G94</f>
        <v>1704255.5250000001</v>
      </c>
      <c r="V94" s="85">
        <f>V$93*$G94</f>
        <v>1789468.30125</v>
      </c>
      <c r="W94" s="84">
        <f>W$93*$G94</f>
        <v>1878941.7163125002</v>
      </c>
    </row>
    <row r="95" spans="1:25" x14ac:dyDescent="0.25">
      <c r="A95" s="75" t="s">
        <v>84</v>
      </c>
      <c r="B95" s="141">
        <f>'Lions Gate financial'!P56</f>
        <v>1652300</v>
      </c>
      <c r="C95" s="2"/>
      <c r="D95" s="188">
        <f t="shared" si="2"/>
        <v>0.44893356880858581</v>
      </c>
      <c r="E95" s="195" t="s">
        <v>84</v>
      </c>
      <c r="F95" s="196" t="s">
        <v>84</v>
      </c>
      <c r="G95" s="89">
        <f t="shared" ref="G94:G113" si="3">H95/$H$93</f>
        <v>0.44893356880858581</v>
      </c>
      <c r="H95" s="87">
        <f>H93-H94</f>
        <v>1652300</v>
      </c>
      <c r="I95" s="87">
        <f t="shared" ref="I95:M95" si="4">I93-I94</f>
        <v>2318715</v>
      </c>
      <c r="J95" s="87">
        <f t="shared" si="4"/>
        <v>2434650.75</v>
      </c>
      <c r="K95" s="87">
        <f t="shared" si="4"/>
        <v>2556383.2874999996</v>
      </c>
      <c r="L95" s="87">
        <f t="shared" si="4"/>
        <v>2684202.4518749998</v>
      </c>
      <c r="M95" s="86">
        <f t="shared" si="4"/>
        <v>2818412.57446875</v>
      </c>
      <c r="N95" s="3"/>
      <c r="O95" s="195" t="s">
        <v>84</v>
      </c>
      <c r="P95" s="196" t="s">
        <v>84</v>
      </c>
      <c r="Q95" s="89">
        <f>R95/$H$93</f>
        <v>0.44893356880858581</v>
      </c>
      <c r="R95" s="88">
        <f t="shared" ref="R95:W95" si="5">R93-R94</f>
        <v>1652300</v>
      </c>
      <c r="S95" s="87">
        <f t="shared" si="5"/>
        <v>2318715</v>
      </c>
      <c r="T95" s="87">
        <f t="shared" si="5"/>
        <v>2434650.75</v>
      </c>
      <c r="U95" s="87">
        <f t="shared" si="5"/>
        <v>2556383.2874999996</v>
      </c>
      <c r="V95" s="87">
        <f t="shared" si="5"/>
        <v>2684202.4518749998</v>
      </c>
      <c r="W95" s="86">
        <f t="shared" si="5"/>
        <v>2818412.57446875</v>
      </c>
    </row>
    <row r="96" spans="1:25" x14ac:dyDescent="0.25">
      <c r="A96" s="49" t="s">
        <v>83</v>
      </c>
      <c r="B96" s="138">
        <f>'Lions Gate financial'!P57</f>
        <v>1280900</v>
      </c>
      <c r="C96" s="2"/>
      <c r="D96" s="188">
        <f t="shared" si="2"/>
        <v>0.34802336639043607</v>
      </c>
      <c r="E96" s="197" t="s">
        <v>83</v>
      </c>
      <c r="F96" s="198" t="s">
        <v>83</v>
      </c>
      <c r="G96" s="89">
        <f t="shared" si="3"/>
        <v>0.34802336639043607</v>
      </c>
      <c r="H96" s="102">
        <f>$B$96</f>
        <v>1280900</v>
      </c>
      <c r="I96" s="85">
        <f t="shared" ref="I96:M98" si="6">I$93*$G96</f>
        <v>1344945</v>
      </c>
      <c r="J96" s="85">
        <f t="shared" si="6"/>
        <v>1412192.25</v>
      </c>
      <c r="K96" s="85">
        <f t="shared" si="6"/>
        <v>1482801.8625</v>
      </c>
      <c r="L96" s="85">
        <f t="shared" si="6"/>
        <v>1556941.9556249999</v>
      </c>
      <c r="M96" s="84">
        <f t="shared" si="6"/>
        <v>1634789.05340625</v>
      </c>
      <c r="N96" s="3"/>
      <c r="O96" s="197" t="s">
        <v>83</v>
      </c>
      <c r="P96" s="198" t="s">
        <v>83</v>
      </c>
      <c r="Q96" s="191">
        <v>0.1</v>
      </c>
      <c r="R96" s="102">
        <f>$B$96</f>
        <v>1280900</v>
      </c>
      <c r="S96" s="85">
        <f t="shared" ref="S96:W98" si="7">S$93*$G96</f>
        <v>1344945</v>
      </c>
      <c r="T96" s="85">
        <f t="shared" si="7"/>
        <v>1412192.25</v>
      </c>
      <c r="U96" s="85">
        <f t="shared" si="7"/>
        <v>1482801.8625</v>
      </c>
      <c r="V96" s="85">
        <f t="shared" si="7"/>
        <v>1556941.9556249999</v>
      </c>
      <c r="W96" s="84">
        <f t="shared" si="7"/>
        <v>1634789.05340625</v>
      </c>
    </row>
    <row r="97" spans="1:23" x14ac:dyDescent="0.25">
      <c r="A97" s="49" t="s">
        <v>112</v>
      </c>
      <c r="B97" s="138">
        <f>'Lions Gate financial'!P58</f>
        <v>163400</v>
      </c>
      <c r="C97" s="2"/>
      <c r="D97" s="188">
        <f t="shared" si="2"/>
        <v>4.4396141828555905E-2</v>
      </c>
      <c r="E97" s="195" t="s">
        <v>112</v>
      </c>
      <c r="F97" s="196" t="s">
        <v>112</v>
      </c>
      <c r="G97" s="89">
        <f t="shared" si="3"/>
        <v>4.4396141828555905E-2</v>
      </c>
      <c r="H97" s="88">
        <f>$B$97</f>
        <v>163400</v>
      </c>
      <c r="I97" s="87">
        <f t="shared" si="6"/>
        <v>171570</v>
      </c>
      <c r="J97" s="87">
        <f t="shared" si="6"/>
        <v>180148.5</v>
      </c>
      <c r="K97" s="87">
        <f t="shared" si="6"/>
        <v>189155.92500000002</v>
      </c>
      <c r="L97" s="87">
        <f t="shared" si="6"/>
        <v>198613.72125</v>
      </c>
      <c r="M97" s="86">
        <f t="shared" si="6"/>
        <v>208544.40731250003</v>
      </c>
      <c r="N97" s="3"/>
      <c r="O97" s="195" t="s">
        <v>112</v>
      </c>
      <c r="P97" s="196" t="s">
        <v>112</v>
      </c>
      <c r="Q97" s="89">
        <f>R97/$H$93</f>
        <v>4.4396141828555905E-2</v>
      </c>
      <c r="R97" s="88">
        <f>$B$97</f>
        <v>163400</v>
      </c>
      <c r="S97" s="87">
        <f t="shared" si="7"/>
        <v>171570</v>
      </c>
      <c r="T97" s="87">
        <f t="shared" si="7"/>
        <v>180148.5</v>
      </c>
      <c r="U97" s="87">
        <f t="shared" si="7"/>
        <v>189155.92500000002</v>
      </c>
      <c r="V97" s="87">
        <f t="shared" si="7"/>
        <v>198613.72125</v>
      </c>
      <c r="W97" s="86">
        <f t="shared" si="7"/>
        <v>208544.40731250003</v>
      </c>
    </row>
    <row r="98" spans="1:23" x14ac:dyDescent="0.25">
      <c r="A98" s="49" t="s">
        <v>111</v>
      </c>
      <c r="B98" s="138">
        <f>'Lions Gate financial'!P59</f>
        <v>78000</v>
      </c>
      <c r="C98" s="2"/>
      <c r="D98" s="188">
        <f t="shared" si="2"/>
        <v>2.1192772721097677E-2</v>
      </c>
      <c r="E98" s="197" t="s">
        <v>111</v>
      </c>
      <c r="F98" s="198" t="s">
        <v>111</v>
      </c>
      <c r="G98" s="89">
        <f t="shared" si="3"/>
        <v>2.1192772721097677E-2</v>
      </c>
      <c r="H98" s="102">
        <f>$B$98</f>
        <v>78000</v>
      </c>
      <c r="I98" s="85">
        <f t="shared" si="6"/>
        <v>81900</v>
      </c>
      <c r="J98" s="85">
        <f t="shared" si="6"/>
        <v>85995</v>
      </c>
      <c r="K98" s="85">
        <f t="shared" si="6"/>
        <v>90294.75</v>
      </c>
      <c r="L98" s="85">
        <f t="shared" si="6"/>
        <v>94809.487499999988</v>
      </c>
      <c r="M98" s="84">
        <f t="shared" si="6"/>
        <v>99549.961875000008</v>
      </c>
      <c r="N98" s="3"/>
      <c r="O98" s="197" t="s">
        <v>111</v>
      </c>
      <c r="P98" s="198" t="s">
        <v>111</v>
      </c>
      <c r="Q98" s="89">
        <f>R98/$H$93</f>
        <v>2.1192772721097677E-2</v>
      </c>
      <c r="R98" s="102">
        <f>$B$98</f>
        <v>78000</v>
      </c>
      <c r="S98" s="85">
        <f t="shared" si="7"/>
        <v>81900</v>
      </c>
      <c r="T98" s="85">
        <f t="shared" si="7"/>
        <v>85995</v>
      </c>
      <c r="U98" s="85">
        <f t="shared" si="7"/>
        <v>90294.75</v>
      </c>
      <c r="V98" s="85">
        <f t="shared" si="7"/>
        <v>94809.487499999988</v>
      </c>
      <c r="W98" s="84">
        <f t="shared" si="7"/>
        <v>99549.961875000008</v>
      </c>
    </row>
    <row r="99" spans="1:23" x14ac:dyDescent="0.25">
      <c r="A99" s="49" t="s">
        <v>81</v>
      </c>
      <c r="B99" s="138">
        <f>'Lions Gate financial'!P60</f>
        <v>0</v>
      </c>
      <c r="C99" s="2"/>
      <c r="D99" s="188">
        <f t="shared" si="2"/>
        <v>0.41361228094008967</v>
      </c>
      <c r="E99" s="197" t="s">
        <v>80</v>
      </c>
      <c r="F99" s="198" t="s">
        <v>80</v>
      </c>
      <c r="G99" s="89">
        <f t="shared" si="3"/>
        <v>0.41361228094008967</v>
      </c>
      <c r="H99" s="102">
        <f t="shared" ref="H99:M99" si="8">SUM(H96:H98)</f>
        <v>1522300</v>
      </c>
      <c r="I99" s="85">
        <f t="shared" si="8"/>
        <v>1598415</v>
      </c>
      <c r="J99" s="85">
        <f t="shared" si="8"/>
        <v>1678335.75</v>
      </c>
      <c r="K99" s="85">
        <f t="shared" si="8"/>
        <v>1762252.5375000001</v>
      </c>
      <c r="L99" s="85">
        <f t="shared" si="8"/>
        <v>1850365.1643749999</v>
      </c>
      <c r="M99" s="84">
        <f t="shared" si="8"/>
        <v>1942883.4225937501</v>
      </c>
      <c r="N99" s="3"/>
      <c r="O99" s="197" t="s">
        <v>80</v>
      </c>
      <c r="P99" s="198" t="s">
        <v>80</v>
      </c>
      <c r="Q99" s="191">
        <v>0.25</v>
      </c>
      <c r="R99" s="102">
        <f t="shared" ref="R99:W99" si="9">SUM(R96:R98)</f>
        <v>1522300</v>
      </c>
      <c r="S99" s="85">
        <f t="shared" si="9"/>
        <v>1598415</v>
      </c>
      <c r="T99" s="85">
        <f t="shared" si="9"/>
        <v>1678335.75</v>
      </c>
      <c r="U99" s="85">
        <f t="shared" si="9"/>
        <v>1762252.5375000001</v>
      </c>
      <c r="V99" s="85">
        <f t="shared" si="9"/>
        <v>1850365.1643749999</v>
      </c>
      <c r="W99" s="84">
        <f t="shared" si="9"/>
        <v>1942883.4225937501</v>
      </c>
    </row>
    <row r="100" spans="1:23" x14ac:dyDescent="0.25">
      <c r="A100" s="49" t="s">
        <v>80</v>
      </c>
      <c r="B100" s="138">
        <f>'Lions Gate financial'!P61</f>
        <v>1522300</v>
      </c>
      <c r="C100" s="2"/>
      <c r="D100" s="188">
        <f t="shared" si="2"/>
        <v>3.5321287868496129E-2</v>
      </c>
      <c r="E100" s="195" t="s">
        <v>79</v>
      </c>
      <c r="F100" s="196" t="s">
        <v>79</v>
      </c>
      <c r="G100" s="89">
        <f t="shared" si="3"/>
        <v>3.5321287868496129E-2</v>
      </c>
      <c r="H100" s="87">
        <f t="shared" ref="H100:M100" si="10">H95-H99</f>
        <v>130000</v>
      </c>
      <c r="I100" s="87">
        <f t="shared" si="10"/>
        <v>720300</v>
      </c>
      <c r="J100" s="87">
        <f t="shared" si="10"/>
        <v>756315</v>
      </c>
      <c r="K100" s="87">
        <f t="shared" si="10"/>
        <v>794130.74999999953</v>
      </c>
      <c r="L100" s="87">
        <f t="shared" si="10"/>
        <v>833837.28749999986</v>
      </c>
      <c r="M100" s="86">
        <f t="shared" si="10"/>
        <v>875529.15187499998</v>
      </c>
      <c r="N100" s="3"/>
      <c r="O100" s="195" t="s">
        <v>79</v>
      </c>
      <c r="P100" s="196" t="s">
        <v>79</v>
      </c>
      <c r="Q100" s="89">
        <f t="shared" ref="Q100:Q113" si="11">R100/$H$93</f>
        <v>3.5321287868496129E-2</v>
      </c>
      <c r="R100" s="88">
        <f t="shared" ref="R100:W100" si="12">R95-R99</f>
        <v>130000</v>
      </c>
      <c r="S100" s="87">
        <f t="shared" si="12"/>
        <v>720300</v>
      </c>
      <c r="T100" s="87">
        <f t="shared" si="12"/>
        <v>756315</v>
      </c>
      <c r="U100" s="87">
        <f t="shared" si="12"/>
        <v>794130.74999999953</v>
      </c>
      <c r="V100" s="87">
        <f t="shared" si="12"/>
        <v>833837.28749999986</v>
      </c>
      <c r="W100" s="86">
        <f t="shared" si="12"/>
        <v>875529.15187499998</v>
      </c>
    </row>
    <row r="101" spans="1:23" x14ac:dyDescent="0.25">
      <c r="A101" s="75" t="s">
        <v>79</v>
      </c>
      <c r="B101" s="141">
        <f>'Lions Gate financial'!P62</f>
        <v>130000</v>
      </c>
      <c r="C101" s="2"/>
      <c r="D101" s="188">
        <f t="shared" si="2"/>
        <v>5.0781143866322508E-2</v>
      </c>
      <c r="E101" s="197" t="s">
        <v>78</v>
      </c>
      <c r="F101" s="198" t="s">
        <v>78</v>
      </c>
      <c r="G101" s="89">
        <f t="shared" si="3"/>
        <v>5.0781143866322508E-2</v>
      </c>
      <c r="H101" s="98">
        <f t="shared" ref="H101:M101" si="13">$B$102</f>
        <v>186900</v>
      </c>
      <c r="I101" s="97">
        <f t="shared" si="13"/>
        <v>186900</v>
      </c>
      <c r="J101" s="97">
        <f t="shared" si="13"/>
        <v>186900</v>
      </c>
      <c r="K101" s="97">
        <f t="shared" si="13"/>
        <v>186900</v>
      </c>
      <c r="L101" s="97">
        <f t="shared" si="13"/>
        <v>186900</v>
      </c>
      <c r="M101" s="96">
        <f t="shared" si="13"/>
        <v>186900</v>
      </c>
      <c r="N101" s="3"/>
      <c r="O101" s="197" t="s">
        <v>78</v>
      </c>
      <c r="P101" s="198" t="s">
        <v>78</v>
      </c>
      <c r="Q101" s="89">
        <f t="shared" si="11"/>
        <v>5.0781143866322508E-2</v>
      </c>
      <c r="R101" s="97">
        <f>$B$102</f>
        <v>186900</v>
      </c>
      <c r="S101" s="98">
        <f>(R133+R136)*$F$84-(R120-H120)*$F$84</f>
        <v>177648.99</v>
      </c>
      <c r="T101" s="98">
        <f>(S133+S136)*$F$84-(S120-I120)*$F$84</f>
        <v>209887.58053940412</v>
      </c>
      <c r="U101" s="98">
        <f>(T133+T136)*$F$84-(T120-J120)*$F$84</f>
        <v>222587.48389954548</v>
      </c>
      <c r="V101" s="98">
        <f>(U133+U136)*$F$84-(U120-K120)*$F$84</f>
        <v>236753.32763683534</v>
      </c>
      <c r="W101" s="115">
        <f>(V133+V136)*$F$84-(V120-L120)*$F$84</f>
        <v>251594.81817999724</v>
      </c>
    </row>
    <row r="102" spans="1:23" x14ac:dyDescent="0.25">
      <c r="A102" s="49" t="s">
        <v>78</v>
      </c>
      <c r="B102" s="138">
        <f>'Lions Gate financial'!P63</f>
        <v>186900</v>
      </c>
      <c r="C102" s="2"/>
      <c r="D102" s="188">
        <f t="shared" si="2"/>
        <v>2.3801113979078928E-2</v>
      </c>
      <c r="E102" s="197" t="s">
        <v>77</v>
      </c>
      <c r="F102" s="198" t="s">
        <v>77</v>
      </c>
      <c r="G102" s="89">
        <f t="shared" si="3"/>
        <v>2.3801113979078928E-2</v>
      </c>
      <c r="H102" s="102">
        <f>$B$103</f>
        <v>87600</v>
      </c>
      <c r="I102" s="85">
        <f t="shared" ref="I102:M103" si="14">I$93*$G102</f>
        <v>91980</v>
      </c>
      <c r="J102" s="85">
        <f t="shared" si="14"/>
        <v>96579</v>
      </c>
      <c r="K102" s="85">
        <f t="shared" si="14"/>
        <v>101407.95</v>
      </c>
      <c r="L102" s="85">
        <f t="shared" si="14"/>
        <v>106478.34749999999</v>
      </c>
      <c r="M102" s="84">
        <f t="shared" si="14"/>
        <v>111802.26487499999</v>
      </c>
      <c r="N102" s="3"/>
      <c r="O102" s="197" t="s">
        <v>77</v>
      </c>
      <c r="P102" s="198" t="s">
        <v>77</v>
      </c>
      <c r="Q102" s="89">
        <f t="shared" si="11"/>
        <v>2.3801113979078928E-2</v>
      </c>
      <c r="R102" s="102">
        <f>$B$103</f>
        <v>87600</v>
      </c>
      <c r="S102" s="85">
        <f t="shared" ref="S102:W103" si="15">S$93*$G102</f>
        <v>91980</v>
      </c>
      <c r="T102" s="85">
        <f t="shared" si="15"/>
        <v>96579</v>
      </c>
      <c r="U102" s="85">
        <f t="shared" si="15"/>
        <v>101407.95</v>
      </c>
      <c r="V102" s="85">
        <f t="shared" si="15"/>
        <v>106478.34749999999</v>
      </c>
      <c r="W102" s="84">
        <f t="shared" si="15"/>
        <v>111802.26487499999</v>
      </c>
    </row>
    <row r="103" spans="1:23" x14ac:dyDescent="0.25">
      <c r="A103" s="49" t="s">
        <v>77</v>
      </c>
      <c r="B103" s="138">
        <f>'Lions Gate financial'!P64</f>
        <v>87600</v>
      </c>
      <c r="C103" s="2"/>
      <c r="D103" s="188">
        <f t="shared" si="2"/>
        <v>3.2794457274826792E-2</v>
      </c>
      <c r="E103" s="197" t="s">
        <v>76</v>
      </c>
      <c r="F103" s="198" t="s">
        <v>76</v>
      </c>
      <c r="G103" s="89">
        <f t="shared" si="3"/>
        <v>3.2794457274826792E-2</v>
      </c>
      <c r="H103" s="102">
        <f>$B$105</f>
        <v>120700</v>
      </c>
      <c r="I103" s="85">
        <f t="shared" si="14"/>
        <v>126735.00000000001</v>
      </c>
      <c r="J103" s="85">
        <f t="shared" si="14"/>
        <v>133071.75</v>
      </c>
      <c r="K103" s="85">
        <f t="shared" si="14"/>
        <v>139725.33750000002</v>
      </c>
      <c r="L103" s="85">
        <f t="shared" si="14"/>
        <v>146711.604375</v>
      </c>
      <c r="M103" s="84">
        <f t="shared" si="14"/>
        <v>154047.18459375002</v>
      </c>
      <c r="N103" s="3"/>
      <c r="O103" s="197" t="s">
        <v>76</v>
      </c>
      <c r="P103" s="198" t="s">
        <v>76</v>
      </c>
      <c r="Q103" s="89">
        <f t="shared" si="11"/>
        <v>3.2794457274826792E-2</v>
      </c>
      <c r="R103" s="102">
        <f>$B$105</f>
        <v>120700</v>
      </c>
      <c r="S103" s="85">
        <f t="shared" si="15"/>
        <v>126735.00000000001</v>
      </c>
      <c r="T103" s="85">
        <f t="shared" si="15"/>
        <v>133071.75</v>
      </c>
      <c r="U103" s="85">
        <f t="shared" si="15"/>
        <v>139725.33750000002</v>
      </c>
      <c r="V103" s="85">
        <f t="shared" si="15"/>
        <v>146711.604375</v>
      </c>
      <c r="W103" s="84">
        <f t="shared" si="15"/>
        <v>154047.18459375002</v>
      </c>
    </row>
    <row r="104" spans="1:23" x14ac:dyDescent="0.25">
      <c r="A104" s="49" t="s">
        <v>141</v>
      </c>
      <c r="B104" s="138" t="str">
        <f>'[1]COMPANY FINANCIALS (20+)'!AM63</f>
        <v>-</v>
      </c>
      <c r="C104" s="2"/>
      <c r="D104" s="188">
        <f t="shared" si="2"/>
        <v>0.10737671512022823</v>
      </c>
      <c r="E104" s="197" t="s">
        <v>75</v>
      </c>
      <c r="F104" s="198" t="s">
        <v>75</v>
      </c>
      <c r="G104" s="89">
        <f t="shared" si="3"/>
        <v>0.10737671512022823</v>
      </c>
      <c r="H104" s="102">
        <f t="shared" ref="H104:M104" si="16">SUM(H101:H103)</f>
        <v>395200</v>
      </c>
      <c r="I104" s="85">
        <f t="shared" si="16"/>
        <v>405615</v>
      </c>
      <c r="J104" s="85">
        <f t="shared" si="16"/>
        <v>416550.75</v>
      </c>
      <c r="K104" s="85">
        <f t="shared" si="16"/>
        <v>428033.28750000003</v>
      </c>
      <c r="L104" s="85">
        <f t="shared" si="16"/>
        <v>440089.95187499997</v>
      </c>
      <c r="M104" s="84">
        <f t="shared" si="16"/>
        <v>452749.44946875004</v>
      </c>
      <c r="N104" s="3"/>
      <c r="O104" s="197" t="s">
        <v>75</v>
      </c>
      <c r="P104" s="198" t="s">
        <v>75</v>
      </c>
      <c r="Q104" s="89">
        <f t="shared" si="11"/>
        <v>0.10737671512022823</v>
      </c>
      <c r="R104" s="102">
        <f t="shared" ref="R104:W104" si="17">SUM(R101:R103)</f>
        <v>395200</v>
      </c>
      <c r="S104" s="85">
        <f t="shared" si="17"/>
        <v>396363.99</v>
      </c>
      <c r="T104" s="85">
        <f t="shared" si="17"/>
        <v>439538.33053940412</v>
      </c>
      <c r="U104" s="85">
        <f t="shared" si="17"/>
        <v>463720.77139954548</v>
      </c>
      <c r="V104" s="85">
        <f t="shared" si="17"/>
        <v>489943.27951183531</v>
      </c>
      <c r="W104" s="84">
        <f t="shared" si="17"/>
        <v>517444.26764874731</v>
      </c>
    </row>
    <row r="105" spans="1:23" x14ac:dyDescent="0.25">
      <c r="A105" s="49" t="s">
        <v>76</v>
      </c>
      <c r="B105" s="138">
        <f>'Lions Gate financial'!P65</f>
        <v>120700</v>
      </c>
      <c r="C105" s="2"/>
      <c r="D105" s="188">
        <f t="shared" si="2"/>
        <v>7.2055427251732099E-2</v>
      </c>
      <c r="E105" s="195" t="s">
        <v>74</v>
      </c>
      <c r="F105" s="196" t="s">
        <v>74</v>
      </c>
      <c r="G105" s="89">
        <f t="shared" si="3"/>
        <v>7.2055427251732099E-2</v>
      </c>
      <c r="H105" s="100">
        <f>H100+H104-260000</f>
        <v>265200</v>
      </c>
      <c r="I105" s="100">
        <f>I100+I104</f>
        <v>1125915</v>
      </c>
      <c r="J105" s="100">
        <f>J100+J104</f>
        <v>1172865.75</v>
      </c>
      <c r="K105" s="100">
        <f>K100+K104</f>
        <v>1222164.0374999996</v>
      </c>
      <c r="L105" s="100">
        <f>L100+L104</f>
        <v>1273927.2393749999</v>
      </c>
      <c r="M105" s="99">
        <f>M100+M104</f>
        <v>1328278.60134375</v>
      </c>
      <c r="N105" s="3"/>
      <c r="O105" s="195" t="s">
        <v>74</v>
      </c>
      <c r="P105" s="196" t="s">
        <v>74</v>
      </c>
      <c r="Q105" s="89">
        <f t="shared" si="11"/>
        <v>0.14269800298872437</v>
      </c>
      <c r="R105" s="88">
        <f t="shared" ref="R105:W105" si="18">R100+R104</f>
        <v>525200</v>
      </c>
      <c r="S105" s="87">
        <f t="shared" si="18"/>
        <v>1116663.99</v>
      </c>
      <c r="T105" s="87">
        <f t="shared" si="18"/>
        <v>1195853.3305394042</v>
      </c>
      <c r="U105" s="87">
        <f t="shared" si="18"/>
        <v>1257851.521399545</v>
      </c>
      <c r="V105" s="87">
        <f t="shared" si="18"/>
        <v>1323780.5670118351</v>
      </c>
      <c r="W105" s="86">
        <f t="shared" si="18"/>
        <v>1392973.4195237472</v>
      </c>
    </row>
    <row r="106" spans="1:23" x14ac:dyDescent="0.25">
      <c r="A106" s="49" t="s">
        <v>75</v>
      </c>
      <c r="B106" s="138">
        <f>'Lions Gate financial'!P66</f>
        <v>395200</v>
      </c>
      <c r="C106" s="2"/>
      <c r="D106" s="188">
        <f t="shared" si="2"/>
        <v>2.3094688221709007E-3</v>
      </c>
      <c r="E106" s="195" t="s">
        <v>73</v>
      </c>
      <c r="F106" s="196" t="s">
        <v>73</v>
      </c>
      <c r="G106" s="89">
        <f t="shared" si="3"/>
        <v>2.3094688221709007E-3</v>
      </c>
      <c r="H106" s="88">
        <f>$B$108</f>
        <v>8500</v>
      </c>
      <c r="I106" s="150">
        <f>I$93*$G106</f>
        <v>8925</v>
      </c>
      <c r="J106" s="150">
        <f>J$93*$G106</f>
        <v>9371.25</v>
      </c>
      <c r="K106" s="150">
        <f>K$93*$G106</f>
        <v>9839.8125</v>
      </c>
      <c r="L106" s="150">
        <f>L$93*$G106</f>
        <v>10331.803124999999</v>
      </c>
      <c r="M106" s="151">
        <f>M$93*$G106</f>
        <v>10848.393281250001</v>
      </c>
      <c r="N106" s="3"/>
      <c r="O106" s="195" t="s">
        <v>73</v>
      </c>
      <c r="P106" s="196" t="s">
        <v>73</v>
      </c>
      <c r="Q106" s="89">
        <f t="shared" si="11"/>
        <v>2.3094688221709007E-3</v>
      </c>
      <c r="R106" s="88">
        <f>$B$108</f>
        <v>8500</v>
      </c>
      <c r="S106" s="150">
        <f>S$93*$G106</f>
        <v>8925</v>
      </c>
      <c r="T106" s="150">
        <f>T$93*$G106</f>
        <v>9371.25</v>
      </c>
      <c r="U106" s="150">
        <f>U$93*$G106</f>
        <v>9839.8125</v>
      </c>
      <c r="V106" s="150">
        <f>V$93*$G106</f>
        <v>10331.803124999999</v>
      </c>
      <c r="W106" s="151">
        <f>W$93*$G106</f>
        <v>10848.393281250001</v>
      </c>
    </row>
    <row r="107" spans="1:23" x14ac:dyDescent="0.25">
      <c r="A107" s="75" t="s">
        <v>74</v>
      </c>
      <c r="B107" s="141">
        <f>'Lions Gate financial'!P67</f>
        <v>265200</v>
      </c>
      <c r="C107" s="2"/>
      <c r="D107" s="188">
        <f t="shared" si="2"/>
        <v>6.9745958429561203E-2</v>
      </c>
      <c r="E107" s="195" t="s">
        <v>140</v>
      </c>
      <c r="F107" s="196"/>
      <c r="G107" s="89">
        <f t="shared" si="3"/>
        <v>6.9745958429561203E-2</v>
      </c>
      <c r="H107" s="88">
        <f t="shared" ref="H107:M107" si="19">H105-H106</f>
        <v>256700</v>
      </c>
      <c r="I107" s="152">
        <f t="shared" si="19"/>
        <v>1116990</v>
      </c>
      <c r="J107" s="152">
        <f t="shared" si="19"/>
        <v>1163494.5</v>
      </c>
      <c r="K107" s="152">
        <f t="shared" si="19"/>
        <v>1212324.2249999996</v>
      </c>
      <c r="L107" s="152">
        <f t="shared" si="19"/>
        <v>1263595.4362499998</v>
      </c>
      <c r="M107" s="153">
        <f t="shared" si="19"/>
        <v>1317430.2080625</v>
      </c>
      <c r="N107" s="3"/>
      <c r="O107" s="195" t="s">
        <v>140</v>
      </c>
      <c r="P107" s="196"/>
      <c r="Q107" s="89">
        <f t="shared" si="11"/>
        <v>0.14038853416655345</v>
      </c>
      <c r="R107" s="88">
        <f t="shared" ref="R107:W107" si="20">R105-R106</f>
        <v>516700</v>
      </c>
      <c r="S107" s="152">
        <f t="shared" si="20"/>
        <v>1107738.99</v>
      </c>
      <c r="T107" s="152">
        <f t="shared" si="20"/>
        <v>1186482.0805394042</v>
      </c>
      <c r="U107" s="152">
        <f t="shared" si="20"/>
        <v>1248011.708899545</v>
      </c>
      <c r="V107" s="152">
        <f t="shared" si="20"/>
        <v>1313448.763886835</v>
      </c>
      <c r="W107" s="153">
        <f t="shared" si="20"/>
        <v>1382125.0262424971</v>
      </c>
    </row>
    <row r="108" spans="1:23" x14ac:dyDescent="0.25">
      <c r="A108" s="75" t="s">
        <v>73</v>
      </c>
      <c r="B108" s="141">
        <f>'Lions Gate financial'!P68</f>
        <v>8500</v>
      </c>
      <c r="C108" s="2"/>
      <c r="D108" s="188">
        <f t="shared" si="2"/>
        <v>4.1842141013449258E-3</v>
      </c>
      <c r="E108" s="197" t="s">
        <v>12</v>
      </c>
      <c r="F108" s="198" t="s">
        <v>12</v>
      </c>
      <c r="G108" s="89">
        <f t="shared" si="3"/>
        <v>4.1842141013449258E-3</v>
      </c>
      <c r="H108" s="102">
        <f>$B$109</f>
        <v>15400</v>
      </c>
      <c r="I108" s="150">
        <f t="shared" ref="I108:M109" si="21">I$93*$G108</f>
        <v>16170</v>
      </c>
      <c r="J108" s="150">
        <f t="shared" si="21"/>
        <v>16978.5</v>
      </c>
      <c r="K108" s="150">
        <f t="shared" si="21"/>
        <v>17827.424999999999</v>
      </c>
      <c r="L108" s="150">
        <f t="shared" si="21"/>
        <v>18718.796249999999</v>
      </c>
      <c r="M108" s="151">
        <f t="shared" si="21"/>
        <v>19654.7360625</v>
      </c>
      <c r="N108" s="3"/>
      <c r="O108" s="197" t="s">
        <v>12</v>
      </c>
      <c r="P108" s="198" t="s">
        <v>12</v>
      </c>
      <c r="Q108" s="89">
        <f t="shared" si="11"/>
        <v>4.1842141013449258E-3</v>
      </c>
      <c r="R108" s="102">
        <f>$B$109</f>
        <v>15400</v>
      </c>
      <c r="S108" s="150">
        <f t="shared" ref="S108:W109" si="22">S$93*$G108</f>
        <v>16170</v>
      </c>
      <c r="T108" s="150">
        <f t="shared" si="22"/>
        <v>16978.5</v>
      </c>
      <c r="U108" s="150">
        <f t="shared" si="22"/>
        <v>17827.424999999999</v>
      </c>
      <c r="V108" s="150">
        <f t="shared" si="22"/>
        <v>18718.796249999999</v>
      </c>
      <c r="W108" s="151">
        <f t="shared" si="22"/>
        <v>19654.7360625</v>
      </c>
    </row>
    <row r="109" spans="1:23" x14ac:dyDescent="0.25">
      <c r="A109" s="49" t="s">
        <v>12</v>
      </c>
      <c r="B109" s="138">
        <f>'Lions Gate financial'!P69</f>
        <v>15400</v>
      </c>
      <c r="C109" s="2"/>
      <c r="D109" s="188">
        <f t="shared" si="2"/>
        <v>1.1656024996603722E-2</v>
      </c>
      <c r="E109" s="197" t="s">
        <v>110</v>
      </c>
      <c r="F109" s="198" t="s">
        <v>110</v>
      </c>
      <c r="G109" s="89">
        <f t="shared" si="3"/>
        <v>1.1656024996603722E-2</v>
      </c>
      <c r="H109" s="95">
        <f>$B$110</f>
        <v>42900</v>
      </c>
      <c r="I109" s="94">
        <f t="shared" si="21"/>
        <v>45045</v>
      </c>
      <c r="J109" s="94">
        <f t="shared" si="21"/>
        <v>47297.25</v>
      </c>
      <c r="K109" s="94">
        <f t="shared" si="21"/>
        <v>49662.112500000003</v>
      </c>
      <c r="L109" s="94">
        <f t="shared" si="21"/>
        <v>52145.218124999999</v>
      </c>
      <c r="M109" s="93">
        <f t="shared" si="21"/>
        <v>54752.479031250004</v>
      </c>
      <c r="N109" s="3"/>
      <c r="O109" s="197" t="s">
        <v>110</v>
      </c>
      <c r="P109" s="198" t="s">
        <v>110</v>
      </c>
      <c r="Q109" s="89">
        <f t="shared" si="11"/>
        <v>1.1656024996603722E-2</v>
      </c>
      <c r="R109" s="102">
        <f>$B$110</f>
        <v>42900</v>
      </c>
      <c r="S109" s="150">
        <f t="shared" si="22"/>
        <v>45045</v>
      </c>
      <c r="T109" s="150">
        <f t="shared" si="22"/>
        <v>47297.25</v>
      </c>
      <c r="U109" s="150">
        <f t="shared" si="22"/>
        <v>49662.112500000003</v>
      </c>
      <c r="V109" s="150">
        <f t="shared" si="22"/>
        <v>52145.218124999999</v>
      </c>
      <c r="W109" s="151">
        <f t="shared" si="22"/>
        <v>54752.479031250004</v>
      </c>
    </row>
    <row r="110" spans="1:23" x14ac:dyDescent="0.25">
      <c r="A110" s="49" t="s">
        <v>110</v>
      </c>
      <c r="B110" s="138">
        <f>'Lions Gate financial'!P70</f>
        <v>42900</v>
      </c>
      <c r="C110" s="114"/>
      <c r="D110" s="188">
        <f t="shared" si="2"/>
        <v>7.7217769324819996E-2</v>
      </c>
      <c r="E110" s="195" t="s">
        <v>70</v>
      </c>
      <c r="F110" s="196" t="s">
        <v>70</v>
      </c>
      <c r="G110" s="89">
        <f t="shared" si="3"/>
        <v>7.7217769324819996E-2</v>
      </c>
      <c r="H110" s="88">
        <f>$B$114</f>
        <v>284200</v>
      </c>
      <c r="I110" s="152">
        <f>I107-I108-I109</f>
        <v>1055775</v>
      </c>
      <c r="J110" s="152">
        <f>J107-J108-J109</f>
        <v>1099218.75</v>
      </c>
      <c r="K110" s="152">
        <f>K107-K108-K109</f>
        <v>1144834.6874999995</v>
      </c>
      <c r="L110" s="152">
        <f>L107-L108-L109</f>
        <v>1192731.421875</v>
      </c>
      <c r="M110" s="153">
        <f>M107-M108-M109</f>
        <v>1243022.99296875</v>
      </c>
      <c r="N110" s="3"/>
      <c r="O110" s="195" t="s">
        <v>70</v>
      </c>
      <c r="P110" s="196" t="s">
        <v>70</v>
      </c>
      <c r="Q110" s="89">
        <f t="shared" si="11"/>
        <v>7.7217769324819996E-2</v>
      </c>
      <c r="R110" s="88">
        <f>$B$114</f>
        <v>284200</v>
      </c>
      <c r="S110" s="152">
        <f>S107-S108-S109</f>
        <v>1046523.99</v>
      </c>
      <c r="T110" s="152">
        <f>T107-T108-T109</f>
        <v>1122206.3305394042</v>
      </c>
      <c r="U110" s="152">
        <f>U107-U108-U109</f>
        <v>1180522.1713995449</v>
      </c>
      <c r="V110" s="152">
        <f>V107-V108-V109</f>
        <v>1242584.7495118352</v>
      </c>
      <c r="W110" s="153">
        <f>W107-W108-W109</f>
        <v>1307717.8111487471</v>
      </c>
    </row>
    <row r="111" spans="1:23" x14ac:dyDescent="0.25">
      <c r="A111" s="49" t="s">
        <v>139</v>
      </c>
      <c r="B111" s="138"/>
      <c r="C111" s="2"/>
      <c r="E111" s="75"/>
      <c r="F111" s="78"/>
      <c r="G111" s="89">
        <f t="shared" si="3"/>
        <v>0</v>
      </c>
      <c r="H111" s="88"/>
      <c r="I111" s="150"/>
      <c r="J111" s="150"/>
      <c r="K111" s="150"/>
      <c r="L111" s="150"/>
      <c r="M111" s="151"/>
      <c r="N111" s="3"/>
      <c r="O111" s="75"/>
      <c r="P111" s="78"/>
      <c r="Q111" s="89">
        <f t="shared" si="11"/>
        <v>0</v>
      </c>
      <c r="R111" s="88"/>
      <c r="S111" s="150"/>
      <c r="T111" s="150"/>
      <c r="U111" s="150"/>
      <c r="V111" s="150"/>
      <c r="W111" s="151"/>
    </row>
    <row r="112" spans="1:23" x14ac:dyDescent="0.25">
      <c r="A112" s="49" t="s">
        <v>72</v>
      </c>
      <c r="B112" s="138">
        <f>'Lions Gate financial'!P71</f>
        <v>0</v>
      </c>
      <c r="C112" s="114"/>
      <c r="E112" s="195" t="s">
        <v>138</v>
      </c>
      <c r="F112" s="196"/>
      <c r="G112" s="89">
        <f t="shared" si="3"/>
        <v>-1.660100529819318E-2</v>
      </c>
      <c r="H112" s="85">
        <f>'Lions Gate financial'!P107</f>
        <v>-61100</v>
      </c>
      <c r="I112" s="150">
        <f>I110*$F$81</f>
        <v>224546.96637426902</v>
      </c>
      <c r="J112" s="150">
        <f>J110*$F$81</f>
        <v>233786.77814327486</v>
      </c>
      <c r="K112" s="150">
        <f>K110*$F$81</f>
        <v>243488.5805007309</v>
      </c>
      <c r="L112" s="150">
        <f>L110*$F$81</f>
        <v>253675.47297605994</v>
      </c>
      <c r="M112" s="151">
        <f>M110*$F$81</f>
        <v>264371.71007515531</v>
      </c>
      <c r="N112" s="3"/>
      <c r="O112" s="195" t="s">
        <v>138</v>
      </c>
      <c r="P112" s="196"/>
      <c r="Q112" s="89">
        <f t="shared" si="11"/>
        <v>-1.660100529819318E-2</v>
      </c>
      <c r="R112" s="85">
        <f>'Lions Gate financial'!P107</f>
        <v>-61100</v>
      </c>
      <c r="S112" s="150">
        <f>S110*$F$81</f>
        <v>222579.42003968253</v>
      </c>
      <c r="T112" s="150">
        <f>T110*$F$81</f>
        <v>238675.87996365078</v>
      </c>
      <c r="U112" s="150">
        <f>U110*$F$81</f>
        <v>251078.75477761138</v>
      </c>
      <c r="V112" s="150">
        <f>V110*$F$81</f>
        <v>264278.50248946372</v>
      </c>
      <c r="W112" s="151">
        <f>W110*$F$81</f>
        <v>278131.29442073393</v>
      </c>
    </row>
    <row r="113" spans="1:23" x14ac:dyDescent="0.25">
      <c r="A113" s="49" t="s">
        <v>71</v>
      </c>
      <c r="B113" s="138">
        <f>'Lions Gate financial'!P72</f>
        <v>0</v>
      </c>
      <c r="C113" s="2"/>
      <c r="D113" s="1"/>
      <c r="E113" s="195" t="s">
        <v>137</v>
      </c>
      <c r="F113" s="196"/>
      <c r="G113" s="89">
        <f t="shared" si="3"/>
        <v>-8.3657111805461218E-2</v>
      </c>
      <c r="H113" s="85">
        <f>'Lions Gate financial'!P129-'Lions Gate financial'!P128</f>
        <v>-307900</v>
      </c>
      <c r="I113" s="150">
        <f>I110-I112</f>
        <v>831228.03362573101</v>
      </c>
      <c r="J113" s="150">
        <f>J110-J112</f>
        <v>865431.97185672517</v>
      </c>
      <c r="K113" s="150">
        <f>K110-K112</f>
        <v>901346.10699926864</v>
      </c>
      <c r="L113" s="150">
        <f>L110-L112</f>
        <v>939055.94889894011</v>
      </c>
      <c r="M113" s="151">
        <f>M110-M112</f>
        <v>978651.28289359459</v>
      </c>
      <c r="N113" s="3"/>
      <c r="O113" s="195" t="s">
        <v>137</v>
      </c>
      <c r="P113" s="196"/>
      <c r="Q113" s="89">
        <f t="shared" si="11"/>
        <v>-8.3657111805461218E-2</v>
      </c>
      <c r="R113" s="85">
        <f>'Lions Gate financial'!P129-'Lions Gate financial'!P128</f>
        <v>-307900</v>
      </c>
      <c r="S113" s="150">
        <f>S110-S112</f>
        <v>823944.56996031746</v>
      </c>
      <c r="T113" s="150">
        <f>T110-T112</f>
        <v>883530.45057575335</v>
      </c>
      <c r="U113" s="150">
        <f>U110-U112</f>
        <v>929443.41662193357</v>
      </c>
      <c r="V113" s="150">
        <f>V110-V112</f>
        <v>978306.24702237151</v>
      </c>
      <c r="W113" s="151">
        <f>W110-W112</f>
        <v>1029586.5167280132</v>
      </c>
    </row>
    <row r="114" spans="1:23" x14ac:dyDescent="0.25">
      <c r="A114" s="75" t="s">
        <v>70</v>
      </c>
      <c r="B114" s="141">
        <f>'Lions Gate financial'!P73</f>
        <v>284200</v>
      </c>
      <c r="C114" s="114"/>
      <c r="E114" s="75"/>
      <c r="F114" s="78"/>
      <c r="G114" s="89"/>
      <c r="H114" s="85"/>
      <c r="I114" s="85"/>
      <c r="J114" s="85"/>
      <c r="K114" s="85"/>
      <c r="L114" s="85"/>
      <c r="M114" s="84"/>
      <c r="N114" s="3"/>
      <c r="O114" s="195" t="s">
        <v>136</v>
      </c>
      <c r="P114" s="196"/>
      <c r="Q114" s="89"/>
      <c r="R114" s="85">
        <f t="shared" ref="R114:W114" si="23">R113-H113</f>
        <v>0</v>
      </c>
      <c r="S114" s="150">
        <f t="shared" si="23"/>
        <v>-7283.4636654135538</v>
      </c>
      <c r="T114" s="150">
        <f t="shared" si="23"/>
        <v>18098.478719028179</v>
      </c>
      <c r="U114" s="150">
        <f t="shared" si="23"/>
        <v>28097.309622664936</v>
      </c>
      <c r="V114" s="150">
        <f t="shared" si="23"/>
        <v>39250.298123431392</v>
      </c>
      <c r="W114" s="151">
        <f t="shared" si="23"/>
        <v>50935.233834418585</v>
      </c>
    </row>
    <row r="115" spans="1:23" x14ac:dyDescent="0.25">
      <c r="A115" s="49" t="s">
        <v>69</v>
      </c>
      <c r="B115" s="138">
        <f>'Lions Gate financial'!P74</f>
        <v>0</v>
      </c>
      <c r="C115" s="113"/>
      <c r="E115" s="211"/>
      <c r="F115" s="199"/>
      <c r="G115" s="89"/>
      <c r="H115" s="102"/>
      <c r="I115" s="107"/>
      <c r="J115" s="107"/>
      <c r="K115" s="107"/>
      <c r="L115" s="107"/>
      <c r="M115" s="109"/>
      <c r="N115" s="3"/>
      <c r="O115" s="211"/>
      <c r="P115" s="199"/>
      <c r="Q115" s="89"/>
      <c r="R115" s="102"/>
      <c r="S115" s="107"/>
      <c r="T115" s="107"/>
      <c r="U115" s="107"/>
      <c r="V115" s="107"/>
      <c r="W115" s="109"/>
    </row>
    <row r="116" spans="1:23" x14ac:dyDescent="0.25">
      <c r="A116" s="49" t="s">
        <v>68</v>
      </c>
      <c r="B116" s="138">
        <f>'Lions Gate financial'!P75</f>
        <v>284200</v>
      </c>
      <c r="C116" s="2"/>
      <c r="E116" s="209" t="s">
        <v>60</v>
      </c>
      <c r="F116" s="210"/>
      <c r="G116" s="89"/>
      <c r="H116" s="102"/>
      <c r="I116" s="107"/>
      <c r="J116" s="107"/>
      <c r="K116" s="107"/>
      <c r="L116" s="107"/>
      <c r="M116" s="109"/>
      <c r="N116" s="3"/>
      <c r="O116" s="209" t="s">
        <v>60</v>
      </c>
      <c r="P116" s="210"/>
      <c r="Q116" s="89"/>
      <c r="R116" s="102"/>
      <c r="S116" s="107"/>
      <c r="T116" s="107"/>
      <c r="U116" s="107"/>
      <c r="V116" s="107"/>
      <c r="W116" s="109"/>
    </row>
    <row r="117" spans="1:23" x14ac:dyDescent="0.25">
      <c r="A117" s="49" t="s">
        <v>67</v>
      </c>
      <c r="B117" s="138">
        <f>'Lions Gate financial'!P76</f>
        <v>213700</v>
      </c>
      <c r="C117" s="2"/>
      <c r="E117" s="209"/>
      <c r="F117" s="210"/>
      <c r="G117" s="89"/>
      <c r="H117" s="102"/>
      <c r="I117" s="107"/>
      <c r="J117" s="107"/>
      <c r="K117" s="107"/>
      <c r="L117" s="107"/>
      <c r="M117" s="109"/>
      <c r="N117" s="3"/>
      <c r="O117" s="209"/>
      <c r="P117" s="210"/>
      <c r="Q117" s="89"/>
      <c r="R117" s="102"/>
      <c r="S117" s="107"/>
      <c r="T117" s="107"/>
      <c r="U117" s="107"/>
      <c r="V117" s="107"/>
      <c r="W117" s="109"/>
    </row>
    <row r="118" spans="1:23" ht="12.75" customHeight="1" x14ac:dyDescent="0.25">
      <c r="A118" s="75" t="s">
        <v>66</v>
      </c>
      <c r="B118" s="138">
        <f>'Lions Gate financial'!P77</f>
        <v>1.33</v>
      </c>
      <c r="C118" s="2"/>
      <c r="E118" s="195" t="s">
        <v>59</v>
      </c>
      <c r="F118" s="196"/>
      <c r="G118" s="89"/>
      <c r="H118" s="88">
        <v>2019</v>
      </c>
      <c r="I118" s="110">
        <v>2020</v>
      </c>
      <c r="J118" s="110">
        <v>2021</v>
      </c>
      <c r="K118" s="110">
        <v>2022</v>
      </c>
      <c r="L118" s="110">
        <v>2023</v>
      </c>
      <c r="M118" s="111">
        <v>2024</v>
      </c>
      <c r="N118" s="3"/>
      <c r="O118" s="195" t="s">
        <v>59</v>
      </c>
      <c r="P118" s="196"/>
      <c r="Q118" s="89"/>
      <c r="R118" s="88">
        <v>2019</v>
      </c>
      <c r="S118" s="110">
        <v>2020</v>
      </c>
      <c r="T118" s="110">
        <v>2021</v>
      </c>
      <c r="U118" s="110">
        <v>2022</v>
      </c>
      <c r="V118" s="110">
        <v>2023</v>
      </c>
      <c r="W118" s="111">
        <v>2024</v>
      </c>
    </row>
    <row r="119" spans="1:23" x14ac:dyDescent="0.25">
      <c r="A119" s="49" t="s">
        <v>65</v>
      </c>
      <c r="B119" s="138">
        <f>'Lions Gate financial'!P78</f>
        <v>1.33</v>
      </c>
      <c r="C119" s="2"/>
      <c r="E119" s="195" t="s">
        <v>37</v>
      </c>
      <c r="F119" s="196"/>
      <c r="G119" s="89"/>
      <c r="H119" s="88" t="s">
        <v>36</v>
      </c>
      <c r="I119" s="107"/>
      <c r="J119" s="107"/>
      <c r="K119" s="107"/>
      <c r="L119" s="107"/>
      <c r="M119" s="109"/>
      <c r="N119" s="3"/>
      <c r="O119" s="195" t="s">
        <v>37</v>
      </c>
      <c r="P119" s="196"/>
      <c r="Q119" s="89"/>
      <c r="R119" s="88" t="s">
        <v>36</v>
      </c>
      <c r="S119" s="107"/>
      <c r="T119" s="107"/>
      <c r="U119" s="107"/>
      <c r="V119" s="107"/>
      <c r="W119" s="109"/>
    </row>
    <row r="120" spans="1:23" x14ac:dyDescent="0.25">
      <c r="A120" s="49" t="s">
        <v>64</v>
      </c>
      <c r="B120" s="138">
        <f>'Lions Gate financial'!P79</f>
        <v>213700</v>
      </c>
      <c r="C120" s="2"/>
      <c r="E120" s="195" t="s">
        <v>33</v>
      </c>
      <c r="F120" s="196"/>
      <c r="G120" s="89">
        <f>H120/$H$93</f>
        <v>5.0074718108952587E-2</v>
      </c>
      <c r="H120" s="87">
        <f>B130</f>
        <v>184300</v>
      </c>
      <c r="I120" s="107">
        <f t="shared" ref="I120:M123" si="24">I$93*$G120</f>
        <v>193515</v>
      </c>
      <c r="J120" s="107">
        <f t="shared" si="24"/>
        <v>203190.75</v>
      </c>
      <c r="K120" s="107">
        <f t="shared" si="24"/>
        <v>213350.28750000001</v>
      </c>
      <c r="L120" s="107">
        <f t="shared" si="24"/>
        <v>224017.80187499998</v>
      </c>
      <c r="M120" s="109">
        <f t="shared" si="24"/>
        <v>235218.69196875</v>
      </c>
      <c r="N120" s="3"/>
      <c r="O120" s="195" t="s">
        <v>33</v>
      </c>
      <c r="P120" s="196"/>
      <c r="Q120" s="89">
        <f>R120/$H$93</f>
        <v>5.0074718108952587E-2</v>
      </c>
      <c r="R120" s="87">
        <f>B130</f>
        <v>184300</v>
      </c>
      <c r="S120" s="107">
        <f>IF(I141&lt;0,I120-I141+S114,I120)</f>
        <v>193515</v>
      </c>
      <c r="T120" s="107">
        <f>IF(J141&lt;0,J120-J141+T114,J120)</f>
        <v>203190.75</v>
      </c>
      <c r="U120" s="107">
        <f>IF(K141&lt;0,K120-K141+U114,K120)</f>
        <v>213350.28750000001</v>
      </c>
      <c r="V120" s="107">
        <f>IF(L141&lt;0,L120-L141+V114,L120)</f>
        <v>224017.80187499998</v>
      </c>
      <c r="W120" s="109">
        <f>IF(M141&lt;0,M120-M141+W114,M120)</f>
        <v>235218.69196875</v>
      </c>
    </row>
    <row r="121" spans="1:23" x14ac:dyDescent="0.25">
      <c r="A121" s="49" t="s">
        <v>63</v>
      </c>
      <c r="B121" s="138">
        <f>'Lions Gate financial'!P80</f>
        <v>1.33</v>
      </c>
      <c r="C121" s="2"/>
      <c r="D121" s="188">
        <f>H120/$H$93</f>
        <v>5.0074718108952587E-2</v>
      </c>
      <c r="E121" s="197" t="s">
        <v>32</v>
      </c>
      <c r="F121" s="198"/>
      <c r="G121" s="89">
        <f>H121/$H$93</f>
        <v>0.20211927727210977</v>
      </c>
      <c r="H121" s="102">
        <f>$B$131</f>
        <v>743900</v>
      </c>
      <c r="I121" s="107">
        <f t="shared" si="24"/>
        <v>781095</v>
      </c>
      <c r="J121" s="107">
        <f t="shared" si="24"/>
        <v>820149.75</v>
      </c>
      <c r="K121" s="107">
        <f t="shared" si="24"/>
        <v>861157.23750000005</v>
      </c>
      <c r="L121" s="107">
        <f t="shared" si="24"/>
        <v>904215.09937499999</v>
      </c>
      <c r="M121" s="109">
        <f t="shared" si="24"/>
        <v>949425.85434375005</v>
      </c>
      <c r="N121" s="3"/>
      <c r="O121" s="197" t="s">
        <v>32</v>
      </c>
      <c r="P121" s="198"/>
      <c r="Q121" s="89">
        <f>R121/$H$93</f>
        <v>0.20211927727210977</v>
      </c>
      <c r="R121" s="102">
        <f>$B$131</f>
        <v>743900</v>
      </c>
      <c r="S121" s="107">
        <f t="shared" ref="S121:W123" si="25">S$93*$G121</f>
        <v>781095</v>
      </c>
      <c r="T121" s="107">
        <f t="shared" si="25"/>
        <v>820149.75</v>
      </c>
      <c r="U121" s="107">
        <f t="shared" si="25"/>
        <v>861157.23750000005</v>
      </c>
      <c r="V121" s="107">
        <f t="shared" si="25"/>
        <v>904215.09937499999</v>
      </c>
      <c r="W121" s="109">
        <f t="shared" si="25"/>
        <v>949425.85434375005</v>
      </c>
    </row>
    <row r="122" spans="1:23" x14ac:dyDescent="0.25">
      <c r="A122" s="49" t="s">
        <v>62</v>
      </c>
      <c r="B122" s="138">
        <f>'Lions Gate financial'!P81</f>
        <v>1.33</v>
      </c>
      <c r="C122" s="2"/>
      <c r="D122" s="188">
        <f t="shared" ref="D122:D141" si="26">H121/$H$93</f>
        <v>0.20211927727210977</v>
      </c>
      <c r="E122" s="197" t="s">
        <v>104</v>
      </c>
      <c r="F122" s="198"/>
      <c r="G122" s="89">
        <f>H122/$H$93</f>
        <v>5.4068740660236378E-3</v>
      </c>
      <c r="H122" s="102">
        <f>$B$132</f>
        <v>19900</v>
      </c>
      <c r="I122" s="107">
        <f t="shared" si="24"/>
        <v>20895</v>
      </c>
      <c r="J122" s="107">
        <f t="shared" si="24"/>
        <v>21939.75</v>
      </c>
      <c r="K122" s="107">
        <f t="shared" si="24"/>
        <v>23036.737499999999</v>
      </c>
      <c r="L122" s="107">
        <f t="shared" si="24"/>
        <v>24188.574374999997</v>
      </c>
      <c r="M122" s="109">
        <f t="shared" si="24"/>
        <v>25398.003093750001</v>
      </c>
      <c r="N122" s="3"/>
      <c r="O122" s="197" t="s">
        <v>104</v>
      </c>
      <c r="P122" s="198"/>
      <c r="Q122" s="89">
        <f>R122/$H$93</f>
        <v>5.4068740660236378E-3</v>
      </c>
      <c r="R122" s="102">
        <f>$B$132</f>
        <v>19900</v>
      </c>
      <c r="S122" s="107">
        <f t="shared" si="25"/>
        <v>20895</v>
      </c>
      <c r="T122" s="107">
        <f t="shared" si="25"/>
        <v>21939.75</v>
      </c>
      <c r="U122" s="107">
        <f t="shared" si="25"/>
        <v>23036.737499999999</v>
      </c>
      <c r="V122" s="107">
        <f t="shared" si="25"/>
        <v>24188.574374999997</v>
      </c>
      <c r="W122" s="109">
        <f t="shared" si="25"/>
        <v>25398.003093750001</v>
      </c>
    </row>
    <row r="123" spans="1:23" ht="15.75" thickBot="1" x14ac:dyDescent="0.3">
      <c r="A123" s="50" t="s">
        <v>61</v>
      </c>
      <c r="B123" s="139">
        <f>'Lions Gate financial'!P82</f>
        <v>216000</v>
      </c>
      <c r="C123" s="2"/>
      <c r="D123" s="188">
        <f t="shared" si="26"/>
        <v>5.4068740660236378E-3</v>
      </c>
      <c r="E123" s="79" t="s">
        <v>29</v>
      </c>
      <c r="F123" s="108"/>
      <c r="G123" s="89">
        <f>H123/$H$93</f>
        <v>0.12126069827469094</v>
      </c>
      <c r="H123" s="102">
        <f>$B$135</f>
        <v>446300</v>
      </c>
      <c r="I123" s="107">
        <f t="shared" si="24"/>
        <v>468615</v>
      </c>
      <c r="J123" s="107">
        <f t="shared" si="24"/>
        <v>492045.75</v>
      </c>
      <c r="K123" s="107">
        <f t="shared" si="24"/>
        <v>516648.03749999998</v>
      </c>
      <c r="L123" s="107">
        <f t="shared" si="24"/>
        <v>542480.43937499996</v>
      </c>
      <c r="M123" s="109">
        <f t="shared" si="24"/>
        <v>569604.46134375001</v>
      </c>
      <c r="N123" s="3"/>
      <c r="O123" s="79" t="s">
        <v>29</v>
      </c>
      <c r="P123" s="108"/>
      <c r="Q123" s="89">
        <f>R123/$H$93</f>
        <v>0.12126069827469094</v>
      </c>
      <c r="R123" s="102">
        <f>$B$135</f>
        <v>446300</v>
      </c>
      <c r="S123" s="107">
        <f t="shared" si="25"/>
        <v>468615</v>
      </c>
      <c r="T123" s="107">
        <f t="shared" si="25"/>
        <v>492045.75</v>
      </c>
      <c r="U123" s="107">
        <f t="shared" si="25"/>
        <v>516648.03749999998</v>
      </c>
      <c r="V123" s="107">
        <f t="shared" si="25"/>
        <v>542480.43937499996</v>
      </c>
      <c r="W123" s="109">
        <f t="shared" si="25"/>
        <v>569604.46134375001</v>
      </c>
    </row>
    <row r="124" spans="1:23" x14ac:dyDescent="0.25">
      <c r="C124" s="2"/>
      <c r="D124" s="188">
        <f t="shared" si="26"/>
        <v>0.12126069827469094</v>
      </c>
      <c r="E124" s="75" t="s">
        <v>28</v>
      </c>
      <c r="F124" s="78"/>
      <c r="G124" s="89">
        <f>H124/$H$93</f>
        <v>0.37886156772177693</v>
      </c>
      <c r="H124" s="88">
        <f t="shared" ref="H124:M124" si="27">SUM(H120:H123)</f>
        <v>1394400</v>
      </c>
      <c r="I124" s="87">
        <f t="shared" si="27"/>
        <v>1464120</v>
      </c>
      <c r="J124" s="87">
        <f t="shared" si="27"/>
        <v>1537326</v>
      </c>
      <c r="K124" s="87">
        <f t="shared" si="27"/>
        <v>1614192.3000000003</v>
      </c>
      <c r="L124" s="87">
        <f t="shared" si="27"/>
        <v>1694901.915</v>
      </c>
      <c r="M124" s="86">
        <f t="shared" si="27"/>
        <v>1779647.0107499999</v>
      </c>
      <c r="N124" s="3"/>
      <c r="O124" s="75" t="s">
        <v>28</v>
      </c>
      <c r="P124" s="78"/>
      <c r="Q124" s="89">
        <f>R124/$H$93</f>
        <v>0.37886156772177693</v>
      </c>
      <c r="R124" s="88">
        <f t="shared" ref="R124:W124" si="28">SUM(R120:R123)</f>
        <v>1394400</v>
      </c>
      <c r="S124" s="87">
        <f t="shared" si="28"/>
        <v>1464120</v>
      </c>
      <c r="T124" s="87">
        <f t="shared" si="28"/>
        <v>1537326</v>
      </c>
      <c r="U124" s="87">
        <f t="shared" si="28"/>
        <v>1614192.3000000003</v>
      </c>
      <c r="V124" s="87">
        <f t="shared" si="28"/>
        <v>1694901.915</v>
      </c>
      <c r="W124" s="86">
        <f t="shared" si="28"/>
        <v>1779647.0107499999</v>
      </c>
    </row>
    <row r="125" spans="1:23" x14ac:dyDescent="0.25">
      <c r="D125" s="188">
        <f t="shared" si="26"/>
        <v>0.37886156772177693</v>
      </c>
      <c r="E125" s="197" t="s">
        <v>27</v>
      </c>
      <c r="F125" s="198"/>
      <c r="G125" s="191">
        <v>0.02</v>
      </c>
      <c r="H125" s="102">
        <f>$B$137</f>
        <v>296300</v>
      </c>
      <c r="I125" s="85">
        <f t="shared" ref="I125:M126" si="29">I$93*$G125</f>
        <v>77290.5</v>
      </c>
      <c r="J125" s="85">
        <f t="shared" si="29"/>
        <v>81155.025000000009</v>
      </c>
      <c r="K125" s="85">
        <f t="shared" si="29"/>
        <v>85212.776249999995</v>
      </c>
      <c r="L125" s="85">
        <f t="shared" si="29"/>
        <v>89473.415062500004</v>
      </c>
      <c r="M125" s="84">
        <f t="shared" si="29"/>
        <v>93947.085815625003</v>
      </c>
      <c r="N125" s="3"/>
      <c r="O125" s="197" t="s">
        <v>27</v>
      </c>
      <c r="P125" s="198"/>
      <c r="Q125" s="191">
        <v>0</v>
      </c>
      <c r="R125" s="102">
        <f>$B$137</f>
        <v>296300</v>
      </c>
      <c r="S125" s="85">
        <f t="shared" ref="S125:W126" si="30">S$93*$G125</f>
        <v>77290.5</v>
      </c>
      <c r="T125" s="85">
        <f t="shared" si="30"/>
        <v>81155.025000000009</v>
      </c>
      <c r="U125" s="85">
        <f t="shared" si="30"/>
        <v>85212.776249999995</v>
      </c>
      <c r="V125" s="85">
        <f t="shared" si="30"/>
        <v>89473.415062500004</v>
      </c>
      <c r="W125" s="84">
        <f t="shared" si="30"/>
        <v>93947.085815625003</v>
      </c>
    </row>
    <row r="126" spans="1:23" ht="15.75" thickBot="1" x14ac:dyDescent="0.3">
      <c r="A126" s="106" t="s">
        <v>60</v>
      </c>
      <c r="D126" s="188">
        <f t="shared" si="26"/>
        <v>8.0505366118733865E-2</v>
      </c>
      <c r="E126" s="49" t="s">
        <v>26</v>
      </c>
      <c r="F126" s="2"/>
      <c r="G126" s="191">
        <v>1E-3</v>
      </c>
      <c r="H126" s="102">
        <f>$B$138</f>
        <v>141000</v>
      </c>
      <c r="I126" s="85">
        <f t="shared" si="29"/>
        <v>3864.5250000000001</v>
      </c>
      <c r="J126" s="85">
        <f t="shared" si="29"/>
        <v>4057.7512500000003</v>
      </c>
      <c r="K126" s="85">
        <f t="shared" si="29"/>
        <v>4260.6388125000003</v>
      </c>
      <c r="L126" s="85">
        <f t="shared" si="29"/>
        <v>4473.6707531249995</v>
      </c>
      <c r="M126" s="84">
        <f t="shared" si="29"/>
        <v>4697.3542907812507</v>
      </c>
      <c r="N126" s="3"/>
      <c r="O126" s="49" t="s">
        <v>26</v>
      </c>
      <c r="P126" s="2"/>
      <c r="Q126" s="191">
        <v>0</v>
      </c>
      <c r="R126" s="102">
        <f>$B$138</f>
        <v>141000</v>
      </c>
      <c r="S126" s="85">
        <f t="shared" si="30"/>
        <v>3864.5250000000001</v>
      </c>
      <c r="T126" s="85">
        <f t="shared" si="30"/>
        <v>4057.7512500000003</v>
      </c>
      <c r="U126" s="85">
        <f t="shared" si="30"/>
        <v>4260.6388125000003</v>
      </c>
      <c r="V126" s="85">
        <f t="shared" si="30"/>
        <v>4473.6707531249995</v>
      </c>
      <c r="W126" s="84">
        <f t="shared" si="30"/>
        <v>4697.3542907812507</v>
      </c>
    </row>
    <row r="127" spans="1:23" x14ac:dyDescent="0.25">
      <c r="A127" s="105" t="s">
        <v>59</v>
      </c>
      <c r="B127" s="104">
        <f>'[1]COMPANY FINANCIALS (20+)'!AM3</f>
        <v>2019</v>
      </c>
      <c r="D127" s="188">
        <f t="shared" si="26"/>
        <v>3.8310012226599646E-2</v>
      </c>
      <c r="E127" s="195" t="s">
        <v>25</v>
      </c>
      <c r="F127" s="196"/>
      <c r="G127" s="89">
        <v>0</v>
      </c>
      <c r="H127" s="88">
        <f t="shared" ref="H127:M127" si="31">H125-H126</f>
        <v>155300</v>
      </c>
      <c r="I127" s="87">
        <f t="shared" si="31"/>
        <v>73425.975000000006</v>
      </c>
      <c r="J127" s="87">
        <f t="shared" si="31"/>
        <v>77097.273750000008</v>
      </c>
      <c r="K127" s="87">
        <f t="shared" si="31"/>
        <v>80952.137437500001</v>
      </c>
      <c r="L127" s="87">
        <f t="shared" si="31"/>
        <v>84999.744309375004</v>
      </c>
      <c r="M127" s="86">
        <f t="shared" si="31"/>
        <v>89249.731524843752</v>
      </c>
      <c r="N127" s="3"/>
      <c r="O127" s="195" t="s">
        <v>25</v>
      </c>
      <c r="P127" s="196"/>
      <c r="Q127" s="89">
        <v>0</v>
      </c>
      <c r="R127" s="88">
        <f t="shared" ref="R127:W127" si="32">R125-R126</f>
        <v>155300</v>
      </c>
      <c r="S127" s="87">
        <f t="shared" si="32"/>
        <v>73425.975000000006</v>
      </c>
      <c r="T127" s="87">
        <f t="shared" si="32"/>
        <v>77097.273750000008</v>
      </c>
      <c r="U127" s="87">
        <f t="shared" si="32"/>
        <v>80952.137437500001</v>
      </c>
      <c r="V127" s="87">
        <f t="shared" si="32"/>
        <v>84999.744309375004</v>
      </c>
      <c r="W127" s="86">
        <f t="shared" si="32"/>
        <v>89249.731524843752</v>
      </c>
    </row>
    <row r="128" spans="1:23" x14ac:dyDescent="0.25">
      <c r="A128" s="103" t="s">
        <v>37</v>
      </c>
      <c r="B128" s="81" t="str">
        <f>'[1]COMPANY FINANCIALS (20+)'!AM4</f>
        <v>Thousands</v>
      </c>
      <c r="D128" s="188">
        <f t="shared" si="26"/>
        <v>4.2195353892134219E-2</v>
      </c>
      <c r="E128" s="197" t="s">
        <v>106</v>
      </c>
      <c r="F128" s="198"/>
      <c r="G128" s="89">
        <f>H128/$H$93</f>
        <v>0.46140470044830867</v>
      </c>
      <c r="H128" s="102">
        <f>$B$140</f>
        <v>1698200</v>
      </c>
      <c r="I128" s="85">
        <f t="shared" ref="I128:M130" si="33">I$93*$G128</f>
        <v>1783110</v>
      </c>
      <c r="J128" s="85">
        <f t="shared" si="33"/>
        <v>1872265.5</v>
      </c>
      <c r="K128" s="85">
        <f t="shared" si="33"/>
        <v>1965878.7750000001</v>
      </c>
      <c r="L128" s="85">
        <f t="shared" si="33"/>
        <v>2064172.7137499999</v>
      </c>
      <c r="M128" s="84">
        <f t="shared" si="33"/>
        <v>2167381.3494375004</v>
      </c>
      <c r="N128" s="3"/>
      <c r="O128" s="197" t="s">
        <v>106</v>
      </c>
      <c r="P128" s="198"/>
      <c r="Q128" s="89">
        <f>R128/$H$93</f>
        <v>0.46140470044830867</v>
      </c>
      <c r="R128" s="102">
        <f>$B$140</f>
        <v>1698200</v>
      </c>
      <c r="S128" s="85">
        <f t="shared" ref="S128:W130" si="34">S$93*$G128</f>
        <v>1783110</v>
      </c>
      <c r="T128" s="85">
        <f t="shared" si="34"/>
        <v>1872265.5</v>
      </c>
      <c r="U128" s="85">
        <f t="shared" si="34"/>
        <v>1965878.7750000001</v>
      </c>
      <c r="V128" s="85">
        <f t="shared" si="34"/>
        <v>2064172.7137499999</v>
      </c>
      <c r="W128" s="84">
        <f t="shared" si="34"/>
        <v>2167381.3494375004</v>
      </c>
    </row>
    <row r="129" spans="1:23" x14ac:dyDescent="0.25">
      <c r="A129" s="49" t="s">
        <v>35</v>
      </c>
      <c r="B129" s="109">
        <f>'Lions Gate financial'!P9</f>
        <v>184300</v>
      </c>
      <c r="D129" s="188">
        <f t="shared" si="26"/>
        <v>0.46140470044830867</v>
      </c>
      <c r="E129" s="197" t="s">
        <v>24</v>
      </c>
      <c r="F129" s="198"/>
      <c r="G129" s="89">
        <f>H129/$H$93</f>
        <v>1.2783860888466241</v>
      </c>
      <c r="H129" s="102">
        <f>$B$141</f>
        <v>4705100</v>
      </c>
      <c r="I129" s="85">
        <f t="shared" si="33"/>
        <v>4940355</v>
      </c>
      <c r="J129" s="85">
        <f t="shared" si="33"/>
        <v>5187372.75</v>
      </c>
      <c r="K129" s="85">
        <f t="shared" si="33"/>
        <v>5446741.3875000002</v>
      </c>
      <c r="L129" s="85">
        <f t="shared" si="33"/>
        <v>5719078.4568749992</v>
      </c>
      <c r="M129" s="84">
        <f t="shared" si="33"/>
        <v>6005032.3797187498</v>
      </c>
      <c r="N129" s="3"/>
      <c r="O129" s="197" t="s">
        <v>24</v>
      </c>
      <c r="P129" s="198"/>
      <c r="Q129" s="89">
        <f>R129/$H$93</f>
        <v>1.2783860888466241</v>
      </c>
      <c r="R129" s="102">
        <f>$B$141</f>
        <v>4705100</v>
      </c>
      <c r="S129" s="85">
        <f t="shared" si="34"/>
        <v>4940355</v>
      </c>
      <c r="T129" s="85">
        <f t="shared" si="34"/>
        <v>5187372.75</v>
      </c>
      <c r="U129" s="85">
        <f t="shared" si="34"/>
        <v>5446741.3875000002</v>
      </c>
      <c r="V129" s="85">
        <f t="shared" si="34"/>
        <v>5719078.4568749992</v>
      </c>
      <c r="W129" s="84">
        <f t="shared" si="34"/>
        <v>6005032.3797187498</v>
      </c>
    </row>
    <row r="130" spans="1:23" x14ac:dyDescent="0.25">
      <c r="A130" s="75" t="s">
        <v>33</v>
      </c>
      <c r="B130" s="112">
        <f>'Lions Gate financial'!P11</f>
        <v>184300</v>
      </c>
      <c r="D130" s="188">
        <f t="shared" si="26"/>
        <v>1.2783860888466241</v>
      </c>
      <c r="E130" s="197" t="s">
        <v>22</v>
      </c>
      <c r="F130" s="198"/>
      <c r="G130" s="89">
        <f>H130/$H$93</f>
        <v>0.12386903953267218</v>
      </c>
      <c r="H130" s="85">
        <f>$B$143+B142</f>
        <v>455900</v>
      </c>
      <c r="I130" s="85">
        <f t="shared" si="33"/>
        <v>478695</v>
      </c>
      <c r="J130" s="85">
        <f t="shared" si="33"/>
        <v>502629.75</v>
      </c>
      <c r="K130" s="85">
        <f t="shared" si="33"/>
        <v>527761.23749999993</v>
      </c>
      <c r="L130" s="85">
        <f t="shared" si="33"/>
        <v>554149.29937499994</v>
      </c>
      <c r="M130" s="84">
        <f t="shared" si="33"/>
        <v>581856.76434374996</v>
      </c>
      <c r="N130" s="3"/>
      <c r="O130" s="197" t="s">
        <v>22</v>
      </c>
      <c r="P130" s="198"/>
      <c r="Q130" s="89">
        <f>R130/$H$93</f>
        <v>0.12386903953267218</v>
      </c>
      <c r="R130" s="85">
        <f>$B$143+B142</f>
        <v>455900</v>
      </c>
      <c r="S130" s="85">
        <f t="shared" si="34"/>
        <v>478695</v>
      </c>
      <c r="T130" s="85">
        <f t="shared" si="34"/>
        <v>502629.75</v>
      </c>
      <c r="U130" s="85">
        <f t="shared" si="34"/>
        <v>527761.23749999993</v>
      </c>
      <c r="V130" s="85">
        <f t="shared" si="34"/>
        <v>554149.29937499994</v>
      </c>
      <c r="W130" s="84">
        <f t="shared" si="34"/>
        <v>581856.76434374996</v>
      </c>
    </row>
    <row r="131" spans="1:23" x14ac:dyDescent="0.25">
      <c r="A131" s="49" t="s">
        <v>32</v>
      </c>
      <c r="B131" s="109">
        <f>'Lions Gate financial'!P12</f>
        <v>743900</v>
      </c>
      <c r="D131" s="188">
        <f t="shared" si="26"/>
        <v>0.12386903953267218</v>
      </c>
      <c r="E131" s="195" t="s">
        <v>21</v>
      </c>
      <c r="F131" s="196"/>
      <c r="G131" s="89">
        <f>H131/$H$93</f>
        <v>2.284716750441516</v>
      </c>
      <c r="H131" s="88">
        <f t="shared" ref="H131:M131" si="35">H124+H127+H128+H129+H130</f>
        <v>8408900</v>
      </c>
      <c r="I131" s="87">
        <f t="shared" si="35"/>
        <v>8739705.9749999996</v>
      </c>
      <c r="J131" s="87">
        <f t="shared" si="35"/>
        <v>9176691.2737499997</v>
      </c>
      <c r="K131" s="87">
        <f t="shared" si="35"/>
        <v>9635525.8374375012</v>
      </c>
      <c r="L131" s="87">
        <f t="shared" si="35"/>
        <v>10117302.129309373</v>
      </c>
      <c r="M131" s="86">
        <f t="shared" si="35"/>
        <v>10623167.235774843</v>
      </c>
      <c r="N131" s="3"/>
      <c r="O131" s="195" t="s">
        <v>21</v>
      </c>
      <c r="P131" s="196"/>
      <c r="Q131" s="89">
        <f>R131/$H$93</f>
        <v>2.284716750441516</v>
      </c>
      <c r="R131" s="88">
        <f t="shared" ref="R131:W131" si="36">R124+R127+R128+R129+R130</f>
        <v>8408900</v>
      </c>
      <c r="S131" s="87">
        <f t="shared" si="36"/>
        <v>8739705.9749999996</v>
      </c>
      <c r="T131" s="87">
        <f t="shared" si="36"/>
        <v>9176691.2737499997</v>
      </c>
      <c r="U131" s="87">
        <f t="shared" si="36"/>
        <v>9635525.8374375012</v>
      </c>
      <c r="V131" s="87">
        <f t="shared" si="36"/>
        <v>10117302.129309373</v>
      </c>
      <c r="W131" s="86">
        <f t="shared" si="36"/>
        <v>10623167.235774843</v>
      </c>
    </row>
    <row r="132" spans="1:23" x14ac:dyDescent="0.25">
      <c r="A132" s="49" t="s">
        <v>104</v>
      </c>
      <c r="B132" s="109">
        <f>'Lions Gate financial'!P13</f>
        <v>19900</v>
      </c>
      <c r="D132" s="188">
        <f t="shared" si="26"/>
        <v>2.284716750441516</v>
      </c>
      <c r="E132" s="197" t="s">
        <v>20</v>
      </c>
      <c r="F132" s="198"/>
      <c r="G132" s="191">
        <v>0.02</v>
      </c>
      <c r="H132" s="102">
        <f>$B$145</f>
        <v>531200</v>
      </c>
      <c r="I132" s="85">
        <f>I$93*$G132</f>
        <v>77290.5</v>
      </c>
      <c r="J132" s="85">
        <f>J$93*$G132</f>
        <v>81155.025000000009</v>
      </c>
      <c r="K132" s="85">
        <f>K$93*$G132</f>
        <v>85212.776249999995</v>
      </c>
      <c r="L132" s="85">
        <f>L$93*$G132</f>
        <v>89473.415062500004</v>
      </c>
      <c r="M132" s="84">
        <f>M$93*$G132</f>
        <v>93947.085815625003</v>
      </c>
      <c r="N132" s="3"/>
      <c r="O132" s="197" t="s">
        <v>20</v>
      </c>
      <c r="P132" s="198"/>
      <c r="Q132" s="191">
        <v>0.02</v>
      </c>
      <c r="R132" s="102">
        <f>$B$145</f>
        <v>531200</v>
      </c>
      <c r="S132" s="85">
        <f>S$93*$G132</f>
        <v>77290.5</v>
      </c>
      <c r="T132" s="85">
        <f>T$93*$G132</f>
        <v>81155.025000000009</v>
      </c>
      <c r="U132" s="85">
        <f>U$93*$G132</f>
        <v>85212.776249999995</v>
      </c>
      <c r="V132" s="85">
        <f>V$93*$G132</f>
        <v>89473.415062500004</v>
      </c>
      <c r="W132" s="84">
        <f>W$93*$G132</f>
        <v>93947.085815625003</v>
      </c>
    </row>
    <row r="133" spans="1:23" x14ac:dyDescent="0.25">
      <c r="A133" s="49" t="s">
        <v>31</v>
      </c>
      <c r="B133" s="82" t="s">
        <v>3</v>
      </c>
      <c r="D133" s="188">
        <f t="shared" si="26"/>
        <v>0.14432821627496265</v>
      </c>
      <c r="E133" s="197" t="s">
        <v>17</v>
      </c>
      <c r="F133" s="198" t="s">
        <v>17</v>
      </c>
      <c r="G133" s="89">
        <f t="shared" ref="G133:G140" si="37">H133/$H$93</f>
        <v>0.15383779377801929</v>
      </c>
      <c r="H133" s="95">
        <f t="shared" ref="H133:M133" si="38">$B$148</f>
        <v>566200</v>
      </c>
      <c r="I133" s="94">
        <f t="shared" si="38"/>
        <v>566200</v>
      </c>
      <c r="J133" s="94">
        <f t="shared" si="38"/>
        <v>566200</v>
      </c>
      <c r="K133" s="94">
        <f t="shared" si="38"/>
        <v>566200</v>
      </c>
      <c r="L133" s="94">
        <f t="shared" si="38"/>
        <v>566200</v>
      </c>
      <c r="M133" s="93">
        <f t="shared" si="38"/>
        <v>566200</v>
      </c>
      <c r="N133" s="3"/>
      <c r="O133" s="197" t="s">
        <v>17</v>
      </c>
      <c r="P133" s="198" t="s">
        <v>17</v>
      </c>
      <c r="Q133" s="89">
        <f t="shared" ref="Q133:Q140" si="39">R133/$H$93</f>
        <v>0.15383779377801929</v>
      </c>
      <c r="R133" s="92">
        <f t="shared" ref="R133:W133" si="40">$B$148</f>
        <v>566200</v>
      </c>
      <c r="S133" s="91">
        <f t="shared" si="40"/>
        <v>566200</v>
      </c>
      <c r="T133" s="91">
        <f t="shared" si="40"/>
        <v>566200</v>
      </c>
      <c r="U133" s="91">
        <f t="shared" si="40"/>
        <v>566200</v>
      </c>
      <c r="V133" s="91">
        <f t="shared" si="40"/>
        <v>566200</v>
      </c>
      <c r="W133" s="90">
        <f t="shared" si="40"/>
        <v>566200</v>
      </c>
    </row>
    <row r="134" spans="1:23" x14ac:dyDescent="0.25">
      <c r="A134" s="49" t="s">
        <v>30</v>
      </c>
      <c r="B134" s="82" t="s">
        <v>3</v>
      </c>
      <c r="D134" s="188">
        <f t="shared" si="26"/>
        <v>0.15383779377801929</v>
      </c>
      <c r="E134" s="197" t="s">
        <v>15</v>
      </c>
      <c r="F134" s="198" t="s">
        <v>15</v>
      </c>
      <c r="G134" s="89">
        <f t="shared" si="37"/>
        <v>0.15079472897704116</v>
      </c>
      <c r="H134" s="95">
        <f t="shared" ref="H134:M134" si="41">$B$149</f>
        <v>555000</v>
      </c>
      <c r="I134" s="94">
        <f t="shared" si="41"/>
        <v>555000</v>
      </c>
      <c r="J134" s="94">
        <f t="shared" si="41"/>
        <v>555000</v>
      </c>
      <c r="K134" s="94">
        <f t="shared" si="41"/>
        <v>555000</v>
      </c>
      <c r="L134" s="94">
        <f t="shared" si="41"/>
        <v>555000</v>
      </c>
      <c r="M134" s="93">
        <f t="shared" si="41"/>
        <v>555000</v>
      </c>
      <c r="N134" s="3"/>
      <c r="O134" s="197" t="s">
        <v>15</v>
      </c>
      <c r="P134" s="198" t="s">
        <v>15</v>
      </c>
      <c r="Q134" s="89">
        <f t="shared" si="39"/>
        <v>0.15079472897704116</v>
      </c>
      <c r="R134" s="92">
        <f t="shared" ref="R134:W134" si="42">$B$149</f>
        <v>555000</v>
      </c>
      <c r="S134" s="91">
        <f t="shared" si="42"/>
        <v>555000</v>
      </c>
      <c r="T134" s="91">
        <f t="shared" si="42"/>
        <v>555000</v>
      </c>
      <c r="U134" s="91">
        <f t="shared" si="42"/>
        <v>555000</v>
      </c>
      <c r="V134" s="91">
        <f t="shared" si="42"/>
        <v>555000</v>
      </c>
      <c r="W134" s="90">
        <f t="shared" si="42"/>
        <v>555000</v>
      </c>
    </row>
    <row r="135" spans="1:23" x14ac:dyDescent="0.25">
      <c r="A135" s="49" t="s">
        <v>29</v>
      </c>
      <c r="B135" s="109">
        <f>'Lions Gate financial'!P14</f>
        <v>446300</v>
      </c>
      <c r="D135" s="188">
        <f t="shared" si="26"/>
        <v>0.15079472897704116</v>
      </c>
      <c r="E135" s="195" t="s">
        <v>14</v>
      </c>
      <c r="F135" s="196"/>
      <c r="G135" s="89">
        <f t="shared" si="37"/>
        <v>0.44896073903002309</v>
      </c>
      <c r="H135" s="88">
        <f t="shared" ref="H135:M135" si="43">SUM(H132:H134)</f>
        <v>1652400</v>
      </c>
      <c r="I135" s="87">
        <f t="shared" si="43"/>
        <v>1198490.5</v>
      </c>
      <c r="J135" s="87">
        <f t="shared" si="43"/>
        <v>1202355.0249999999</v>
      </c>
      <c r="K135" s="87">
        <f t="shared" si="43"/>
        <v>1206412.7762500001</v>
      </c>
      <c r="L135" s="87">
        <f t="shared" si="43"/>
        <v>1210673.4150625002</v>
      </c>
      <c r="M135" s="86">
        <f t="shared" si="43"/>
        <v>1215147.085815625</v>
      </c>
      <c r="N135" s="3"/>
      <c r="O135" s="195" t="s">
        <v>14</v>
      </c>
      <c r="P135" s="196"/>
      <c r="Q135" s="89">
        <f t="shared" si="39"/>
        <v>0.44896073903002309</v>
      </c>
      <c r="R135" s="88">
        <f t="shared" ref="R135:W135" si="44">SUM(R132:R134)</f>
        <v>1652400</v>
      </c>
      <c r="S135" s="87">
        <f t="shared" si="44"/>
        <v>1198490.5</v>
      </c>
      <c r="T135" s="87">
        <f t="shared" si="44"/>
        <v>1202355.0249999999</v>
      </c>
      <c r="U135" s="87">
        <f t="shared" si="44"/>
        <v>1206412.7762500001</v>
      </c>
      <c r="V135" s="87">
        <f t="shared" si="44"/>
        <v>1210673.4150625002</v>
      </c>
      <c r="W135" s="86">
        <f t="shared" si="44"/>
        <v>1215147.085815625</v>
      </c>
    </row>
    <row r="136" spans="1:23" x14ac:dyDescent="0.25">
      <c r="A136" s="75" t="s">
        <v>28</v>
      </c>
      <c r="B136" s="109">
        <f>'Lions Gate financial'!P15</f>
        <v>1394400</v>
      </c>
      <c r="D136" s="188">
        <f t="shared" si="26"/>
        <v>0.44896073903002309</v>
      </c>
      <c r="E136" s="195" t="s">
        <v>13</v>
      </c>
      <c r="F136" s="196"/>
      <c r="G136" s="89">
        <f t="shared" si="37"/>
        <v>0.81344925961146586</v>
      </c>
      <c r="H136" s="101">
        <f t="shared" ref="H136:M136" si="45">$B$151</f>
        <v>2993900</v>
      </c>
      <c r="I136" s="100">
        <f t="shared" si="45"/>
        <v>2993900</v>
      </c>
      <c r="J136" s="100">
        <f t="shared" si="45"/>
        <v>2993900</v>
      </c>
      <c r="K136" s="100">
        <f t="shared" si="45"/>
        <v>2993900</v>
      </c>
      <c r="L136" s="100">
        <f t="shared" si="45"/>
        <v>2993900</v>
      </c>
      <c r="M136" s="99">
        <f t="shared" si="45"/>
        <v>2993900</v>
      </c>
      <c r="N136" s="3"/>
      <c r="O136" s="195" t="s">
        <v>13</v>
      </c>
      <c r="P136" s="196"/>
      <c r="Q136" s="89">
        <f t="shared" si="39"/>
        <v>0.81344925961146586</v>
      </c>
      <c r="R136" s="98">
        <f>$B$151</f>
        <v>2993900</v>
      </c>
      <c r="S136" s="97">
        <f>IF(I141&gt;0,I136+I141-S114,I136)</f>
        <v>3639963.9386654133</v>
      </c>
      <c r="T136" s="97">
        <f>IF(J141&gt;0,J136+J141-T114,J136)</f>
        <v>3894471.0200309712</v>
      </c>
      <c r="U136" s="97">
        <f>IF(K141&gt;0,K136+K141-U114,K136)</f>
        <v>4178355.6640648367</v>
      </c>
      <c r="V136" s="97">
        <f>IF(L141&gt;0,L136+L141-V114,L136)</f>
        <v>4475780.3242484415</v>
      </c>
      <c r="W136" s="96">
        <f>IF(M141&gt;0,M136+M141-W114,M136)</f>
        <v>4788101.9196560485</v>
      </c>
    </row>
    <row r="137" spans="1:23" ht="14.25" customHeight="1" x14ac:dyDescent="0.25">
      <c r="A137" s="49" t="s">
        <v>27</v>
      </c>
      <c r="B137" s="109">
        <f>'Lions Gate financial'!P16</f>
        <v>296300</v>
      </c>
      <c r="D137" s="188">
        <f t="shared" si="26"/>
        <v>0.81344925961146586</v>
      </c>
      <c r="E137" s="197" t="s">
        <v>11</v>
      </c>
      <c r="F137" s="198"/>
      <c r="G137" s="89">
        <f t="shared" si="37"/>
        <v>0.22928949870941448</v>
      </c>
      <c r="H137" s="95">
        <f t="shared" ref="H137:M137" si="46">SUM($B$152:$B$155)</f>
        <v>843900</v>
      </c>
      <c r="I137" s="94">
        <f t="shared" si="46"/>
        <v>843900</v>
      </c>
      <c r="J137" s="94">
        <f t="shared" si="46"/>
        <v>843900</v>
      </c>
      <c r="K137" s="94">
        <f t="shared" si="46"/>
        <v>843900</v>
      </c>
      <c r="L137" s="94">
        <f t="shared" si="46"/>
        <v>843900</v>
      </c>
      <c r="M137" s="93">
        <f t="shared" si="46"/>
        <v>843900</v>
      </c>
      <c r="N137" s="3"/>
      <c r="O137" s="197" t="s">
        <v>11</v>
      </c>
      <c r="P137" s="198"/>
      <c r="Q137" s="89">
        <f t="shared" si="39"/>
        <v>0.22928949870941448</v>
      </c>
      <c r="R137" s="92">
        <f t="shared" ref="R137:W137" si="47">SUM($B$152:$B$155)</f>
        <v>843900</v>
      </c>
      <c r="S137" s="91">
        <f t="shared" si="47"/>
        <v>843900</v>
      </c>
      <c r="T137" s="91">
        <f t="shared" si="47"/>
        <v>843900</v>
      </c>
      <c r="U137" s="91">
        <f t="shared" si="47"/>
        <v>843900</v>
      </c>
      <c r="V137" s="91">
        <f t="shared" si="47"/>
        <v>843900</v>
      </c>
      <c r="W137" s="90">
        <f t="shared" si="47"/>
        <v>843900</v>
      </c>
    </row>
    <row r="138" spans="1:23" x14ac:dyDescent="0.25">
      <c r="A138" s="49" t="s">
        <v>26</v>
      </c>
      <c r="B138" s="109">
        <f>'Lions Gate financial'!P17</f>
        <v>141000</v>
      </c>
      <c r="D138" s="188">
        <f t="shared" si="26"/>
        <v>0.22928949870941448</v>
      </c>
      <c r="E138" s="195" t="s">
        <v>10</v>
      </c>
      <c r="F138" s="196"/>
      <c r="G138" s="89">
        <f t="shared" si="37"/>
        <v>1.4916994973509035</v>
      </c>
      <c r="H138" s="88">
        <f t="shared" ref="H138:M138" si="48">SUM(H135:H137)</f>
        <v>5490200</v>
      </c>
      <c r="I138" s="152">
        <f t="shared" si="48"/>
        <v>5036290.5</v>
      </c>
      <c r="J138" s="152">
        <f t="shared" si="48"/>
        <v>5040155.0250000004</v>
      </c>
      <c r="K138" s="152">
        <f t="shared" si="48"/>
        <v>5044212.7762500001</v>
      </c>
      <c r="L138" s="152">
        <f t="shared" si="48"/>
        <v>5048473.4150625002</v>
      </c>
      <c r="M138" s="153">
        <f t="shared" si="48"/>
        <v>5052947.0858156253</v>
      </c>
      <c r="N138" s="3"/>
      <c r="O138" s="195" t="s">
        <v>10</v>
      </c>
      <c r="P138" s="196"/>
      <c r="Q138" s="89">
        <f t="shared" si="39"/>
        <v>1.4916994973509035</v>
      </c>
      <c r="R138" s="88">
        <f t="shared" ref="R138:W138" si="49">SUM(R135:R137)</f>
        <v>5490200</v>
      </c>
      <c r="S138" s="152">
        <f t="shared" si="49"/>
        <v>5682354.4386654133</v>
      </c>
      <c r="T138" s="152">
        <f t="shared" si="49"/>
        <v>5940726.0450309711</v>
      </c>
      <c r="U138" s="152">
        <f t="shared" si="49"/>
        <v>6228668.4403148368</v>
      </c>
      <c r="V138" s="152">
        <f t="shared" si="49"/>
        <v>6530353.7393109417</v>
      </c>
      <c r="W138" s="153">
        <f t="shared" si="49"/>
        <v>6847149.0054716738</v>
      </c>
    </row>
    <row r="139" spans="1:23" x14ac:dyDescent="0.25">
      <c r="A139" s="75" t="s">
        <v>25</v>
      </c>
      <c r="B139" s="112">
        <f>'Lions Gate financial'!P18</f>
        <v>155300</v>
      </c>
      <c r="D139" s="188">
        <f t="shared" si="26"/>
        <v>1.4916994973509035</v>
      </c>
      <c r="E139" s="195" t="s">
        <v>1</v>
      </c>
      <c r="F139" s="196"/>
      <c r="G139" s="89">
        <f t="shared" si="37"/>
        <v>0.79301725309061266</v>
      </c>
      <c r="H139" s="87">
        <f>B163</f>
        <v>2918700</v>
      </c>
      <c r="I139" s="150">
        <f>I$93*$G139</f>
        <v>3064635</v>
      </c>
      <c r="J139" s="150">
        <f>J$93*$G139</f>
        <v>3217866.75</v>
      </c>
      <c r="K139" s="150">
        <f>K$93*$G139</f>
        <v>3378760.0874999999</v>
      </c>
      <c r="L139" s="150">
        <f>L$93*$G139</f>
        <v>3547698.0918749999</v>
      </c>
      <c r="M139" s="151">
        <f>M$93*$G139</f>
        <v>3725082.9964687498</v>
      </c>
      <c r="N139" s="3"/>
      <c r="O139" s="195" t="s">
        <v>1</v>
      </c>
      <c r="P139" s="196"/>
      <c r="Q139" s="89">
        <f t="shared" si="39"/>
        <v>0.79301725309061266</v>
      </c>
      <c r="R139" s="87">
        <f>B163</f>
        <v>2918700</v>
      </c>
      <c r="S139" s="150">
        <f>I139+S114</f>
        <v>3057351.5363345863</v>
      </c>
      <c r="T139" s="150">
        <f>J139+T114</f>
        <v>3235965.2287190282</v>
      </c>
      <c r="U139" s="150">
        <f>K139+U114</f>
        <v>3406857.3971226648</v>
      </c>
      <c r="V139" s="150">
        <f>L139+V114</f>
        <v>3586948.3899984313</v>
      </c>
      <c r="W139" s="151">
        <f>M139+W114</f>
        <v>3776018.2303031683</v>
      </c>
    </row>
    <row r="140" spans="1:23" x14ac:dyDescent="0.25">
      <c r="A140" s="49" t="s">
        <v>106</v>
      </c>
      <c r="B140" s="109">
        <f>'Lions Gate financial'!P20</f>
        <v>1698200</v>
      </c>
      <c r="D140" s="188">
        <f t="shared" si="26"/>
        <v>0.79301725309061266</v>
      </c>
      <c r="E140" s="195" t="s">
        <v>0</v>
      </c>
      <c r="F140" s="196"/>
      <c r="G140" s="89">
        <f t="shared" si="37"/>
        <v>2.284716750441516</v>
      </c>
      <c r="H140" s="88">
        <f t="shared" ref="H140:M140" si="50">H138+H139</f>
        <v>8408900</v>
      </c>
      <c r="I140" s="152">
        <f t="shared" si="50"/>
        <v>8100925.5</v>
      </c>
      <c r="J140" s="152">
        <f t="shared" si="50"/>
        <v>8258021.7750000004</v>
      </c>
      <c r="K140" s="152">
        <f t="shared" si="50"/>
        <v>8422972.8637499996</v>
      </c>
      <c r="L140" s="152">
        <f t="shared" si="50"/>
        <v>8596171.5069375001</v>
      </c>
      <c r="M140" s="153">
        <f t="shared" si="50"/>
        <v>8778030.082284376</v>
      </c>
      <c r="N140" s="3"/>
      <c r="O140" s="195" t="s">
        <v>0</v>
      </c>
      <c r="P140" s="196"/>
      <c r="Q140" s="89">
        <f t="shared" si="39"/>
        <v>2.284716750441516</v>
      </c>
      <c r="R140" s="88">
        <f t="shared" ref="R140:W140" si="51">R138+R139</f>
        <v>8408900</v>
      </c>
      <c r="S140" s="152">
        <f t="shared" si="51"/>
        <v>8739705.9749999996</v>
      </c>
      <c r="T140" s="152">
        <f t="shared" si="51"/>
        <v>9176691.2737499997</v>
      </c>
      <c r="U140" s="152">
        <f t="shared" si="51"/>
        <v>9635525.8374375012</v>
      </c>
      <c r="V140" s="152">
        <f t="shared" si="51"/>
        <v>10117302.129309373</v>
      </c>
      <c r="W140" s="153">
        <f t="shared" si="51"/>
        <v>10623167.235774841</v>
      </c>
    </row>
    <row r="141" spans="1:23" x14ac:dyDescent="0.25">
      <c r="A141" s="49" t="s">
        <v>24</v>
      </c>
      <c r="B141" s="109">
        <f>'Lions Gate financial'!P21</f>
        <v>4705100</v>
      </c>
      <c r="D141" s="188">
        <f t="shared" si="26"/>
        <v>2.284716750441516</v>
      </c>
      <c r="E141" s="195" t="s">
        <v>135</v>
      </c>
      <c r="F141" s="196"/>
      <c r="G141" s="78"/>
      <c r="H141" s="3">
        <f t="shared" ref="H141:M141" si="52">H131-H140</f>
        <v>0</v>
      </c>
      <c r="I141" s="150">
        <f t="shared" si="52"/>
        <v>638780.47499999963</v>
      </c>
      <c r="J141" s="150">
        <f t="shared" si="52"/>
        <v>918669.49874999933</v>
      </c>
      <c r="K141" s="150">
        <f t="shared" si="52"/>
        <v>1212552.9736875016</v>
      </c>
      <c r="L141" s="150">
        <f t="shared" si="52"/>
        <v>1521130.6223718729</v>
      </c>
      <c r="M141" s="151">
        <f t="shared" si="52"/>
        <v>1845137.153490467</v>
      </c>
      <c r="N141" s="3"/>
      <c r="O141" s="195" t="s">
        <v>135</v>
      </c>
      <c r="P141" s="196"/>
      <c r="Q141" s="166"/>
      <c r="R141" s="3">
        <f t="shared" ref="R141:W141" si="53">R131-R140</f>
        <v>0</v>
      </c>
      <c r="S141" s="85">
        <f t="shared" si="53"/>
        <v>0</v>
      </c>
      <c r="T141" s="85">
        <f t="shared" si="53"/>
        <v>0</v>
      </c>
      <c r="U141" s="85">
        <f t="shared" si="53"/>
        <v>0</v>
      </c>
      <c r="V141" s="85">
        <f t="shared" si="53"/>
        <v>0</v>
      </c>
      <c r="W141" s="84">
        <f t="shared" si="53"/>
        <v>0</v>
      </c>
    </row>
    <row r="142" spans="1:23" ht="15.75" thickBot="1" x14ac:dyDescent="0.3">
      <c r="A142" s="49" t="s">
        <v>134</v>
      </c>
      <c r="B142" s="109">
        <f>'Lions Gate financial'!P19+'Lions Gate financial'!P22</f>
        <v>346700</v>
      </c>
      <c r="E142" s="207" t="s">
        <v>133</v>
      </c>
      <c r="F142" s="208"/>
      <c r="G142" s="66"/>
      <c r="H142" s="83" t="str">
        <f t="shared" ref="H142:M142" si="54">IF(H141=0, "Yes", "No")</f>
        <v>Yes</v>
      </c>
      <c r="I142" s="83" t="str">
        <f t="shared" si="54"/>
        <v>No</v>
      </c>
      <c r="J142" s="83" t="str">
        <f t="shared" si="54"/>
        <v>No</v>
      </c>
      <c r="K142" s="83" t="str">
        <f t="shared" si="54"/>
        <v>No</v>
      </c>
      <c r="L142" s="83" t="str">
        <f t="shared" si="54"/>
        <v>No</v>
      </c>
      <c r="M142" s="80" t="str">
        <f t="shared" si="54"/>
        <v>No</v>
      </c>
      <c r="N142" s="3"/>
      <c r="O142" s="207" t="s">
        <v>133</v>
      </c>
      <c r="P142" s="208"/>
      <c r="Q142" s="66"/>
      <c r="R142" s="83" t="str">
        <f t="shared" ref="R142:W142" si="55">IF(R141=0, "Yes", "No")</f>
        <v>Yes</v>
      </c>
      <c r="S142" s="83" t="str">
        <f t="shared" si="55"/>
        <v>Yes</v>
      </c>
      <c r="T142" s="83" t="str">
        <f t="shared" si="55"/>
        <v>Yes</v>
      </c>
      <c r="U142" s="83" t="str">
        <f t="shared" si="55"/>
        <v>Yes</v>
      </c>
      <c r="V142" s="83" t="str">
        <f t="shared" si="55"/>
        <v>Yes</v>
      </c>
      <c r="W142" s="80" t="str">
        <f t="shared" si="55"/>
        <v>Yes</v>
      </c>
    </row>
    <row r="143" spans="1:23" x14ac:dyDescent="0.25">
      <c r="A143" s="49" t="s">
        <v>22</v>
      </c>
      <c r="B143" s="109">
        <f>'Lions Gate financial'!P23</f>
        <v>109200</v>
      </c>
      <c r="O143" s="196"/>
      <c r="P143" s="196"/>
      <c r="R143" s="3"/>
      <c r="S143" s="3"/>
      <c r="T143" s="3"/>
      <c r="U143" s="3"/>
      <c r="V143" s="3"/>
      <c r="W143" s="3"/>
    </row>
    <row r="144" spans="1:23" x14ac:dyDescent="0.25">
      <c r="A144" s="75" t="s">
        <v>21</v>
      </c>
      <c r="B144" s="112">
        <f>'Lions Gate financial'!P24</f>
        <v>8408900</v>
      </c>
    </row>
    <row r="145" spans="1:4" x14ac:dyDescent="0.25">
      <c r="A145" s="49" t="s">
        <v>20</v>
      </c>
      <c r="B145" s="109">
        <f>'Lions Gate financial'!P25</f>
        <v>531200</v>
      </c>
    </row>
    <row r="146" spans="1:4" x14ac:dyDescent="0.25">
      <c r="A146" s="49" t="s">
        <v>19</v>
      </c>
      <c r="B146" s="109">
        <f>'Lions Gate financial'!P26</f>
        <v>531200</v>
      </c>
      <c r="D146" s="1"/>
    </row>
    <row r="147" spans="1:4" x14ac:dyDescent="0.25">
      <c r="A147" s="49" t="s">
        <v>18</v>
      </c>
      <c r="B147" s="82"/>
    </row>
    <row r="148" spans="1:4" x14ac:dyDescent="0.25">
      <c r="A148" s="49" t="s">
        <v>17</v>
      </c>
      <c r="B148" s="109">
        <f>'Lions Gate financial'!P27</f>
        <v>566200</v>
      </c>
    </row>
    <row r="149" spans="1:4" x14ac:dyDescent="0.25">
      <c r="A149" s="49" t="s">
        <v>15</v>
      </c>
      <c r="B149" s="109">
        <f>'Lions Gate financial'!P29</f>
        <v>555000</v>
      </c>
    </row>
    <row r="150" spans="1:4" x14ac:dyDescent="0.25">
      <c r="A150" s="75" t="s">
        <v>14</v>
      </c>
      <c r="B150" s="112">
        <f>'Lions Gate financial'!P30</f>
        <v>1652400</v>
      </c>
    </row>
    <row r="151" spans="1:4" x14ac:dyDescent="0.25">
      <c r="A151" s="49" t="s">
        <v>13</v>
      </c>
      <c r="B151" s="109">
        <f>'Lions Gate financial'!P31</f>
        <v>2993900</v>
      </c>
    </row>
    <row r="152" spans="1:4" x14ac:dyDescent="0.25">
      <c r="A152" s="49" t="s">
        <v>108</v>
      </c>
      <c r="B152" s="109">
        <f>'Lions Gate financial'!P32</f>
        <v>119300</v>
      </c>
    </row>
    <row r="153" spans="1:4" x14ac:dyDescent="0.25">
      <c r="A153" s="140" t="s">
        <v>109</v>
      </c>
      <c r="B153" s="65">
        <f>'Lions Gate financial'!P33</f>
        <v>0</v>
      </c>
    </row>
    <row r="154" spans="1:4" x14ac:dyDescent="0.25">
      <c r="A154" s="49" t="s">
        <v>12</v>
      </c>
      <c r="B154" s="109">
        <f>'Lions Gate financial'!P34</f>
        <v>130800</v>
      </c>
    </row>
    <row r="155" spans="1:4" x14ac:dyDescent="0.25">
      <c r="A155" s="49" t="s">
        <v>11</v>
      </c>
      <c r="B155" s="109">
        <f>'Lions Gate financial'!P35</f>
        <v>593800</v>
      </c>
    </row>
    <row r="156" spans="1:4" x14ac:dyDescent="0.25">
      <c r="A156" s="75" t="s">
        <v>10</v>
      </c>
      <c r="B156" s="112">
        <f>'Lions Gate financial'!P36</f>
        <v>5490200</v>
      </c>
    </row>
    <row r="157" spans="1:4" x14ac:dyDescent="0.25">
      <c r="A157" s="49" t="s">
        <v>9</v>
      </c>
      <c r="B157" s="109">
        <f>'Lions Gate financial'!P37</f>
        <v>2790300</v>
      </c>
    </row>
    <row r="158" spans="1:4" x14ac:dyDescent="0.25">
      <c r="A158" s="49" t="s">
        <v>7</v>
      </c>
      <c r="B158" s="109">
        <f>'Lions Gate financial'!P38</f>
        <v>208700</v>
      </c>
    </row>
    <row r="159" spans="1:4" x14ac:dyDescent="0.25">
      <c r="A159" s="49" t="s">
        <v>6</v>
      </c>
      <c r="B159" s="109">
        <f>'Lions Gate financial'!P39</f>
        <v>80300</v>
      </c>
    </row>
    <row r="160" spans="1:4" x14ac:dyDescent="0.25">
      <c r="A160" s="49" t="s">
        <v>5</v>
      </c>
      <c r="B160" s="109">
        <f>'Lions Gate financial'!P40</f>
        <v>0</v>
      </c>
    </row>
    <row r="161" spans="1:2" x14ac:dyDescent="0.25">
      <c r="A161" s="49" t="s">
        <v>4</v>
      </c>
      <c r="B161" s="109">
        <f>'Lions Gate financial'!P41</f>
        <v>18200</v>
      </c>
    </row>
    <row r="162" spans="1:2" x14ac:dyDescent="0.25">
      <c r="A162" s="49" t="s">
        <v>2</v>
      </c>
      <c r="B162" s="142">
        <f>'Lions Gate financial'!P42</f>
        <v>18200</v>
      </c>
    </row>
    <row r="163" spans="1:2" x14ac:dyDescent="0.25">
      <c r="A163" s="75" t="s">
        <v>1</v>
      </c>
      <c r="B163" s="112">
        <f>'Lions Gate financial'!P43</f>
        <v>2918700</v>
      </c>
    </row>
    <row r="164" spans="1:2" ht="15.75" thickBot="1" x14ac:dyDescent="0.3">
      <c r="A164" s="50" t="s">
        <v>0</v>
      </c>
      <c r="B164" s="112">
        <f>'Lions Gate financial'!P44</f>
        <v>8408900</v>
      </c>
    </row>
    <row r="165" spans="1:2" x14ac:dyDescent="0.25">
      <c r="A165" s="20"/>
      <c r="B165" s="20"/>
    </row>
    <row r="166" spans="1:2" x14ac:dyDescent="0.25">
      <c r="A166" s="20"/>
      <c r="B166" s="20"/>
    </row>
    <row r="167" spans="1:2" x14ac:dyDescent="0.25">
      <c r="A167" s="189" t="s">
        <v>214</v>
      </c>
      <c r="B167" s="20"/>
    </row>
    <row r="168" spans="1:2" x14ac:dyDescent="0.25">
      <c r="A168" s="20" t="s">
        <v>212</v>
      </c>
      <c r="B168" s="190">
        <f>B156/B163</f>
        <v>1.8810429300716072</v>
      </c>
    </row>
    <row r="169" spans="1:2" x14ac:dyDescent="0.25">
      <c r="A169" s="148" t="s">
        <v>213</v>
      </c>
      <c r="B169" s="190">
        <f>B136/B150</f>
        <v>0.84386347131445172</v>
      </c>
    </row>
    <row r="170" spans="1:2" x14ac:dyDescent="0.25">
      <c r="A170" s="20"/>
      <c r="B170" s="20"/>
    </row>
    <row r="171" spans="1:2" x14ac:dyDescent="0.25">
      <c r="A171" s="20"/>
      <c r="B171" s="20"/>
    </row>
    <row r="172" spans="1:2" x14ac:dyDescent="0.25">
      <c r="A172" s="20"/>
      <c r="B172" s="20"/>
    </row>
    <row r="173" spans="1:2" x14ac:dyDescent="0.25">
      <c r="A173" s="20"/>
      <c r="B173" s="20"/>
    </row>
    <row r="177" spans="1:7" ht="15.75" thickBot="1" x14ac:dyDescent="0.3"/>
    <row r="178" spans="1:7" ht="15.75" thickBot="1" x14ac:dyDescent="0.3">
      <c r="A178" s="61">
        <v>3</v>
      </c>
      <c r="B178" s="192" t="s">
        <v>196</v>
      </c>
      <c r="C178" s="193"/>
      <c r="D178" s="194"/>
    </row>
    <row r="179" spans="1:7" x14ac:dyDescent="0.25">
      <c r="A179" s="15"/>
    </row>
    <row r="180" spans="1:7" x14ac:dyDescent="0.25">
      <c r="A180" s="15" t="s">
        <v>198</v>
      </c>
      <c r="B180" s="1">
        <f>'Lions Gate financial'!P43+'Lions Gate financial'!P36</f>
        <v>8408900</v>
      </c>
    </row>
    <row r="181" spans="1:7" x14ac:dyDescent="0.25">
      <c r="A181" s="15" t="s">
        <v>200</v>
      </c>
      <c r="B181" s="170">
        <f>('Lions Gate financial'!P43/'Fin. Stmt. and ProForma Anlysis'!B180)*'Fin. Stmt. and ProForma Anlysis'!F85</f>
        <v>3.3460105364554224E-2</v>
      </c>
    </row>
    <row r="182" spans="1:7" ht="15.75" thickBot="1" x14ac:dyDescent="0.3">
      <c r="A182" s="15" t="s">
        <v>201</v>
      </c>
      <c r="B182" s="170">
        <f>('Lions Gate financial'!P36/'Fin. Stmt. and ProForma Anlysis'!B180)*'Fin. Stmt. and ProForma Anlysis'!F84*(1-I74)</f>
        <v>1.8939111844727775E-2</v>
      </c>
    </row>
    <row r="183" spans="1:7" ht="15.75" thickBot="1" x14ac:dyDescent="0.3">
      <c r="A183" s="172" t="s">
        <v>203</v>
      </c>
      <c r="B183" s="173">
        <f>B181+B182</f>
        <v>5.2399217209281999E-2</v>
      </c>
    </row>
    <row r="184" spans="1:7" x14ac:dyDescent="0.25">
      <c r="A184" s="15"/>
    </row>
    <row r="185" spans="1:7" x14ac:dyDescent="0.25">
      <c r="A185" s="15"/>
    </row>
    <row r="186" spans="1:7" ht="15.75" thickBot="1" x14ac:dyDescent="0.3">
      <c r="A186" s="15"/>
    </row>
    <row r="187" spans="1:7" ht="15.75" thickBot="1" x14ac:dyDescent="0.3">
      <c r="A187" s="61">
        <v>4</v>
      </c>
      <c r="B187" s="192" t="s">
        <v>197</v>
      </c>
      <c r="C187" s="193"/>
      <c r="D187" s="194"/>
    </row>
    <row r="188" spans="1:7" x14ac:dyDescent="0.25">
      <c r="A188" s="15"/>
    </row>
    <row r="189" spans="1:7" ht="15.75" thickBot="1" x14ac:dyDescent="0.3"/>
    <row r="190" spans="1:7" ht="15.75" thickBot="1" x14ac:dyDescent="0.3">
      <c r="B190" s="160">
        <v>2019</v>
      </c>
      <c r="C190" s="120">
        <v>2020</v>
      </c>
      <c r="D190" s="120">
        <v>2021</v>
      </c>
      <c r="E190" s="120">
        <v>2022</v>
      </c>
      <c r="F190" s="120">
        <v>2023</v>
      </c>
      <c r="G190" s="119">
        <v>2024</v>
      </c>
    </row>
    <row r="191" spans="1:7" x14ac:dyDescent="0.25">
      <c r="A191" s="154" t="s">
        <v>179</v>
      </c>
      <c r="B191" s="155"/>
      <c r="C191" s="156"/>
      <c r="D191" s="156"/>
      <c r="E191" s="156"/>
      <c r="F191" s="156"/>
      <c r="G191" s="157"/>
    </row>
    <row r="192" spans="1:7" x14ac:dyDescent="0.25">
      <c r="A192" s="79" t="s">
        <v>180</v>
      </c>
      <c r="B192" s="161">
        <f t="shared" ref="B192:G192" si="56">R124-R135</f>
        <v>-258000</v>
      </c>
      <c r="C192" s="162">
        <f t="shared" si="56"/>
        <v>265629.5</v>
      </c>
      <c r="D192" s="162">
        <f t="shared" si="56"/>
        <v>334970.97500000009</v>
      </c>
      <c r="E192" s="162">
        <f t="shared" si="56"/>
        <v>407779.52375000017</v>
      </c>
      <c r="F192" s="162">
        <f t="shared" si="56"/>
        <v>484228.49993749987</v>
      </c>
      <c r="G192" s="163">
        <f t="shared" si="56"/>
        <v>564499.92493437487</v>
      </c>
    </row>
    <row r="193" spans="1:8" x14ac:dyDescent="0.25">
      <c r="A193" s="79" t="s">
        <v>181</v>
      </c>
      <c r="B193" s="161"/>
      <c r="C193" s="162">
        <f>C192-B192</f>
        <v>523629.5</v>
      </c>
      <c r="D193" s="162">
        <f>D192-C192</f>
        <v>69341.475000000093</v>
      </c>
      <c r="E193" s="162">
        <f>E192-D192</f>
        <v>72808.548750000075</v>
      </c>
      <c r="F193" s="162">
        <f>F192-E192</f>
        <v>76448.976187499706</v>
      </c>
      <c r="G193" s="163">
        <f>G192-F192</f>
        <v>80271.424996874994</v>
      </c>
    </row>
    <row r="194" spans="1:8" x14ac:dyDescent="0.25">
      <c r="A194" s="79" t="s">
        <v>182</v>
      </c>
      <c r="B194" s="161">
        <f t="shared" ref="B194:G194" si="57">R127</f>
        <v>155300</v>
      </c>
      <c r="C194" s="162">
        <f t="shared" si="57"/>
        <v>73425.975000000006</v>
      </c>
      <c r="D194" s="162">
        <f t="shared" si="57"/>
        <v>77097.273750000008</v>
      </c>
      <c r="E194" s="162">
        <f t="shared" si="57"/>
        <v>80952.137437500001</v>
      </c>
      <c r="F194" s="162">
        <f t="shared" si="57"/>
        <v>84999.744309375004</v>
      </c>
      <c r="G194" s="163">
        <f t="shared" si="57"/>
        <v>89249.731524843752</v>
      </c>
    </row>
    <row r="195" spans="1:8" x14ac:dyDescent="0.25">
      <c r="A195" s="79" t="s">
        <v>183</v>
      </c>
      <c r="B195" s="161"/>
      <c r="C195" s="162">
        <f>C194-B194</f>
        <v>-81874.024999999994</v>
      </c>
      <c r="D195" s="162">
        <f>D194-C194</f>
        <v>3671.2987500000017</v>
      </c>
      <c r="E195" s="162">
        <f>E194-D194</f>
        <v>3854.8636874999938</v>
      </c>
      <c r="F195" s="162">
        <f>F194-E194</f>
        <v>4047.606871875003</v>
      </c>
      <c r="G195" s="163">
        <f>G194-F194</f>
        <v>4249.9872154687473</v>
      </c>
    </row>
    <row r="196" spans="1:8" x14ac:dyDescent="0.25">
      <c r="A196" s="79" t="s">
        <v>184</v>
      </c>
      <c r="B196" s="161"/>
      <c r="C196" s="162">
        <f>S126-R126</f>
        <v>-137135.47500000001</v>
      </c>
      <c r="D196" s="162">
        <f>T126-S126</f>
        <v>193.22625000000016</v>
      </c>
      <c r="E196" s="162">
        <f>U126-T126</f>
        <v>202.88756250000006</v>
      </c>
      <c r="F196" s="162">
        <f>V126-U126</f>
        <v>213.03194062499915</v>
      </c>
      <c r="G196" s="163">
        <f>W126-V126</f>
        <v>223.68353765625125</v>
      </c>
    </row>
    <row r="197" spans="1:8" x14ac:dyDescent="0.25">
      <c r="A197" s="79" t="s">
        <v>185</v>
      </c>
      <c r="B197" s="161"/>
      <c r="C197" s="162">
        <f>C196+C195</f>
        <v>-219009.5</v>
      </c>
      <c r="D197" s="162">
        <f>D196+D195</f>
        <v>3864.5250000000019</v>
      </c>
      <c r="E197" s="162">
        <f>E196+E195</f>
        <v>4057.7512499999939</v>
      </c>
      <c r="F197" s="162">
        <f>F196+F195</f>
        <v>4260.6388125000021</v>
      </c>
      <c r="G197" s="163">
        <f>G196+G195</f>
        <v>4473.6707531249986</v>
      </c>
    </row>
    <row r="198" spans="1:8" x14ac:dyDescent="0.25">
      <c r="A198" s="79" t="s">
        <v>186</v>
      </c>
      <c r="B198" s="161"/>
      <c r="C198" s="162">
        <f>S100</f>
        <v>720300</v>
      </c>
      <c r="D198" s="162">
        <f>T100</f>
        <v>756315</v>
      </c>
      <c r="E198" s="162">
        <f>U100</f>
        <v>794130.74999999953</v>
      </c>
      <c r="F198" s="162">
        <f>V100</f>
        <v>833837.28749999986</v>
      </c>
      <c r="G198" s="163">
        <f>W100</f>
        <v>875529.15187499998</v>
      </c>
    </row>
    <row r="199" spans="1:8" x14ac:dyDescent="0.25">
      <c r="A199" s="158" t="s">
        <v>187</v>
      </c>
      <c r="B199" s="161"/>
      <c r="C199" s="162"/>
      <c r="D199" s="162"/>
      <c r="E199" s="162"/>
      <c r="F199" s="162"/>
      <c r="G199" s="163"/>
    </row>
    <row r="200" spans="1:8" x14ac:dyDescent="0.25">
      <c r="A200" s="79" t="s">
        <v>188</v>
      </c>
      <c r="B200" s="161"/>
      <c r="C200" s="162">
        <f>C198*(1-$F$80)</f>
        <v>418719.80234153039</v>
      </c>
      <c r="D200" s="162">
        <f>D198*(1-$F$80)</f>
        <v>439655.79245860688</v>
      </c>
      <c r="E200" s="162">
        <f>E198*(1-$F$80)</f>
        <v>461638.582081537</v>
      </c>
      <c r="F200" s="162">
        <f>F198*(1-$F$80)</f>
        <v>484720.51118561404</v>
      </c>
      <c r="G200" s="163">
        <f>G198*(1-$F$80)</f>
        <v>508956.53674489481</v>
      </c>
    </row>
    <row r="201" spans="1:8" x14ac:dyDescent="0.25">
      <c r="A201" s="79" t="s">
        <v>189</v>
      </c>
      <c r="B201" s="161"/>
      <c r="C201" s="162">
        <f t="shared" ref="C201:D202" si="58">C196</f>
        <v>-137135.47500000001</v>
      </c>
      <c r="D201" s="162">
        <f t="shared" si="58"/>
        <v>193.22625000000016</v>
      </c>
      <c r="E201" s="162">
        <f t="shared" ref="E201:G202" si="59">E196</f>
        <v>202.88756250000006</v>
      </c>
      <c r="F201" s="162">
        <f t="shared" si="59"/>
        <v>213.03194062499915</v>
      </c>
      <c r="G201" s="163">
        <f t="shared" si="59"/>
        <v>223.68353765625125</v>
      </c>
    </row>
    <row r="202" spans="1:8" x14ac:dyDescent="0.25">
      <c r="A202" s="79" t="s">
        <v>190</v>
      </c>
      <c r="B202" s="161"/>
      <c r="C202" s="162">
        <f t="shared" si="58"/>
        <v>-219009.5</v>
      </c>
      <c r="D202" s="162">
        <f t="shared" si="58"/>
        <v>3864.5250000000019</v>
      </c>
      <c r="E202" s="162">
        <f t="shared" si="59"/>
        <v>4057.7512499999939</v>
      </c>
      <c r="F202" s="162">
        <f t="shared" si="59"/>
        <v>4260.6388125000021</v>
      </c>
      <c r="G202" s="163">
        <f t="shared" si="59"/>
        <v>4473.6707531249986</v>
      </c>
    </row>
    <row r="203" spans="1:8" ht="15.75" thickBot="1" x14ac:dyDescent="0.3">
      <c r="A203" s="79" t="s">
        <v>191</v>
      </c>
      <c r="B203" s="161"/>
      <c r="C203" s="162">
        <f>C193</f>
        <v>523629.5</v>
      </c>
      <c r="D203" s="162">
        <f>D193</f>
        <v>69341.475000000093</v>
      </c>
      <c r="E203" s="162">
        <f>E193</f>
        <v>72808.548750000075</v>
      </c>
      <c r="F203" s="162">
        <f>F193</f>
        <v>76448.976187499706</v>
      </c>
      <c r="G203" s="163">
        <f>G193</f>
        <v>80271.424996874994</v>
      </c>
    </row>
    <row r="204" spans="1:8" ht="15.75" thickBot="1" x14ac:dyDescent="0.3">
      <c r="A204" s="159" t="s">
        <v>192</v>
      </c>
      <c r="B204" s="175"/>
      <c r="C204" s="174">
        <f>C200+C201-C202-C203</f>
        <v>-23035.672658469644</v>
      </c>
      <c r="D204" s="174">
        <f>D200+D201-D202-D203</f>
        <v>366643.01870860677</v>
      </c>
      <c r="E204" s="174">
        <f>E200+E201-E202-E203</f>
        <v>384975.16964403697</v>
      </c>
      <c r="F204" s="174">
        <f>F200+F201-F202-F203</f>
        <v>404223.92812623933</v>
      </c>
      <c r="G204" s="215">
        <f>G200+G201-G202-G203</f>
        <v>424435.1245325511</v>
      </c>
    </row>
    <row r="205" spans="1:8" ht="15.75" thickBot="1" x14ac:dyDescent="0.3">
      <c r="A205" s="183" t="s">
        <v>220</v>
      </c>
      <c r="B205" s="217">
        <f>NPV(B183,C204,D204,E204,F204,G204+G205)</f>
        <v>7572325.3527559191</v>
      </c>
      <c r="C205" s="20"/>
      <c r="D205" s="20"/>
      <c r="G205" s="216">
        <f>G204/(B183)</f>
        <v>8100027.961054476</v>
      </c>
      <c r="H205" s="15" t="s">
        <v>219</v>
      </c>
    </row>
    <row r="208" spans="1:8" ht="15.75" thickBot="1" x14ac:dyDescent="0.3"/>
    <row r="209" spans="1:4" ht="15.75" thickBot="1" x14ac:dyDescent="0.3">
      <c r="A209" s="61">
        <v>4</v>
      </c>
      <c r="B209" s="192" t="s">
        <v>204</v>
      </c>
      <c r="C209" s="193"/>
      <c r="D209" s="194"/>
    </row>
    <row r="210" spans="1:4" x14ac:dyDescent="0.25">
      <c r="A210" s="186" t="s">
        <v>211</v>
      </c>
      <c r="C210" s="219"/>
      <c r="D210" s="219"/>
    </row>
    <row r="211" spans="1:4" x14ac:dyDescent="0.25">
      <c r="A211" t="s">
        <v>205</v>
      </c>
      <c r="B211" s="181">
        <f>'Valuation '!B17</f>
        <v>4470640</v>
      </c>
      <c r="C211" s="220"/>
      <c r="D211" s="220"/>
    </row>
    <row r="212" spans="1:4" x14ac:dyDescent="0.25">
      <c r="A212" t="s">
        <v>210</v>
      </c>
      <c r="B212" s="177">
        <f>'Valuation '!B18</f>
        <v>202725129.89871997</v>
      </c>
      <c r="C212" s="220"/>
      <c r="D212" s="220"/>
    </row>
    <row r="213" spans="1:4" ht="15.75" thickBot="1" x14ac:dyDescent="0.3">
      <c r="C213" s="220"/>
      <c r="D213" s="220"/>
    </row>
    <row r="214" spans="1:4" ht="15.75" thickBot="1" x14ac:dyDescent="0.3">
      <c r="A214" s="172" t="s">
        <v>221</v>
      </c>
      <c r="B214" s="185">
        <f>B212+B211</f>
        <v>207195769.89871997</v>
      </c>
      <c r="C214" s="220"/>
      <c r="D214" s="220"/>
    </row>
    <row r="215" spans="1:4" ht="15.75" thickBot="1" x14ac:dyDescent="0.3">
      <c r="A215" s="172" t="s">
        <v>222</v>
      </c>
      <c r="B215" s="184">
        <f>B205</f>
        <v>7572325.3527559191</v>
      </c>
      <c r="C215" s="220"/>
      <c r="D215" s="220"/>
    </row>
    <row r="216" spans="1:4" x14ac:dyDescent="0.25">
      <c r="C216" s="220"/>
      <c r="D216" s="220"/>
    </row>
    <row r="217" spans="1:4" x14ac:dyDescent="0.25">
      <c r="A217" s="15" t="s">
        <v>224</v>
      </c>
      <c r="B217" s="187">
        <f>B211*(1.25)</f>
        <v>5588300</v>
      </c>
      <c r="C217" s="220"/>
      <c r="D217" s="220"/>
    </row>
    <row r="218" spans="1:4" x14ac:dyDescent="0.25">
      <c r="A218" s="15" t="s">
        <v>223</v>
      </c>
      <c r="B218" s="188">
        <f>(B215-B217)/B217</f>
        <v>0.35503200485942399</v>
      </c>
      <c r="C218" s="220"/>
      <c r="D218" s="220"/>
    </row>
    <row r="219" spans="1:4" x14ac:dyDescent="0.25">
      <c r="A219" s="218"/>
      <c r="B219" s="218"/>
      <c r="C219" s="218"/>
      <c r="D219" s="218"/>
    </row>
    <row r="220" spans="1:4" x14ac:dyDescent="0.25">
      <c r="A220" s="218"/>
      <c r="B220" s="218"/>
      <c r="C220" s="218"/>
      <c r="D220" s="218"/>
    </row>
    <row r="221" spans="1:4" x14ac:dyDescent="0.25">
      <c r="A221" s="218"/>
      <c r="B221" s="218"/>
      <c r="C221" s="218"/>
      <c r="D221" s="218"/>
    </row>
    <row r="222" spans="1:4" x14ac:dyDescent="0.25">
      <c r="A222" s="218"/>
      <c r="B222" s="218"/>
      <c r="C222" s="218"/>
      <c r="D222" s="218"/>
    </row>
    <row r="223" spans="1:4" x14ac:dyDescent="0.25">
      <c r="A223" s="218"/>
      <c r="B223" s="218"/>
      <c r="C223" s="218"/>
      <c r="D223" s="218"/>
    </row>
  </sheetData>
  <mergeCells count="117">
    <mergeCell ref="O143:P143"/>
    <mergeCell ref="E113:F113"/>
    <mergeCell ref="E122:F122"/>
    <mergeCell ref="E125:F125"/>
    <mergeCell ref="E116:F117"/>
    <mergeCell ref="E115:F115"/>
    <mergeCell ref="E142:F142"/>
    <mergeCell ref="O110:P110"/>
    <mergeCell ref="O114:P114"/>
    <mergeCell ref="O115:P115"/>
    <mergeCell ref="O116:P117"/>
    <mergeCell ref="O125:P125"/>
    <mergeCell ref="E128:F128"/>
    <mergeCell ref="E129:F129"/>
    <mergeCell ref="O142:P142"/>
    <mergeCell ref="O131:P131"/>
    <mergeCell ref="O132:P132"/>
    <mergeCell ref="O133:P133"/>
    <mergeCell ref="O134:P134"/>
    <mergeCell ref="O135:P135"/>
    <mergeCell ref="O136:P136"/>
    <mergeCell ref="O137:P137"/>
    <mergeCell ref="O140:P140"/>
    <mergeCell ref="O141:P141"/>
    <mergeCell ref="A72:C72"/>
    <mergeCell ref="A73:C73"/>
    <mergeCell ref="E90:F90"/>
    <mergeCell ref="E91:F91"/>
    <mergeCell ref="E92:F92"/>
    <mergeCell ref="A78:E78"/>
    <mergeCell ref="E93:F93"/>
    <mergeCell ref="E94:F94"/>
    <mergeCell ref="E95:F95"/>
    <mergeCell ref="A79:E79"/>
    <mergeCell ref="A80:E80"/>
    <mergeCell ref="A81:E81"/>
    <mergeCell ref="A84:E84"/>
    <mergeCell ref="A77:E77"/>
    <mergeCell ref="A86:E86"/>
    <mergeCell ref="E98:F98"/>
    <mergeCell ref="E99:F99"/>
    <mergeCell ref="E100:F100"/>
    <mergeCell ref="E101:F101"/>
    <mergeCell ref="E102:F102"/>
    <mergeCell ref="E127:F127"/>
    <mergeCell ref="E108:F108"/>
    <mergeCell ref="A74:C74"/>
    <mergeCell ref="E110:F110"/>
    <mergeCell ref="E96:F96"/>
    <mergeCell ref="E97:F97"/>
    <mergeCell ref="E109:F109"/>
    <mergeCell ref="E103:F103"/>
    <mergeCell ref="E104:F104"/>
    <mergeCell ref="E105:F105"/>
    <mergeCell ref="E107:F107"/>
    <mergeCell ref="O99:P99"/>
    <mergeCell ref="E112:F112"/>
    <mergeCell ref="E140:F140"/>
    <mergeCell ref="E141:F141"/>
    <mergeCell ref="E134:F134"/>
    <mergeCell ref="E135:F135"/>
    <mergeCell ref="E136:F136"/>
    <mergeCell ref="E138:F138"/>
    <mergeCell ref="E139:F139"/>
    <mergeCell ref="E137:F137"/>
    <mergeCell ref="E130:F130"/>
    <mergeCell ref="E132:F132"/>
    <mergeCell ref="E133:F133"/>
    <mergeCell ref="E131:F131"/>
    <mergeCell ref="E89:F89"/>
    <mergeCell ref="E106:F106"/>
    <mergeCell ref="B3:D3"/>
    <mergeCell ref="B6:E6"/>
    <mergeCell ref="O138:P138"/>
    <mergeCell ref="O139:P139"/>
    <mergeCell ref="O127:P127"/>
    <mergeCell ref="O128:P128"/>
    <mergeCell ref="O129:P129"/>
    <mergeCell ref="O130:P130"/>
    <mergeCell ref="O118:P118"/>
    <mergeCell ref="O119:P119"/>
    <mergeCell ref="O120:P120"/>
    <mergeCell ref="O121:P121"/>
    <mergeCell ref="O122:P122"/>
    <mergeCell ref="O89:P89"/>
    <mergeCell ref="O90:P90"/>
    <mergeCell ref="O91:P91"/>
    <mergeCell ref="O92:P92"/>
    <mergeCell ref="O93:P93"/>
    <mergeCell ref="E119:F119"/>
    <mergeCell ref="E120:F120"/>
    <mergeCell ref="E121:F121"/>
    <mergeCell ref="E118:F118"/>
    <mergeCell ref="B178:D178"/>
    <mergeCell ref="B209:D209"/>
    <mergeCell ref="B187:D187"/>
    <mergeCell ref="O107:P107"/>
    <mergeCell ref="O108:P108"/>
    <mergeCell ref="O109:P109"/>
    <mergeCell ref="O113:P113"/>
    <mergeCell ref="B66:F66"/>
    <mergeCell ref="I6:L6"/>
    <mergeCell ref="I29:L29"/>
    <mergeCell ref="B29:E29"/>
    <mergeCell ref="O100:P100"/>
    <mergeCell ref="O101:P101"/>
    <mergeCell ref="O102:P102"/>
    <mergeCell ref="O103:P103"/>
    <mergeCell ref="O104:P104"/>
    <mergeCell ref="O105:P105"/>
    <mergeCell ref="O94:P94"/>
    <mergeCell ref="O95:P95"/>
    <mergeCell ref="O96:P96"/>
    <mergeCell ref="O97:P97"/>
    <mergeCell ref="O98:P98"/>
    <mergeCell ref="O112:P112"/>
    <mergeCell ref="O106:P106"/>
  </mergeCells>
  <hyperlinks>
    <hyperlink ref="G82" r:id="rId1" xr:uid="{980A8379-60AF-469F-9EA6-0CA884FF2923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D2AD-CD6F-43F0-A3A2-DDEC6BD56226}">
  <dimension ref="A1:K24"/>
  <sheetViews>
    <sheetView workbookViewId="0">
      <selection activeCell="I24" sqref="A22:I24"/>
    </sheetView>
  </sheetViews>
  <sheetFormatPr defaultRowHeight="15" x14ac:dyDescent="0.25"/>
  <cols>
    <col min="1" max="1" width="43.42578125" customWidth="1"/>
    <col min="2" max="2" width="15.85546875" customWidth="1"/>
    <col min="5" max="6" width="6.5703125" bestFit="1" customWidth="1"/>
    <col min="7" max="10" width="7.5703125" bestFit="1" customWidth="1"/>
  </cols>
  <sheetData>
    <row r="1" spans="1:11" ht="15.75" thickBot="1" x14ac:dyDescent="0.3"/>
    <row r="2" spans="1:11" ht="15.75" thickBot="1" x14ac:dyDescent="0.3">
      <c r="A2" s="22">
        <v>1</v>
      </c>
      <c r="B2" s="192" t="s">
        <v>121</v>
      </c>
      <c r="C2" s="193"/>
      <c r="D2" s="194"/>
    </row>
    <row r="4" spans="1:11" ht="15.75" thickBot="1" x14ac:dyDescent="0.3">
      <c r="K4" s="21"/>
    </row>
    <row r="5" spans="1:11" ht="15.75" thickBot="1" x14ac:dyDescent="0.3">
      <c r="A5" s="192" t="s">
        <v>122</v>
      </c>
      <c r="B5" s="193"/>
      <c r="C5" s="193"/>
      <c r="D5" s="193"/>
      <c r="E5" s="27">
        <f>'Historical Stock Prices'!G62</f>
        <v>29.502365500000007</v>
      </c>
      <c r="F5" s="28">
        <f>'Historical Stock Prices'!G74</f>
        <v>33.653573833333333</v>
      </c>
      <c r="G5" s="28">
        <f>'Historical Stock Prices'!G86</f>
        <v>21.800469166666669</v>
      </c>
      <c r="H5" s="28">
        <f>'Historical Stock Prices'!G98</f>
        <v>28.98415966666667</v>
      </c>
      <c r="I5" s="28">
        <f>'Historical Stock Prices'!G110</f>
        <v>23.782419333333337</v>
      </c>
      <c r="J5" s="29">
        <f>'Historical Stock Prices'!G122</f>
        <v>12.52166675</v>
      </c>
      <c r="K5" s="20"/>
    </row>
    <row r="6" spans="1:11" ht="15.75" thickBot="1" x14ac:dyDescent="0.3">
      <c r="A6" s="192" t="s">
        <v>120</v>
      </c>
      <c r="B6" s="193"/>
      <c r="C6" s="193"/>
      <c r="D6" s="193"/>
      <c r="E6" s="30">
        <f>'Historical Stock Prices'!Q62</f>
        <v>57.380595333333339</v>
      </c>
      <c r="F6" s="31">
        <f>'Historical Stock Prices'!Q74</f>
        <v>94.306308833333333</v>
      </c>
      <c r="G6" s="31">
        <f>'Historical Stock Prices'!Q86</f>
        <v>102.04000091666667</v>
      </c>
      <c r="H6" s="31">
        <f>'Historical Stock Prices'!Q98</f>
        <v>167.41833641666662</v>
      </c>
      <c r="I6" s="31">
        <f>'Historical Stock Prices'!Q110</f>
        <v>320.61250058333331</v>
      </c>
      <c r="J6" s="32">
        <f>'Historical Stock Prices'!Q122</f>
        <v>328.77500158333328</v>
      </c>
      <c r="K6" s="20"/>
    </row>
    <row r="7" spans="1:11" ht="15.75" thickBot="1" x14ac:dyDescent="0.3"/>
    <row r="8" spans="1:11" ht="15.75" thickBot="1" x14ac:dyDescent="0.3">
      <c r="A8" s="62" t="s">
        <v>208</v>
      </c>
      <c r="B8" s="76">
        <v>7.69</v>
      </c>
    </row>
    <row r="9" spans="1:11" ht="15.75" thickBot="1" x14ac:dyDescent="0.3">
      <c r="A9" s="67" t="s">
        <v>209</v>
      </c>
      <c r="B9" s="77">
        <v>413.28</v>
      </c>
    </row>
    <row r="11" spans="1:11" ht="15.75" thickBot="1" x14ac:dyDescent="0.3"/>
    <row r="12" spans="1:11" ht="15.75" thickBot="1" x14ac:dyDescent="0.3">
      <c r="A12" s="22">
        <v>2</v>
      </c>
      <c r="B12" s="192" t="s">
        <v>206</v>
      </c>
      <c r="C12" s="193"/>
      <c r="D12" s="194"/>
    </row>
    <row r="13" spans="1:11" ht="15.75" thickBot="1" x14ac:dyDescent="0.3"/>
    <row r="14" spans="1:11" x14ac:dyDescent="0.25">
      <c r="A14" s="160" t="s">
        <v>215</v>
      </c>
      <c r="B14" s="178">
        <f>B8*'Lions Gate financial'!P82</f>
        <v>1661040</v>
      </c>
    </row>
    <row r="15" spans="1:11" ht="15.75" thickBot="1" x14ac:dyDescent="0.3">
      <c r="A15" s="179" t="s">
        <v>216</v>
      </c>
      <c r="B15" s="180">
        <f>B9*'Netflix Financials'!P84</f>
        <v>181350011.89871997</v>
      </c>
    </row>
    <row r="16" spans="1:11" ht="15.75" thickBot="1" x14ac:dyDescent="0.3"/>
    <row r="17" spans="1:7" x14ac:dyDescent="0.25">
      <c r="A17" s="160" t="s">
        <v>217</v>
      </c>
      <c r="B17" s="182">
        <f>B14+'Lions Gate financial'!P31-'Lions Gate financial'!P9</f>
        <v>4470640</v>
      </c>
    </row>
    <row r="18" spans="1:7" ht="15.75" thickBot="1" x14ac:dyDescent="0.3">
      <c r="A18" s="179" t="s">
        <v>218</v>
      </c>
      <c r="B18" s="180">
        <f>B15+'Netflix Financials'!P38-'Netflix Financials'!P13</f>
        <v>202725129.89871997</v>
      </c>
    </row>
    <row r="21" spans="1:7" ht="15.75" thickBot="1" x14ac:dyDescent="0.3"/>
    <row r="22" spans="1:7" ht="15.75" thickBot="1" x14ac:dyDescent="0.3">
      <c r="B22" s="23"/>
      <c r="C22" s="24"/>
      <c r="D22" s="24"/>
      <c r="E22" s="24"/>
      <c r="F22" s="24"/>
      <c r="G22" s="25"/>
    </row>
    <row r="23" spans="1:7" x14ac:dyDescent="0.25">
      <c r="A23" s="160"/>
    </row>
    <row r="24" spans="1:7" ht="15.75" thickBot="1" x14ac:dyDescent="0.3">
      <c r="A24" s="179"/>
    </row>
  </sheetData>
  <mergeCells count="4">
    <mergeCell ref="B2:D2"/>
    <mergeCell ref="A5:D5"/>
    <mergeCell ref="A6:D6"/>
    <mergeCell ref="B12:D1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83B8-A8A5-40A2-AC41-D8261AB2E3AE}">
  <dimension ref="A3:AB129"/>
  <sheetViews>
    <sheetView zoomScale="70" zoomScaleNormal="70" workbookViewId="0">
      <selection activeCell="F46" sqref="F46"/>
    </sheetView>
  </sheetViews>
  <sheetFormatPr defaultColWidth="8.85546875" defaultRowHeight="15" x14ac:dyDescent="0.25"/>
  <cols>
    <col min="1" max="1" width="68" bestFit="1" customWidth="1"/>
    <col min="2" max="2" width="16.7109375" customWidth="1"/>
    <col min="3" max="16" width="16.7109375" bestFit="1" customWidth="1"/>
    <col min="17" max="18" width="13.85546875" bestFit="1" customWidth="1"/>
    <col min="19" max="20" width="11" bestFit="1" customWidth="1"/>
    <col min="21" max="21" width="13.7109375" bestFit="1" customWidth="1"/>
    <col min="22" max="22" width="12.5703125" bestFit="1" customWidth="1"/>
    <col min="23" max="23" width="12.28515625" customWidth="1"/>
    <col min="24" max="24" width="10.7109375" bestFit="1" customWidth="1"/>
    <col min="25" max="25" width="9" bestFit="1" customWidth="1"/>
    <col min="26" max="26" width="10.7109375" bestFit="1" customWidth="1"/>
    <col min="27" max="27" width="11" bestFit="1" customWidth="1"/>
    <col min="28" max="28" width="8.7109375" bestFit="1" customWidth="1"/>
    <col min="30" max="30" width="8.7109375" bestFit="1" customWidth="1"/>
    <col min="32" max="32" width="10.7109375" bestFit="1" customWidth="1"/>
    <col min="34" max="34" width="8.7109375" bestFit="1" customWidth="1"/>
    <col min="36" max="36" width="10.7109375" bestFit="1" customWidth="1"/>
    <col min="38" max="38" width="10.7109375" bestFit="1" customWidth="1"/>
    <col min="40" max="40" width="8.7109375" bestFit="1" customWidth="1"/>
    <col min="42" max="42" width="10.7109375" bestFit="1" customWidth="1"/>
    <col min="44" max="44" width="8.7109375" bestFit="1" customWidth="1"/>
    <col min="46" max="46" width="10.7109375" bestFit="1" customWidth="1"/>
    <col min="48" max="48" width="8.7109375" bestFit="1" customWidth="1"/>
    <col min="50" max="50" width="8.7109375" bestFit="1" customWidth="1"/>
    <col min="52" max="52" width="10.7109375" bestFit="1" customWidth="1"/>
  </cols>
  <sheetData>
    <row r="3" spans="1:16" x14ac:dyDescent="0.25">
      <c r="A3" s="7" t="s">
        <v>60</v>
      </c>
    </row>
    <row r="4" spans="1:16" x14ac:dyDescent="0.25">
      <c r="A4" s="5" t="s">
        <v>59</v>
      </c>
      <c r="B4" s="4" t="s">
        <v>103</v>
      </c>
      <c r="C4" s="4" t="s">
        <v>102</v>
      </c>
      <c r="D4" s="4" t="s">
        <v>101</v>
      </c>
      <c r="E4" s="4" t="s">
        <v>100</v>
      </c>
      <c r="F4" s="4" t="s">
        <v>99</v>
      </c>
      <c r="G4" s="4" t="s">
        <v>98</v>
      </c>
      <c r="H4" s="4" t="s">
        <v>97</v>
      </c>
      <c r="I4" s="4" t="s">
        <v>96</v>
      </c>
      <c r="J4" s="4" t="s">
        <v>95</v>
      </c>
      <c r="K4" s="4" t="s">
        <v>94</v>
      </c>
      <c r="L4" s="4" t="s">
        <v>93</v>
      </c>
      <c r="M4" s="4" t="s">
        <v>92</v>
      </c>
      <c r="N4" s="4" t="s">
        <v>91</v>
      </c>
      <c r="O4" s="4" t="s">
        <v>90</v>
      </c>
      <c r="P4" s="4" t="s">
        <v>89</v>
      </c>
    </row>
    <row r="5" spans="1:16" x14ac:dyDescent="0.25">
      <c r="A5" s="5" t="s">
        <v>43</v>
      </c>
      <c r="B5" s="4" t="s">
        <v>42</v>
      </c>
      <c r="C5" s="4" t="s">
        <v>42</v>
      </c>
      <c r="D5" s="4" t="s">
        <v>42</v>
      </c>
      <c r="E5" s="4" t="s">
        <v>42</v>
      </c>
      <c r="F5" s="4" t="s">
        <v>42</v>
      </c>
      <c r="G5" s="4" t="s">
        <v>42</v>
      </c>
      <c r="H5" s="4" t="s">
        <v>42</v>
      </c>
      <c r="I5" s="4" t="s">
        <v>42</v>
      </c>
      <c r="J5" s="4" t="s">
        <v>42</v>
      </c>
      <c r="K5" s="4" t="s">
        <v>42</v>
      </c>
      <c r="L5" s="4" t="s">
        <v>42</v>
      </c>
      <c r="M5" s="4" t="s">
        <v>42</v>
      </c>
      <c r="N5" s="4" t="s">
        <v>42</v>
      </c>
      <c r="O5" s="4" t="s">
        <v>42</v>
      </c>
      <c r="P5" s="4" t="s">
        <v>42</v>
      </c>
    </row>
    <row r="6" spans="1:16" x14ac:dyDescent="0.25">
      <c r="A6" s="5" t="s">
        <v>41</v>
      </c>
      <c r="B6" s="4" t="s">
        <v>40</v>
      </c>
      <c r="C6" s="4" t="s">
        <v>40</v>
      </c>
      <c r="D6" s="4" t="s">
        <v>40</v>
      </c>
      <c r="E6" s="4" t="s">
        <v>40</v>
      </c>
      <c r="F6" s="4" t="s">
        <v>40</v>
      </c>
      <c r="G6" s="4" t="s">
        <v>40</v>
      </c>
      <c r="H6" s="4" t="s">
        <v>40</v>
      </c>
      <c r="I6" s="4" t="s">
        <v>40</v>
      </c>
      <c r="J6" s="4" t="s">
        <v>40</v>
      </c>
      <c r="K6" s="4" t="s">
        <v>40</v>
      </c>
      <c r="L6" s="4" t="s">
        <v>40</v>
      </c>
      <c r="M6" s="4" t="s">
        <v>40</v>
      </c>
      <c r="N6" s="4" t="s">
        <v>40</v>
      </c>
      <c r="O6" s="4" t="s">
        <v>40</v>
      </c>
      <c r="P6" s="4" t="s">
        <v>40</v>
      </c>
    </row>
    <row r="7" spans="1:16" x14ac:dyDescent="0.25">
      <c r="A7" s="5" t="s">
        <v>39</v>
      </c>
      <c r="B7" s="4" t="s">
        <v>38</v>
      </c>
      <c r="C7" s="4" t="s">
        <v>38</v>
      </c>
      <c r="D7" s="4" t="s">
        <v>38</v>
      </c>
      <c r="E7" s="4" t="s">
        <v>38</v>
      </c>
      <c r="F7" s="4" t="s">
        <v>38</v>
      </c>
      <c r="G7" s="4" t="s">
        <v>38</v>
      </c>
      <c r="H7" s="4" t="s">
        <v>38</v>
      </c>
      <c r="I7" s="4" t="s">
        <v>38</v>
      </c>
      <c r="J7" s="4" t="s">
        <v>38</v>
      </c>
      <c r="K7" s="4" t="s">
        <v>38</v>
      </c>
      <c r="L7" s="4" t="s">
        <v>38</v>
      </c>
      <c r="M7" s="4" t="s">
        <v>38</v>
      </c>
      <c r="N7" s="4" t="s">
        <v>38</v>
      </c>
      <c r="O7" s="4" t="s">
        <v>38</v>
      </c>
      <c r="P7" s="4" t="s">
        <v>38</v>
      </c>
    </row>
    <row r="8" spans="1:16" x14ac:dyDescent="0.25">
      <c r="A8" s="5" t="s">
        <v>37</v>
      </c>
      <c r="B8" s="4" t="s">
        <v>36</v>
      </c>
      <c r="C8" s="4" t="s">
        <v>36</v>
      </c>
      <c r="D8" s="4" t="s">
        <v>36</v>
      </c>
      <c r="E8" s="4" t="s">
        <v>36</v>
      </c>
      <c r="F8" s="4" t="s">
        <v>36</v>
      </c>
      <c r="G8" s="4" t="s">
        <v>36</v>
      </c>
      <c r="H8" s="4" t="s">
        <v>36</v>
      </c>
      <c r="I8" s="4" t="s">
        <v>36</v>
      </c>
      <c r="J8" s="4" t="s">
        <v>36</v>
      </c>
      <c r="K8" s="4" t="s">
        <v>36</v>
      </c>
      <c r="L8" s="4" t="s">
        <v>36</v>
      </c>
      <c r="M8" s="4" t="s">
        <v>36</v>
      </c>
      <c r="N8" s="4" t="s">
        <v>36</v>
      </c>
      <c r="O8" s="4" t="s">
        <v>36</v>
      </c>
      <c r="P8" s="4" t="s">
        <v>36</v>
      </c>
    </row>
    <row r="9" spans="1:16" x14ac:dyDescent="0.25">
      <c r="A9" s="2" t="s">
        <v>35</v>
      </c>
      <c r="B9" s="8">
        <v>112839</v>
      </c>
      <c r="C9" s="1">
        <v>46978</v>
      </c>
      <c r="D9" s="1">
        <v>51497</v>
      </c>
      <c r="E9" s="1">
        <v>371589</v>
      </c>
      <c r="F9" s="1">
        <v>138475</v>
      </c>
      <c r="G9" s="1">
        <v>91421</v>
      </c>
      <c r="H9" s="1">
        <v>86419</v>
      </c>
      <c r="I9" s="1">
        <v>64298</v>
      </c>
      <c r="J9" s="1">
        <v>62363</v>
      </c>
      <c r="K9" s="1">
        <v>25692</v>
      </c>
      <c r="L9" s="1">
        <v>102697</v>
      </c>
      <c r="M9" s="1">
        <v>57742</v>
      </c>
      <c r="N9" s="1">
        <v>321900</v>
      </c>
      <c r="O9" s="1">
        <v>378100</v>
      </c>
      <c r="P9" s="1">
        <v>184300</v>
      </c>
    </row>
    <row r="10" spans="1:16" x14ac:dyDescent="0.25">
      <c r="A10" s="2" t="s">
        <v>34</v>
      </c>
      <c r="B10" s="16">
        <v>0</v>
      </c>
      <c r="C10" s="1">
        <v>182002</v>
      </c>
      <c r="D10" s="1">
        <v>237504</v>
      </c>
      <c r="E10" s="1">
        <v>6927</v>
      </c>
      <c r="F10" s="1">
        <v>6987</v>
      </c>
      <c r="G10" s="1">
        <v>6995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x14ac:dyDescent="0.25">
      <c r="A11" s="2" t="s">
        <v>33</v>
      </c>
      <c r="B11" s="8">
        <v>112839</v>
      </c>
      <c r="C11" s="1">
        <v>228980</v>
      </c>
      <c r="D11" s="1">
        <v>289001</v>
      </c>
      <c r="E11" s="1">
        <v>378516</v>
      </c>
      <c r="F11" s="1">
        <v>145462</v>
      </c>
      <c r="G11" s="1">
        <v>98416</v>
      </c>
      <c r="H11" s="1">
        <v>86419</v>
      </c>
      <c r="I11" s="1">
        <v>64298</v>
      </c>
      <c r="J11" s="1">
        <v>62363</v>
      </c>
      <c r="K11" s="1">
        <v>25692</v>
      </c>
      <c r="L11" s="1">
        <v>102697</v>
      </c>
      <c r="M11" s="1">
        <v>57742</v>
      </c>
      <c r="N11" s="1">
        <v>321900</v>
      </c>
      <c r="O11" s="1">
        <v>378100</v>
      </c>
      <c r="P11" s="1">
        <v>184300</v>
      </c>
    </row>
    <row r="12" spans="1:16" x14ac:dyDescent="0.25">
      <c r="A12" s="2" t="s">
        <v>32</v>
      </c>
      <c r="B12" s="8">
        <v>150019</v>
      </c>
      <c r="C12" s="1">
        <v>182659</v>
      </c>
      <c r="D12" s="1">
        <v>130496</v>
      </c>
      <c r="E12" s="1">
        <v>260284</v>
      </c>
      <c r="F12" s="1">
        <v>227010</v>
      </c>
      <c r="G12" s="1">
        <v>312123</v>
      </c>
      <c r="H12" s="1">
        <v>359821</v>
      </c>
      <c r="I12" s="1">
        <v>784530</v>
      </c>
      <c r="J12" s="1">
        <v>787150</v>
      </c>
      <c r="K12" s="1">
        <v>885571</v>
      </c>
      <c r="L12" s="1">
        <v>891880</v>
      </c>
      <c r="M12" s="1">
        <v>1049289</v>
      </c>
      <c r="N12" s="1">
        <v>908100</v>
      </c>
      <c r="O12" s="1">
        <v>1087400</v>
      </c>
      <c r="P12" s="1">
        <v>743900</v>
      </c>
    </row>
    <row r="13" spans="1:16" x14ac:dyDescent="0.25">
      <c r="A13" s="2" t="s">
        <v>104</v>
      </c>
      <c r="B13" s="16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1">
        <v>20300</v>
      </c>
      <c r="P13" s="1">
        <v>19900</v>
      </c>
    </row>
    <row r="14" spans="1:16" x14ac:dyDescent="0.25">
      <c r="A14" s="2" t="s">
        <v>29</v>
      </c>
      <c r="B14" s="8">
        <v>2913</v>
      </c>
      <c r="C14" s="1">
        <v>820</v>
      </c>
      <c r="D14" s="1">
        <v>4915</v>
      </c>
      <c r="E14" s="1">
        <v>10300</v>
      </c>
      <c r="F14" s="1">
        <v>10056</v>
      </c>
      <c r="G14" s="1">
        <v>4123</v>
      </c>
      <c r="H14" s="1">
        <v>43458</v>
      </c>
      <c r="I14" s="1">
        <v>11936</v>
      </c>
      <c r="J14" s="1">
        <v>10664</v>
      </c>
      <c r="K14" s="1">
        <v>8925</v>
      </c>
      <c r="L14" s="1">
        <v>2508</v>
      </c>
      <c r="M14" s="1">
        <v>2906</v>
      </c>
      <c r="N14" s="1">
        <v>460400</v>
      </c>
      <c r="O14" s="1">
        <v>287300</v>
      </c>
      <c r="P14" s="1">
        <v>446300</v>
      </c>
    </row>
    <row r="15" spans="1:16" x14ac:dyDescent="0.25">
      <c r="A15" s="2" t="s">
        <v>28</v>
      </c>
      <c r="B15" s="8">
        <v>265771</v>
      </c>
      <c r="C15" s="1">
        <v>412459</v>
      </c>
      <c r="D15" s="1">
        <v>424412</v>
      </c>
      <c r="E15" s="1">
        <v>649100</v>
      </c>
      <c r="F15" s="1">
        <v>382528</v>
      </c>
      <c r="G15" s="1">
        <v>414662</v>
      </c>
      <c r="H15" s="1">
        <v>489698</v>
      </c>
      <c r="I15" s="1">
        <v>860764</v>
      </c>
      <c r="J15" s="1">
        <v>860177</v>
      </c>
      <c r="K15" s="1">
        <v>920188</v>
      </c>
      <c r="L15" s="1">
        <v>997085</v>
      </c>
      <c r="M15" s="1">
        <v>1109937</v>
      </c>
      <c r="N15" s="1">
        <v>1690400</v>
      </c>
      <c r="O15" s="1">
        <v>1773100</v>
      </c>
      <c r="P15" s="1">
        <v>1394400</v>
      </c>
    </row>
    <row r="16" spans="1:16" x14ac:dyDescent="0.25">
      <c r="A16" s="2" t="s">
        <v>27</v>
      </c>
      <c r="B16" s="8">
        <v>44373</v>
      </c>
      <c r="C16" s="1">
        <v>13362</v>
      </c>
      <c r="D16" s="1">
        <v>22063</v>
      </c>
      <c r="E16" s="1">
        <v>27084</v>
      </c>
      <c r="F16" s="1">
        <v>61984</v>
      </c>
      <c r="G16" s="1">
        <v>68656</v>
      </c>
      <c r="H16" s="1">
        <v>39917</v>
      </c>
      <c r="I16" s="1">
        <v>40813</v>
      </c>
      <c r="J16" s="1">
        <v>42084</v>
      </c>
      <c r="K16" s="1">
        <v>50866</v>
      </c>
      <c r="L16" s="1">
        <v>65748</v>
      </c>
      <c r="M16" s="1">
        <v>89378</v>
      </c>
      <c r="N16" s="1">
        <v>206200</v>
      </c>
      <c r="O16" s="1">
        <v>250000</v>
      </c>
      <c r="P16" s="1">
        <v>296300</v>
      </c>
    </row>
    <row r="17" spans="1:16" x14ac:dyDescent="0.25">
      <c r="A17" s="2" t="s">
        <v>26</v>
      </c>
      <c r="B17" s="8">
        <v>13531</v>
      </c>
      <c r="C17" s="1">
        <v>6144</v>
      </c>
      <c r="D17" s="1">
        <v>8968</v>
      </c>
      <c r="E17" s="1">
        <v>13471</v>
      </c>
      <c r="F17" s="1">
        <v>19569</v>
      </c>
      <c r="G17" s="1">
        <v>35079</v>
      </c>
      <c r="H17" s="1">
        <v>29499</v>
      </c>
      <c r="I17" s="1">
        <v>31041</v>
      </c>
      <c r="J17" s="1">
        <v>33554</v>
      </c>
      <c r="K17" s="1">
        <v>36314</v>
      </c>
      <c r="L17" s="1">
        <v>39097</v>
      </c>
      <c r="M17" s="1">
        <v>45994</v>
      </c>
      <c r="N17" s="1">
        <v>40700</v>
      </c>
      <c r="O17" s="1">
        <v>88300</v>
      </c>
      <c r="P17" s="1">
        <v>141000</v>
      </c>
    </row>
    <row r="18" spans="1:16" x14ac:dyDescent="0.25">
      <c r="A18" s="2" t="s">
        <v>25</v>
      </c>
      <c r="B18" s="8">
        <v>30842</v>
      </c>
      <c r="C18" s="1">
        <v>7218</v>
      </c>
      <c r="D18" s="1">
        <v>13095</v>
      </c>
      <c r="E18" s="1">
        <v>13613</v>
      </c>
      <c r="F18" s="1">
        <v>42415</v>
      </c>
      <c r="G18" s="1">
        <v>33577</v>
      </c>
      <c r="H18" s="1">
        <v>10418</v>
      </c>
      <c r="I18" s="1">
        <v>9772</v>
      </c>
      <c r="J18" s="1">
        <v>8530</v>
      </c>
      <c r="K18" s="1">
        <v>14552</v>
      </c>
      <c r="L18" s="1">
        <v>26651</v>
      </c>
      <c r="M18" s="1">
        <v>43384</v>
      </c>
      <c r="N18" s="1">
        <v>165500</v>
      </c>
      <c r="O18" s="1">
        <v>161700</v>
      </c>
      <c r="P18" s="1">
        <v>155300</v>
      </c>
    </row>
    <row r="19" spans="1:16" x14ac:dyDescent="0.25">
      <c r="A19" s="2" t="s">
        <v>105</v>
      </c>
      <c r="B19" s="16">
        <v>0</v>
      </c>
      <c r="C19" s="3">
        <v>0</v>
      </c>
      <c r="D19" s="3">
        <v>0</v>
      </c>
      <c r="E19" s="3">
        <v>0</v>
      </c>
      <c r="F19" s="1">
        <v>32909</v>
      </c>
      <c r="G19" s="1">
        <v>26096</v>
      </c>
      <c r="H19" s="1">
        <v>18433</v>
      </c>
      <c r="I19" s="1">
        <v>24767</v>
      </c>
      <c r="J19" s="1">
        <v>22916</v>
      </c>
      <c r="K19" s="1">
        <v>21717</v>
      </c>
      <c r="L19" s="3">
        <v>0</v>
      </c>
      <c r="M19" s="3">
        <v>0</v>
      </c>
      <c r="N19" s="1">
        <v>432900</v>
      </c>
      <c r="O19" s="1">
        <v>434800</v>
      </c>
      <c r="P19" s="1">
        <v>326900</v>
      </c>
    </row>
    <row r="20" spans="1:16" x14ac:dyDescent="0.25">
      <c r="A20" s="2" t="s">
        <v>106</v>
      </c>
      <c r="B20" s="8">
        <v>367376</v>
      </c>
      <c r="C20" s="1">
        <v>417750</v>
      </c>
      <c r="D20" s="1">
        <v>498506</v>
      </c>
      <c r="E20" s="1">
        <v>632376</v>
      </c>
      <c r="F20" s="1">
        <v>734883</v>
      </c>
      <c r="G20" s="1">
        <v>731588</v>
      </c>
      <c r="H20" s="1">
        <v>771873</v>
      </c>
      <c r="I20" s="1">
        <v>1500315</v>
      </c>
      <c r="J20" s="1">
        <v>1413525</v>
      </c>
      <c r="K20" s="1">
        <v>1456514</v>
      </c>
      <c r="L20" s="1">
        <v>1820127</v>
      </c>
      <c r="M20" s="1">
        <v>1942642</v>
      </c>
      <c r="N20" s="1">
        <v>2101000</v>
      </c>
      <c r="O20" s="1">
        <v>1856900</v>
      </c>
      <c r="P20" s="1">
        <v>1698200</v>
      </c>
    </row>
    <row r="21" spans="1:16" x14ac:dyDescent="0.25">
      <c r="A21" s="2" t="s">
        <v>24</v>
      </c>
      <c r="B21" s="8">
        <v>163360</v>
      </c>
      <c r="C21" s="1">
        <v>186595</v>
      </c>
      <c r="D21" s="1">
        <v>187491</v>
      </c>
      <c r="E21" s="1">
        <v>224531</v>
      </c>
      <c r="F21" s="1">
        <v>458306</v>
      </c>
      <c r="G21" s="1">
        <v>463383</v>
      </c>
      <c r="H21" s="1">
        <v>239254</v>
      </c>
      <c r="I21" s="1">
        <v>338610</v>
      </c>
      <c r="J21" s="1">
        <v>330055</v>
      </c>
      <c r="K21" s="1">
        <v>326326</v>
      </c>
      <c r="L21" s="1">
        <v>324515</v>
      </c>
      <c r="M21" s="1">
        <v>546130</v>
      </c>
      <c r="N21" s="1">
        <v>4747200</v>
      </c>
      <c r="O21" s="1">
        <v>4678500</v>
      </c>
      <c r="P21" s="1">
        <v>4705100</v>
      </c>
    </row>
    <row r="22" spans="1:16" x14ac:dyDescent="0.25">
      <c r="A22" s="2" t="s">
        <v>23</v>
      </c>
      <c r="B22" s="8">
        <v>20804</v>
      </c>
      <c r="C22" s="1">
        <v>16190</v>
      </c>
      <c r="D22" s="1">
        <v>10038</v>
      </c>
      <c r="E22" s="1">
        <v>7200</v>
      </c>
      <c r="F22" s="1">
        <v>10504</v>
      </c>
      <c r="G22" s="1">
        <v>19460</v>
      </c>
      <c r="H22" s="1">
        <v>15422</v>
      </c>
      <c r="I22" s="1">
        <v>39130</v>
      </c>
      <c r="J22" s="1">
        <v>115750</v>
      </c>
      <c r="K22" s="1">
        <v>100705</v>
      </c>
      <c r="L22" s="1">
        <v>78174</v>
      </c>
      <c r="M22" s="1">
        <v>155690</v>
      </c>
      <c r="N22" s="1">
        <v>20000</v>
      </c>
      <c r="O22" s="1">
        <v>38800</v>
      </c>
      <c r="P22" s="1">
        <v>19800</v>
      </c>
    </row>
    <row r="23" spans="1:16" x14ac:dyDescent="0.25">
      <c r="A23" s="2" t="s">
        <v>22</v>
      </c>
      <c r="B23" s="8">
        <v>6476</v>
      </c>
      <c r="C23" s="1">
        <v>13037</v>
      </c>
      <c r="D23" s="1">
        <v>3553</v>
      </c>
      <c r="E23" s="1">
        <v>10938</v>
      </c>
      <c r="F23" s="1">
        <v>6025</v>
      </c>
      <c r="G23" s="1">
        <v>15691</v>
      </c>
      <c r="H23" s="1">
        <v>12746</v>
      </c>
      <c r="I23" s="1">
        <v>14637</v>
      </c>
      <c r="J23" s="1">
        <v>9916</v>
      </c>
      <c r="K23" s="1">
        <v>11630</v>
      </c>
      <c r="L23" s="1">
        <v>45537</v>
      </c>
      <c r="M23" s="1">
        <v>57725</v>
      </c>
      <c r="N23" s="1">
        <v>39900</v>
      </c>
      <c r="O23" s="1">
        <v>23800</v>
      </c>
      <c r="P23" s="1">
        <v>109200</v>
      </c>
    </row>
    <row r="24" spans="1:16" x14ac:dyDescent="0.25">
      <c r="A24" s="2" t="s">
        <v>21</v>
      </c>
      <c r="B24" s="8">
        <v>854629</v>
      </c>
      <c r="C24" s="1">
        <v>1053249</v>
      </c>
      <c r="D24" s="1">
        <v>1137095</v>
      </c>
      <c r="E24" s="1">
        <v>1537758</v>
      </c>
      <c r="F24" s="1">
        <v>1667570</v>
      </c>
      <c r="G24" s="1">
        <v>1704457</v>
      </c>
      <c r="H24" s="1">
        <v>1557844</v>
      </c>
      <c r="I24" s="1">
        <v>2787995</v>
      </c>
      <c r="J24" s="1">
        <v>2760869</v>
      </c>
      <c r="K24" s="1">
        <v>2851632</v>
      </c>
      <c r="L24" s="1">
        <v>3292089</v>
      </c>
      <c r="M24" s="1">
        <v>3855508</v>
      </c>
      <c r="N24" s="1">
        <v>9196900</v>
      </c>
      <c r="O24" s="1">
        <v>8967600</v>
      </c>
      <c r="P24" s="1">
        <v>8408900</v>
      </c>
    </row>
    <row r="25" spans="1:16" x14ac:dyDescent="0.25">
      <c r="A25" s="2" t="s">
        <v>20</v>
      </c>
      <c r="B25" s="8">
        <v>134200</v>
      </c>
      <c r="C25" s="1">
        <v>203565</v>
      </c>
      <c r="D25" s="1">
        <v>155617</v>
      </c>
      <c r="E25" s="1">
        <v>245430</v>
      </c>
      <c r="F25" s="1">
        <v>270561</v>
      </c>
      <c r="G25" s="1">
        <v>270120</v>
      </c>
      <c r="H25" s="1">
        <v>243440</v>
      </c>
      <c r="I25" s="1">
        <v>371092</v>
      </c>
      <c r="J25" s="1">
        <v>313620</v>
      </c>
      <c r="K25" s="1">
        <v>332457</v>
      </c>
      <c r="L25" s="1">
        <v>332473</v>
      </c>
      <c r="M25" s="1">
        <v>377698</v>
      </c>
      <c r="N25" s="1">
        <v>573000</v>
      </c>
      <c r="O25" s="1">
        <v>447700</v>
      </c>
      <c r="P25" s="1">
        <v>531200</v>
      </c>
    </row>
    <row r="26" spans="1:16" x14ac:dyDescent="0.25">
      <c r="A26" s="2" t="s">
        <v>19</v>
      </c>
      <c r="B26" s="8">
        <v>134200</v>
      </c>
      <c r="C26" s="1">
        <v>203565</v>
      </c>
      <c r="D26" s="1">
        <v>155617</v>
      </c>
      <c r="E26" s="1">
        <v>245430</v>
      </c>
      <c r="F26" s="1">
        <v>270561</v>
      </c>
      <c r="G26" s="1">
        <v>270120</v>
      </c>
      <c r="H26" s="1">
        <v>243440</v>
      </c>
      <c r="I26" s="1">
        <v>371092</v>
      </c>
      <c r="J26" s="1">
        <v>313620</v>
      </c>
      <c r="K26" s="1">
        <v>332457</v>
      </c>
      <c r="L26" s="1">
        <v>332473</v>
      </c>
      <c r="M26" s="1">
        <v>377698</v>
      </c>
      <c r="N26" s="1">
        <v>573000</v>
      </c>
      <c r="O26" s="1">
        <v>447700</v>
      </c>
      <c r="P26" s="1">
        <v>531200</v>
      </c>
    </row>
    <row r="27" spans="1:16" x14ac:dyDescent="0.25">
      <c r="A27" s="2" t="s">
        <v>17</v>
      </c>
      <c r="B27" s="16">
        <v>0</v>
      </c>
      <c r="C27" s="1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">
        <v>770881</v>
      </c>
      <c r="M27" s="1">
        <v>815410</v>
      </c>
      <c r="N27" s="1">
        <v>445100</v>
      </c>
      <c r="O27" s="1">
        <v>407000</v>
      </c>
      <c r="P27" s="1">
        <v>566200</v>
      </c>
    </row>
    <row r="28" spans="1:16" x14ac:dyDescent="0.25">
      <c r="A28" s="2" t="s">
        <v>107</v>
      </c>
      <c r="B28" s="16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1">
        <v>869300</v>
      </c>
      <c r="P28" s="3">
        <v>0</v>
      </c>
    </row>
    <row r="29" spans="1:16" x14ac:dyDescent="0.25">
      <c r="A29" s="2" t="s">
        <v>15</v>
      </c>
      <c r="B29" s="8">
        <v>0</v>
      </c>
      <c r="C29" s="1">
        <v>0</v>
      </c>
      <c r="D29" s="1">
        <v>171156</v>
      </c>
      <c r="E29" s="1">
        <v>385846</v>
      </c>
      <c r="F29" s="1">
        <v>371857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746448</v>
      </c>
      <c r="M29" s="1">
        <v>935602</v>
      </c>
      <c r="N29" s="1">
        <v>671800</v>
      </c>
      <c r="O29" s="1">
        <v>688400</v>
      </c>
      <c r="P29" s="1">
        <v>555000</v>
      </c>
    </row>
    <row r="30" spans="1:16" x14ac:dyDescent="0.25">
      <c r="A30" s="2" t="s">
        <v>14</v>
      </c>
      <c r="B30" s="8">
        <v>134200</v>
      </c>
      <c r="C30" s="1">
        <v>203565</v>
      </c>
      <c r="D30" s="1">
        <v>326773</v>
      </c>
      <c r="E30" s="1">
        <v>631276</v>
      </c>
      <c r="F30" s="1">
        <v>642418</v>
      </c>
      <c r="G30" s="1">
        <v>270120</v>
      </c>
      <c r="H30" s="1">
        <v>243440</v>
      </c>
      <c r="I30" s="1">
        <v>371092</v>
      </c>
      <c r="J30" s="1">
        <v>313620</v>
      </c>
      <c r="K30" s="1">
        <v>332457</v>
      </c>
      <c r="L30" s="1">
        <v>1849802</v>
      </c>
      <c r="M30" s="1">
        <v>2128710</v>
      </c>
      <c r="N30" s="1">
        <v>1689900</v>
      </c>
      <c r="O30" s="1">
        <v>2412400</v>
      </c>
      <c r="P30" s="1">
        <v>1652400</v>
      </c>
    </row>
    <row r="31" spans="1:16" x14ac:dyDescent="0.25">
      <c r="A31" s="2" t="s">
        <v>13</v>
      </c>
      <c r="B31" s="8">
        <v>540572</v>
      </c>
      <c r="C31" s="1">
        <v>669987</v>
      </c>
      <c r="D31" s="1">
        <v>492884</v>
      </c>
      <c r="E31" s="1">
        <v>606734</v>
      </c>
      <c r="F31" s="1">
        <v>891241</v>
      </c>
      <c r="G31" s="1">
        <v>814908</v>
      </c>
      <c r="H31" s="1">
        <v>734474</v>
      </c>
      <c r="I31" s="1">
        <v>1678200</v>
      </c>
      <c r="J31" s="1">
        <v>1426937</v>
      </c>
      <c r="K31" s="1">
        <v>1176947</v>
      </c>
      <c r="L31" s="1">
        <v>600000</v>
      </c>
      <c r="M31" s="1">
        <v>786000</v>
      </c>
      <c r="N31" s="1">
        <v>3163000</v>
      </c>
      <c r="O31" s="1">
        <v>2649600</v>
      </c>
      <c r="P31" s="1">
        <v>2993900</v>
      </c>
    </row>
    <row r="32" spans="1:16" x14ac:dyDescent="0.25">
      <c r="A32" s="2" t="s">
        <v>108</v>
      </c>
      <c r="B32" s="8">
        <v>62459</v>
      </c>
      <c r="C32" s="1">
        <v>30427</v>
      </c>
      <c r="D32" s="1">
        <v>69548</v>
      </c>
      <c r="E32" s="1">
        <v>111510</v>
      </c>
      <c r="F32" s="1">
        <v>142093</v>
      </c>
      <c r="G32" s="1">
        <v>138272</v>
      </c>
      <c r="H32" s="1">
        <v>150998</v>
      </c>
      <c r="I32" s="1">
        <v>228593</v>
      </c>
      <c r="J32" s="1">
        <v>254023</v>
      </c>
      <c r="K32" s="1">
        <v>288300</v>
      </c>
      <c r="L32" s="3">
        <v>0</v>
      </c>
      <c r="M32" s="3">
        <v>0</v>
      </c>
      <c r="N32" s="1">
        <v>512900</v>
      </c>
      <c r="O32" s="1">
        <v>162200</v>
      </c>
      <c r="P32" s="1">
        <v>119300</v>
      </c>
    </row>
    <row r="33" spans="1:16" x14ac:dyDescent="0.25">
      <c r="A33" s="2" t="s">
        <v>109</v>
      </c>
      <c r="B33" s="16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1">
        <v>812900</v>
      </c>
      <c r="O33" s="3">
        <v>0</v>
      </c>
      <c r="P33" s="3">
        <v>0</v>
      </c>
    </row>
    <row r="34" spans="1:16" x14ac:dyDescent="0.25">
      <c r="A34" s="2" t="s">
        <v>12</v>
      </c>
      <c r="B34" s="8">
        <v>259</v>
      </c>
      <c r="C34" s="1">
        <v>0</v>
      </c>
      <c r="D34" s="1">
        <v>0</v>
      </c>
      <c r="E34" s="1">
        <v>0</v>
      </c>
      <c r="F34" s="1">
        <v>0</v>
      </c>
      <c r="G34" s="1">
        <v>29978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90525</v>
      </c>
      <c r="N34" s="1">
        <v>93800</v>
      </c>
      <c r="O34" s="1">
        <v>102800</v>
      </c>
      <c r="P34" s="1">
        <v>130800</v>
      </c>
    </row>
    <row r="35" spans="1:16" x14ac:dyDescent="0.25">
      <c r="A35" s="2" t="s">
        <v>11</v>
      </c>
      <c r="B35" s="8">
        <v>0</v>
      </c>
      <c r="C35" s="1">
        <v>0</v>
      </c>
      <c r="D35" s="1">
        <v>0</v>
      </c>
      <c r="E35" s="1">
        <v>0</v>
      </c>
      <c r="F35" s="1">
        <v>0</v>
      </c>
      <c r="G35" s="1">
        <v>397257</v>
      </c>
      <c r="H35" s="1">
        <v>301386</v>
      </c>
      <c r="I35" s="1">
        <v>420325</v>
      </c>
      <c r="J35" s="1">
        <v>409763</v>
      </c>
      <c r="K35" s="1">
        <v>469390</v>
      </c>
      <c r="L35" s="1">
        <v>0</v>
      </c>
      <c r="M35" s="1">
        <v>0</v>
      </c>
      <c r="N35" s="1">
        <v>1222900</v>
      </c>
      <c r="O35" s="1">
        <v>484700</v>
      </c>
      <c r="P35" s="1">
        <v>593800</v>
      </c>
    </row>
    <row r="36" spans="1:16" x14ac:dyDescent="0.25">
      <c r="A36" s="2" t="s">
        <v>10</v>
      </c>
      <c r="B36" s="8">
        <v>737490</v>
      </c>
      <c r="C36" s="1">
        <v>903979</v>
      </c>
      <c r="D36" s="1">
        <v>889205</v>
      </c>
      <c r="E36" s="1">
        <v>1349520</v>
      </c>
      <c r="F36" s="1">
        <v>1675752</v>
      </c>
      <c r="G36" s="1">
        <v>1650535</v>
      </c>
      <c r="H36" s="1">
        <v>1430298</v>
      </c>
      <c r="I36" s="1">
        <v>2698210</v>
      </c>
      <c r="J36" s="1">
        <v>2404343</v>
      </c>
      <c r="K36" s="1">
        <v>2267094</v>
      </c>
      <c r="L36" s="1">
        <v>2449802</v>
      </c>
      <c r="M36" s="1">
        <v>3005235</v>
      </c>
      <c r="N36" s="1">
        <v>6682500</v>
      </c>
      <c r="O36" s="1">
        <v>5811700</v>
      </c>
      <c r="P36" s="1">
        <v>5490200</v>
      </c>
    </row>
    <row r="37" spans="1:16" x14ac:dyDescent="0.25">
      <c r="A37" s="2" t="s">
        <v>9</v>
      </c>
      <c r="B37" s="8">
        <v>305662</v>
      </c>
      <c r="C37" s="1">
        <v>328771</v>
      </c>
      <c r="D37" s="1">
        <v>398836</v>
      </c>
      <c r="E37" s="1">
        <v>434650</v>
      </c>
      <c r="F37" s="1">
        <v>390295</v>
      </c>
      <c r="G37" s="1">
        <v>521164</v>
      </c>
      <c r="H37" s="1">
        <v>643200</v>
      </c>
      <c r="I37" s="1">
        <v>712623</v>
      </c>
      <c r="J37" s="1">
        <v>672915</v>
      </c>
      <c r="K37" s="1">
        <v>743788</v>
      </c>
      <c r="L37" s="1">
        <v>830786</v>
      </c>
      <c r="M37" s="1">
        <v>885800</v>
      </c>
      <c r="N37" s="1">
        <v>2519800</v>
      </c>
      <c r="O37" s="1">
        <v>2649000</v>
      </c>
      <c r="P37" s="1">
        <v>2790300</v>
      </c>
    </row>
    <row r="38" spans="1:16" x14ac:dyDescent="0.25">
      <c r="A38" s="2" t="s">
        <v>7</v>
      </c>
      <c r="B38" s="8">
        <v>183226</v>
      </c>
      <c r="C38" s="1">
        <v>177130</v>
      </c>
      <c r="D38" s="1">
        <v>149651</v>
      </c>
      <c r="E38" s="1">
        <v>223619</v>
      </c>
      <c r="F38" s="1">
        <v>386599</v>
      </c>
      <c r="G38" s="1">
        <v>460631</v>
      </c>
      <c r="H38" s="1">
        <v>514230</v>
      </c>
      <c r="I38" s="1">
        <v>542039</v>
      </c>
      <c r="J38" s="1">
        <v>309912</v>
      </c>
      <c r="K38" s="1">
        <v>157875</v>
      </c>
      <c r="L38" s="1">
        <v>13720</v>
      </c>
      <c r="M38" s="1">
        <v>7584</v>
      </c>
      <c r="N38" s="1">
        <v>10600</v>
      </c>
      <c r="O38" s="1">
        <v>516600</v>
      </c>
      <c r="P38" s="1">
        <v>208700</v>
      </c>
    </row>
    <row r="39" spans="1:16" x14ac:dyDescent="0.25">
      <c r="A39" s="2" t="s">
        <v>6</v>
      </c>
      <c r="B39" s="8">
        <v>5297</v>
      </c>
      <c r="C39" s="1">
        <v>3517</v>
      </c>
      <c r="D39" s="1">
        <v>1295</v>
      </c>
      <c r="E39" s="1">
        <v>533</v>
      </c>
      <c r="F39" s="1">
        <v>11878</v>
      </c>
      <c r="G39" s="1">
        <v>6611</v>
      </c>
      <c r="H39" s="1">
        <v>1424</v>
      </c>
      <c r="I39" s="1">
        <v>3711</v>
      </c>
      <c r="J39" s="1">
        <v>6477</v>
      </c>
      <c r="K39" s="1">
        <v>1375</v>
      </c>
      <c r="L39" s="1">
        <v>2219</v>
      </c>
      <c r="M39" s="1">
        <v>43111</v>
      </c>
      <c r="N39" s="1">
        <v>16000</v>
      </c>
      <c r="O39" s="1">
        <v>9700</v>
      </c>
      <c r="P39" s="1">
        <v>80300</v>
      </c>
    </row>
    <row r="40" spans="1:16" x14ac:dyDescent="0.25">
      <c r="A40" s="2" t="s">
        <v>5</v>
      </c>
      <c r="B40" s="16">
        <v>0</v>
      </c>
      <c r="C40" s="3">
        <v>0</v>
      </c>
      <c r="D40" s="3">
        <v>0</v>
      </c>
      <c r="E40" s="1">
        <v>22260</v>
      </c>
      <c r="F40" s="3">
        <v>0</v>
      </c>
      <c r="G40" s="3">
        <v>0</v>
      </c>
      <c r="H40" s="3">
        <v>0</v>
      </c>
      <c r="I40" s="1">
        <v>77088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</row>
    <row r="41" spans="1:16" x14ac:dyDescent="0.25">
      <c r="A41" s="2" t="s">
        <v>4</v>
      </c>
      <c r="B41" s="8">
        <v>5601</v>
      </c>
      <c r="C41" s="1">
        <v>3378</v>
      </c>
      <c r="D41" s="1">
        <v>1502</v>
      </c>
      <c r="E41" s="1">
        <v>334</v>
      </c>
      <c r="F41" s="1">
        <v>11896</v>
      </c>
      <c r="G41" s="1">
        <v>7047</v>
      </c>
      <c r="H41" s="1">
        <v>1291</v>
      </c>
      <c r="I41" s="1">
        <v>3540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1">
        <v>18200</v>
      </c>
    </row>
    <row r="42" spans="1:16" x14ac:dyDescent="0.25">
      <c r="A42" s="2" t="s">
        <v>2</v>
      </c>
      <c r="B42" s="8">
        <v>5601</v>
      </c>
      <c r="C42" s="1">
        <v>4524</v>
      </c>
      <c r="D42" s="1">
        <v>1502</v>
      </c>
      <c r="E42" s="1">
        <v>334</v>
      </c>
      <c r="F42" s="1">
        <v>11896</v>
      </c>
      <c r="G42" s="1">
        <v>7047</v>
      </c>
      <c r="H42" s="1">
        <v>1291</v>
      </c>
      <c r="I42" s="1">
        <v>3540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18200</v>
      </c>
    </row>
    <row r="43" spans="1:16" x14ac:dyDescent="0.25">
      <c r="A43" s="2" t="s">
        <v>1</v>
      </c>
      <c r="B43" s="8">
        <v>117139</v>
      </c>
      <c r="C43" s="1">
        <v>149270</v>
      </c>
      <c r="D43" s="1">
        <v>247890</v>
      </c>
      <c r="E43" s="1">
        <v>188238</v>
      </c>
      <c r="F43" s="1">
        <v>8182</v>
      </c>
      <c r="G43" s="1">
        <v>53922</v>
      </c>
      <c r="H43" s="1">
        <v>127546</v>
      </c>
      <c r="I43" s="1">
        <v>89785</v>
      </c>
      <c r="J43" s="1">
        <v>356526</v>
      </c>
      <c r="K43" s="1">
        <v>584538</v>
      </c>
      <c r="L43" s="1">
        <v>842287</v>
      </c>
      <c r="M43" s="1">
        <v>850273</v>
      </c>
      <c r="N43" s="1">
        <v>2514400</v>
      </c>
      <c r="O43" s="1">
        <v>3155900</v>
      </c>
      <c r="P43" s="1">
        <v>2918700</v>
      </c>
    </row>
    <row r="44" spans="1:16" x14ac:dyDescent="0.25">
      <c r="A44" s="2" t="s">
        <v>0</v>
      </c>
      <c r="B44" s="8">
        <v>854629</v>
      </c>
      <c r="C44" s="1">
        <v>1053249</v>
      </c>
      <c r="D44" s="1">
        <v>1137095</v>
      </c>
      <c r="E44" s="1">
        <v>1537758</v>
      </c>
      <c r="F44" s="1">
        <v>1667570</v>
      </c>
      <c r="G44" s="1">
        <v>1704457</v>
      </c>
      <c r="H44" s="1">
        <v>1557844</v>
      </c>
      <c r="I44" s="1">
        <v>2787995</v>
      </c>
      <c r="J44" s="1">
        <v>2760869</v>
      </c>
      <c r="K44" s="1">
        <v>2851632</v>
      </c>
      <c r="L44" s="1">
        <v>3292089</v>
      </c>
      <c r="M44" s="1">
        <v>3855508</v>
      </c>
      <c r="N44" s="1">
        <v>9196900</v>
      </c>
      <c r="O44" s="1">
        <v>8967600</v>
      </c>
      <c r="P44" s="1">
        <v>8408900</v>
      </c>
    </row>
    <row r="48" spans="1:16" x14ac:dyDescent="0.25">
      <c r="A48" s="6" t="s">
        <v>87</v>
      </c>
    </row>
    <row r="49" spans="1:16" x14ac:dyDescent="0.25">
      <c r="A49" s="5" t="s">
        <v>59</v>
      </c>
      <c r="B49" s="4" t="s">
        <v>103</v>
      </c>
      <c r="C49" s="4" t="s">
        <v>102</v>
      </c>
      <c r="D49" s="4" t="s">
        <v>101</v>
      </c>
      <c r="E49" s="4" t="s">
        <v>100</v>
      </c>
      <c r="F49" s="4" t="s">
        <v>99</v>
      </c>
      <c r="G49" s="4" t="s">
        <v>98</v>
      </c>
      <c r="H49" s="4" t="s">
        <v>97</v>
      </c>
      <c r="I49" s="4" t="s">
        <v>96</v>
      </c>
      <c r="J49" s="4" t="s">
        <v>95</v>
      </c>
      <c r="K49" s="4" t="s">
        <v>94</v>
      </c>
      <c r="L49" s="4" t="s">
        <v>93</v>
      </c>
      <c r="M49" s="4" t="s">
        <v>92</v>
      </c>
      <c r="N49" s="4" t="s">
        <v>91</v>
      </c>
      <c r="O49" s="4" t="s">
        <v>90</v>
      </c>
      <c r="P49" s="4" t="s">
        <v>89</v>
      </c>
    </row>
    <row r="50" spans="1:16" x14ac:dyDescent="0.25">
      <c r="A50" s="5" t="s">
        <v>43</v>
      </c>
      <c r="B50" s="4" t="s">
        <v>42</v>
      </c>
      <c r="C50" s="4" t="s">
        <v>42</v>
      </c>
      <c r="D50" s="4" t="s">
        <v>42</v>
      </c>
      <c r="E50" s="4" t="s">
        <v>42</v>
      </c>
      <c r="F50" s="4" t="s">
        <v>42</v>
      </c>
      <c r="G50" s="4" t="s">
        <v>42</v>
      </c>
      <c r="H50" s="4" t="s">
        <v>42</v>
      </c>
      <c r="I50" s="4" t="s">
        <v>42</v>
      </c>
      <c r="J50" s="4" t="s">
        <v>42</v>
      </c>
      <c r="K50" s="4" t="s">
        <v>42</v>
      </c>
      <c r="L50" s="4" t="s">
        <v>42</v>
      </c>
      <c r="M50" s="4" t="s">
        <v>42</v>
      </c>
      <c r="N50" s="4" t="s">
        <v>42</v>
      </c>
      <c r="O50" s="4" t="s">
        <v>42</v>
      </c>
      <c r="P50" s="4" t="s">
        <v>42</v>
      </c>
    </row>
    <row r="51" spans="1:16" x14ac:dyDescent="0.25">
      <c r="A51" s="5" t="s">
        <v>41</v>
      </c>
      <c r="B51" s="4" t="s">
        <v>40</v>
      </c>
      <c r="C51" s="4" t="s">
        <v>40</v>
      </c>
      <c r="D51" s="4" t="s">
        <v>40</v>
      </c>
      <c r="E51" s="4" t="s">
        <v>40</v>
      </c>
      <c r="F51" s="4" t="s">
        <v>40</v>
      </c>
      <c r="G51" s="4" t="s">
        <v>40</v>
      </c>
      <c r="H51" s="4" t="s">
        <v>40</v>
      </c>
      <c r="I51" s="4" t="s">
        <v>40</v>
      </c>
      <c r="J51" s="4" t="s">
        <v>40</v>
      </c>
      <c r="K51" s="4" t="s">
        <v>40</v>
      </c>
      <c r="L51" s="4" t="s">
        <v>40</v>
      </c>
      <c r="M51" s="4" t="s">
        <v>40</v>
      </c>
      <c r="N51" s="4" t="s">
        <v>40</v>
      </c>
      <c r="O51" s="4" t="s">
        <v>40</v>
      </c>
      <c r="P51" s="4" t="s">
        <v>40</v>
      </c>
    </row>
    <row r="52" spans="1:16" x14ac:dyDescent="0.25">
      <c r="A52" s="5" t="s">
        <v>39</v>
      </c>
      <c r="B52" s="4" t="s">
        <v>38</v>
      </c>
      <c r="C52" s="4" t="s">
        <v>38</v>
      </c>
      <c r="D52" s="4" t="s">
        <v>38</v>
      </c>
      <c r="E52" s="4" t="s">
        <v>38</v>
      </c>
      <c r="F52" s="4" t="s">
        <v>38</v>
      </c>
      <c r="G52" s="4" t="s">
        <v>38</v>
      </c>
      <c r="H52" s="4" t="s">
        <v>38</v>
      </c>
      <c r="I52" s="4" t="s">
        <v>38</v>
      </c>
      <c r="J52" s="4" t="s">
        <v>38</v>
      </c>
      <c r="K52" s="4" t="s">
        <v>38</v>
      </c>
      <c r="L52" s="4" t="s">
        <v>38</v>
      </c>
      <c r="M52" s="4" t="s">
        <v>38</v>
      </c>
      <c r="N52" s="4" t="s">
        <v>38</v>
      </c>
      <c r="O52" s="4" t="s">
        <v>38</v>
      </c>
      <c r="P52" s="4" t="s">
        <v>38</v>
      </c>
    </row>
    <row r="53" spans="1:16" x14ac:dyDescent="0.25">
      <c r="A53" s="5" t="s">
        <v>37</v>
      </c>
      <c r="B53" s="12" t="s">
        <v>36</v>
      </c>
      <c r="C53" s="4" t="s">
        <v>36</v>
      </c>
      <c r="D53" s="4" t="s">
        <v>36</v>
      </c>
      <c r="E53" s="4" t="s">
        <v>36</v>
      </c>
      <c r="F53" s="4" t="s">
        <v>36</v>
      </c>
      <c r="G53" s="4" t="s">
        <v>36</v>
      </c>
      <c r="H53" s="4" t="s">
        <v>36</v>
      </c>
      <c r="I53" s="4" t="s">
        <v>36</v>
      </c>
      <c r="J53" s="4" t="s">
        <v>36</v>
      </c>
      <c r="K53" s="4" t="s">
        <v>36</v>
      </c>
      <c r="L53" s="4" t="s">
        <v>36</v>
      </c>
      <c r="M53" s="4" t="s">
        <v>36</v>
      </c>
      <c r="N53" s="4" t="s">
        <v>36</v>
      </c>
      <c r="O53" s="4" t="s">
        <v>36</v>
      </c>
      <c r="P53" s="4" t="s">
        <v>36</v>
      </c>
    </row>
    <row r="54" spans="1:16" x14ac:dyDescent="0.25">
      <c r="A54" s="2" t="s">
        <v>86</v>
      </c>
      <c r="B54" s="8">
        <v>842586</v>
      </c>
      <c r="C54" s="1">
        <v>951228</v>
      </c>
      <c r="D54" s="1">
        <v>976740</v>
      </c>
      <c r="E54" s="1">
        <v>1361039</v>
      </c>
      <c r="F54" s="1">
        <v>1466374</v>
      </c>
      <c r="G54" s="1">
        <v>1583718</v>
      </c>
      <c r="H54" s="1">
        <v>1582720</v>
      </c>
      <c r="I54" s="1">
        <v>1587579</v>
      </c>
      <c r="J54" s="1">
        <v>2708141</v>
      </c>
      <c r="K54" s="1">
        <v>2630254</v>
      </c>
      <c r="L54" s="1">
        <v>2399640</v>
      </c>
      <c r="M54" s="1">
        <v>2347419</v>
      </c>
      <c r="N54" s="1">
        <v>3201500</v>
      </c>
      <c r="O54" s="1">
        <v>4129100</v>
      </c>
      <c r="P54" s="1">
        <v>3680500</v>
      </c>
    </row>
    <row r="55" spans="1:16" x14ac:dyDescent="0.25">
      <c r="A55" s="2" t="s">
        <v>85</v>
      </c>
      <c r="B55" s="8">
        <v>355922</v>
      </c>
      <c r="C55" s="1">
        <v>460943</v>
      </c>
      <c r="D55" s="1">
        <v>436818</v>
      </c>
      <c r="E55" s="1">
        <v>662450</v>
      </c>
      <c r="F55" s="1">
        <v>793816</v>
      </c>
      <c r="G55" s="1">
        <v>807311</v>
      </c>
      <c r="H55" s="1">
        <v>795746</v>
      </c>
      <c r="I55" s="1">
        <v>908402</v>
      </c>
      <c r="J55" s="1">
        <v>1390569</v>
      </c>
      <c r="K55" s="1">
        <v>1369381</v>
      </c>
      <c r="L55" s="1">
        <v>1315775</v>
      </c>
      <c r="M55" s="1">
        <v>1415344</v>
      </c>
      <c r="N55" s="1">
        <v>1903800</v>
      </c>
      <c r="O55" s="1">
        <v>2309600</v>
      </c>
      <c r="P55" s="1">
        <v>2028200</v>
      </c>
    </row>
    <row r="56" spans="1:16" x14ac:dyDescent="0.25">
      <c r="A56" s="2" t="s">
        <v>84</v>
      </c>
      <c r="B56" s="8">
        <v>486664</v>
      </c>
      <c r="C56" s="1">
        <v>490285</v>
      </c>
      <c r="D56" s="1">
        <v>539922</v>
      </c>
      <c r="E56" s="1">
        <v>698589</v>
      </c>
      <c r="F56" s="1">
        <v>672558</v>
      </c>
      <c r="G56" s="1">
        <v>776407</v>
      </c>
      <c r="H56" s="1">
        <v>786974</v>
      </c>
      <c r="I56" s="1">
        <v>679177</v>
      </c>
      <c r="J56" s="1">
        <v>1317572</v>
      </c>
      <c r="K56" s="1">
        <v>1260873</v>
      </c>
      <c r="L56" s="1">
        <v>1083865</v>
      </c>
      <c r="M56" s="1">
        <v>932075</v>
      </c>
      <c r="N56" s="1">
        <v>1297700</v>
      </c>
      <c r="O56" s="1">
        <v>1819500</v>
      </c>
      <c r="P56" s="1">
        <v>1652300</v>
      </c>
    </row>
    <row r="57" spans="1:16" x14ac:dyDescent="0.25">
      <c r="A57" s="2" t="s">
        <v>83</v>
      </c>
      <c r="B57" s="8">
        <v>433741</v>
      </c>
      <c r="C57" s="1">
        <v>469625</v>
      </c>
      <c r="D57" s="1">
        <v>495192</v>
      </c>
      <c r="E57" s="1">
        <v>754746</v>
      </c>
      <c r="F57" s="1">
        <v>806120</v>
      </c>
      <c r="G57" s="1">
        <v>696298</v>
      </c>
      <c r="H57" s="1">
        <v>718633</v>
      </c>
      <c r="I57" s="1">
        <v>652377</v>
      </c>
      <c r="J57" s="1">
        <v>1036203</v>
      </c>
      <c r="K57" s="1">
        <v>994386</v>
      </c>
      <c r="L57" s="1">
        <v>854998</v>
      </c>
      <c r="M57" s="1">
        <v>944021</v>
      </c>
      <c r="N57" s="1">
        <v>1162200</v>
      </c>
      <c r="O57" s="1">
        <v>1352000</v>
      </c>
      <c r="P57" s="1">
        <v>1280900</v>
      </c>
    </row>
    <row r="58" spans="1:16" x14ac:dyDescent="0.25">
      <c r="A58" s="2" t="s">
        <v>112</v>
      </c>
      <c r="B58" s="8">
        <v>3159</v>
      </c>
      <c r="C58" s="1">
        <v>2504</v>
      </c>
      <c r="D58" s="1">
        <v>2786</v>
      </c>
      <c r="E58" s="1">
        <v>3974</v>
      </c>
      <c r="F58" s="1">
        <v>7657</v>
      </c>
      <c r="G58" s="1">
        <v>28064</v>
      </c>
      <c r="H58" s="1">
        <v>5811</v>
      </c>
      <c r="I58" s="1">
        <v>4276</v>
      </c>
      <c r="J58" s="1">
        <v>8290</v>
      </c>
      <c r="K58" s="1">
        <v>6539</v>
      </c>
      <c r="L58" s="1">
        <v>6586</v>
      </c>
      <c r="M58" s="1">
        <v>13084</v>
      </c>
      <c r="N58" s="1">
        <v>63100</v>
      </c>
      <c r="O58" s="1">
        <v>159000</v>
      </c>
      <c r="P58" s="1">
        <v>163400</v>
      </c>
    </row>
    <row r="59" spans="1:16" x14ac:dyDescent="0.25">
      <c r="A59" s="2" t="s">
        <v>111</v>
      </c>
      <c r="B59" s="16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1">
        <v>88700</v>
      </c>
      <c r="O59" s="1">
        <v>59800</v>
      </c>
      <c r="P59" s="1">
        <v>78000</v>
      </c>
    </row>
    <row r="60" spans="1:16" x14ac:dyDescent="0.25">
      <c r="A60" s="2" t="s">
        <v>81</v>
      </c>
      <c r="B60" s="8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</row>
    <row r="61" spans="1:16" x14ac:dyDescent="0.25">
      <c r="A61" s="2" t="s">
        <v>80</v>
      </c>
      <c r="B61" s="8">
        <v>436900</v>
      </c>
      <c r="C61" s="1">
        <v>472129</v>
      </c>
      <c r="D61" s="1">
        <v>497978</v>
      </c>
      <c r="E61" s="1">
        <v>758720</v>
      </c>
      <c r="F61" s="1">
        <v>813777</v>
      </c>
      <c r="G61" s="1">
        <v>724362</v>
      </c>
      <c r="H61" s="1">
        <v>724444</v>
      </c>
      <c r="I61" s="1">
        <v>656653</v>
      </c>
      <c r="J61" s="1">
        <v>1044493</v>
      </c>
      <c r="K61" s="1">
        <v>1000925</v>
      </c>
      <c r="L61" s="1">
        <v>861584</v>
      </c>
      <c r="M61" s="1">
        <v>957105</v>
      </c>
      <c r="N61" s="1">
        <v>1314000</v>
      </c>
      <c r="O61" s="1">
        <v>1570800</v>
      </c>
      <c r="P61" s="1">
        <v>1522300</v>
      </c>
    </row>
    <row r="62" spans="1:16" x14ac:dyDescent="0.25">
      <c r="A62" s="78" t="s">
        <v>79</v>
      </c>
      <c r="B62" s="8">
        <v>49764</v>
      </c>
      <c r="C62" s="8">
        <v>18156</v>
      </c>
      <c r="D62" s="8">
        <v>41944</v>
      </c>
      <c r="E62" s="8">
        <v>60131</v>
      </c>
      <c r="F62" s="8">
        <v>141219</v>
      </c>
      <c r="G62" s="8">
        <v>52045</v>
      </c>
      <c r="H62" s="8">
        <v>62530</v>
      </c>
      <c r="I62" s="8">
        <v>22524</v>
      </c>
      <c r="J62" s="8">
        <v>273079</v>
      </c>
      <c r="K62" s="8">
        <v>259948</v>
      </c>
      <c r="L62" s="8">
        <v>222281</v>
      </c>
      <c r="M62" s="8">
        <v>25030</v>
      </c>
      <c r="N62" s="8">
        <v>16300</v>
      </c>
      <c r="O62" s="8">
        <v>248700</v>
      </c>
      <c r="P62" s="8">
        <v>130000</v>
      </c>
    </row>
    <row r="63" spans="1:16" x14ac:dyDescent="0.25">
      <c r="A63" s="78" t="s">
        <v>78</v>
      </c>
      <c r="B63" s="8">
        <v>20388</v>
      </c>
      <c r="C63" s="8">
        <v>15424</v>
      </c>
      <c r="D63" s="8">
        <v>5902</v>
      </c>
      <c r="E63" s="8">
        <v>5156</v>
      </c>
      <c r="F63" s="8">
        <v>13542</v>
      </c>
      <c r="G63" s="8">
        <v>56487</v>
      </c>
      <c r="H63" s="8">
        <v>53438</v>
      </c>
      <c r="I63" s="8">
        <v>75359</v>
      </c>
      <c r="J63" s="8">
        <v>89544</v>
      </c>
      <c r="K63" s="8">
        <v>60140</v>
      </c>
      <c r="L63" s="8">
        <v>49686</v>
      </c>
      <c r="M63" s="8">
        <v>53028</v>
      </c>
      <c r="N63" s="8">
        <v>108800</v>
      </c>
      <c r="O63" s="8">
        <v>183300</v>
      </c>
      <c r="P63" s="8">
        <v>186900</v>
      </c>
    </row>
    <row r="64" spans="1:16" x14ac:dyDescent="0.25">
      <c r="A64" s="78" t="s">
        <v>77</v>
      </c>
      <c r="B64" s="16">
        <v>0</v>
      </c>
      <c r="C64" s="8">
        <v>4872</v>
      </c>
      <c r="D64" s="8">
        <v>1722</v>
      </c>
      <c r="E64" s="8">
        <v>2909</v>
      </c>
      <c r="F64" s="16">
        <v>0</v>
      </c>
      <c r="G64" s="16">
        <v>0</v>
      </c>
      <c r="H64" s="16">
        <v>0</v>
      </c>
      <c r="I64" s="8">
        <v>10967</v>
      </c>
      <c r="J64" s="16">
        <v>0</v>
      </c>
      <c r="K64" s="16">
        <v>0</v>
      </c>
      <c r="L64" s="16">
        <v>0</v>
      </c>
      <c r="M64" s="16">
        <v>0</v>
      </c>
      <c r="N64" s="8">
        <v>20400</v>
      </c>
      <c r="O64" s="8">
        <v>201000</v>
      </c>
      <c r="P64" s="8">
        <v>87600</v>
      </c>
    </row>
    <row r="65" spans="1:17" x14ac:dyDescent="0.25">
      <c r="A65" s="78" t="s">
        <v>76</v>
      </c>
      <c r="B65" s="8">
        <v>159</v>
      </c>
      <c r="C65" s="8">
        <v>0</v>
      </c>
      <c r="D65" s="8">
        <v>0</v>
      </c>
      <c r="E65" s="8">
        <v>0</v>
      </c>
      <c r="F65" s="8">
        <v>3549</v>
      </c>
      <c r="G65" s="8">
        <v>5675</v>
      </c>
      <c r="H65" s="8">
        <v>14505</v>
      </c>
      <c r="I65" s="8">
        <v>967</v>
      </c>
      <c r="J65" s="8">
        <v>24089</v>
      </c>
      <c r="K65" s="8">
        <v>39572</v>
      </c>
      <c r="L65" s="8">
        <v>11664</v>
      </c>
      <c r="M65" s="8">
        <v>0</v>
      </c>
      <c r="N65" s="8">
        <v>40400</v>
      </c>
      <c r="O65" s="8">
        <v>64900</v>
      </c>
      <c r="P65" s="8">
        <v>120700</v>
      </c>
    </row>
    <row r="66" spans="1:17" x14ac:dyDescent="0.25">
      <c r="A66" s="78" t="s">
        <v>75</v>
      </c>
      <c r="B66" s="8">
        <v>20229</v>
      </c>
      <c r="C66" s="8">
        <v>10552</v>
      </c>
      <c r="D66" s="8">
        <v>4180</v>
      </c>
      <c r="E66" s="8">
        <v>2247</v>
      </c>
      <c r="F66" s="8">
        <v>9993</v>
      </c>
      <c r="G66" s="8">
        <v>50812</v>
      </c>
      <c r="H66" s="8">
        <v>67943</v>
      </c>
      <c r="I66" s="8">
        <v>65359</v>
      </c>
      <c r="J66" s="8">
        <v>113633</v>
      </c>
      <c r="K66" s="8">
        <v>99712</v>
      </c>
      <c r="L66" s="8">
        <v>61350</v>
      </c>
      <c r="M66" s="8">
        <v>53028</v>
      </c>
      <c r="N66" s="8">
        <v>128800</v>
      </c>
      <c r="O66" s="8">
        <v>47200</v>
      </c>
      <c r="P66" s="8">
        <v>395200</v>
      </c>
    </row>
    <row r="67" spans="1:17" x14ac:dyDescent="0.25">
      <c r="A67" s="78" t="s">
        <v>74</v>
      </c>
      <c r="B67" s="8">
        <v>29535</v>
      </c>
      <c r="C67" s="8">
        <v>7604</v>
      </c>
      <c r="D67" s="8">
        <v>37764</v>
      </c>
      <c r="E67" s="8">
        <v>62378</v>
      </c>
      <c r="F67" s="8">
        <v>151212</v>
      </c>
      <c r="G67" s="8">
        <v>1233</v>
      </c>
      <c r="H67" s="8">
        <v>5413</v>
      </c>
      <c r="I67" s="8">
        <v>42835</v>
      </c>
      <c r="J67" s="8">
        <v>159446</v>
      </c>
      <c r="K67" s="8">
        <v>160236</v>
      </c>
      <c r="L67" s="8">
        <v>160931</v>
      </c>
      <c r="M67" s="8">
        <v>78058</v>
      </c>
      <c r="N67" s="8">
        <v>145100</v>
      </c>
      <c r="O67" s="8">
        <v>201500</v>
      </c>
      <c r="P67" s="8">
        <v>265200</v>
      </c>
      <c r="Q67" s="1"/>
    </row>
    <row r="68" spans="1:17" x14ac:dyDescent="0.25">
      <c r="A68" s="2" t="s">
        <v>73</v>
      </c>
      <c r="B68" s="8">
        <v>8947</v>
      </c>
      <c r="C68" s="1">
        <v>1434</v>
      </c>
      <c r="D68" s="1">
        <v>7680</v>
      </c>
      <c r="E68" s="1">
        <v>4031</v>
      </c>
      <c r="F68" s="1">
        <v>2724</v>
      </c>
      <c r="G68" s="1">
        <v>1230</v>
      </c>
      <c r="H68" s="1">
        <v>4256</v>
      </c>
      <c r="I68" s="1">
        <v>4695</v>
      </c>
      <c r="J68" s="1">
        <v>75756</v>
      </c>
      <c r="K68" s="1">
        <v>32923</v>
      </c>
      <c r="L68" s="1">
        <v>31627</v>
      </c>
      <c r="M68" s="1">
        <v>76527</v>
      </c>
      <c r="N68" s="1">
        <v>148900</v>
      </c>
      <c r="O68" s="1">
        <v>319400</v>
      </c>
      <c r="P68" s="1">
        <v>8500</v>
      </c>
    </row>
    <row r="69" spans="1:17" x14ac:dyDescent="0.25">
      <c r="A69" s="2" t="s">
        <v>12</v>
      </c>
      <c r="B69" s="8">
        <v>107</v>
      </c>
      <c r="C69" s="3">
        <v>0</v>
      </c>
      <c r="D69" s="3">
        <v>0</v>
      </c>
      <c r="E69" s="3">
        <v>0</v>
      </c>
      <c r="F69" s="3">
        <v>0</v>
      </c>
      <c r="G69" s="1">
        <v>8668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1">
        <v>7509</v>
      </c>
      <c r="N69" s="1">
        <v>300</v>
      </c>
      <c r="O69" s="1">
        <v>5500</v>
      </c>
      <c r="P69" s="1">
        <v>15400</v>
      </c>
    </row>
    <row r="70" spans="1:17" x14ac:dyDescent="0.25">
      <c r="A70" s="2" t="s">
        <v>110</v>
      </c>
      <c r="B70" s="8">
        <v>200</v>
      </c>
      <c r="C70" s="1">
        <v>74</v>
      </c>
      <c r="D70" s="1">
        <v>2605</v>
      </c>
      <c r="E70" s="1">
        <v>7559</v>
      </c>
      <c r="F70" s="1">
        <v>9044</v>
      </c>
      <c r="G70" s="1">
        <v>28149</v>
      </c>
      <c r="H70" s="1">
        <v>43930</v>
      </c>
      <c r="I70" s="1">
        <v>8412</v>
      </c>
      <c r="J70" s="1">
        <v>3075</v>
      </c>
      <c r="K70" s="1">
        <v>24724</v>
      </c>
      <c r="L70" s="1">
        <v>52477</v>
      </c>
      <c r="M70" s="1">
        <v>44231</v>
      </c>
      <c r="N70" s="1">
        <v>10700</v>
      </c>
      <c r="O70" s="1">
        <v>52800</v>
      </c>
      <c r="P70" s="1">
        <v>42900</v>
      </c>
    </row>
    <row r="71" spans="1:17" x14ac:dyDescent="0.25">
      <c r="A71" s="2" t="s">
        <v>72</v>
      </c>
      <c r="B71" s="8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</row>
    <row r="72" spans="1:17" x14ac:dyDescent="0.25">
      <c r="A72" s="2" t="s">
        <v>71</v>
      </c>
      <c r="B72" s="8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</row>
    <row r="73" spans="1:17" x14ac:dyDescent="0.25">
      <c r="A73" s="2" t="s">
        <v>70</v>
      </c>
      <c r="B73" s="8">
        <v>20281</v>
      </c>
      <c r="C73" s="1">
        <v>6096</v>
      </c>
      <c r="D73" s="1">
        <v>27479</v>
      </c>
      <c r="E73" s="1">
        <v>73968</v>
      </c>
      <c r="F73" s="1">
        <v>162980</v>
      </c>
      <c r="G73" s="1">
        <v>19478</v>
      </c>
      <c r="H73" s="1">
        <v>53599</v>
      </c>
      <c r="I73" s="1">
        <v>39118</v>
      </c>
      <c r="J73" s="1">
        <v>232127</v>
      </c>
      <c r="K73" s="1">
        <v>152037</v>
      </c>
      <c r="L73" s="1">
        <v>181781</v>
      </c>
      <c r="M73" s="1">
        <v>50209</v>
      </c>
      <c r="N73" s="1">
        <v>14800</v>
      </c>
      <c r="O73" s="1">
        <v>473600</v>
      </c>
      <c r="P73" s="1">
        <v>284200</v>
      </c>
    </row>
    <row r="74" spans="1:17" x14ac:dyDescent="0.25">
      <c r="A74" s="2" t="s">
        <v>69</v>
      </c>
      <c r="B74" s="8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</row>
    <row r="75" spans="1:17" x14ac:dyDescent="0.25">
      <c r="A75" s="2" t="s">
        <v>68</v>
      </c>
      <c r="B75" s="8">
        <v>20281</v>
      </c>
      <c r="C75" s="1">
        <v>6096</v>
      </c>
      <c r="D75" s="1">
        <v>27479</v>
      </c>
      <c r="E75" s="1">
        <v>73968</v>
      </c>
      <c r="F75" s="1">
        <v>162980</v>
      </c>
      <c r="G75" s="1">
        <v>19478</v>
      </c>
      <c r="H75" s="1">
        <v>53599</v>
      </c>
      <c r="I75" s="1">
        <v>39118</v>
      </c>
      <c r="J75" s="1">
        <v>232127</v>
      </c>
      <c r="K75" s="1">
        <v>152037</v>
      </c>
      <c r="L75" s="1">
        <v>181781</v>
      </c>
      <c r="M75" s="1">
        <v>50209</v>
      </c>
      <c r="N75" s="1">
        <v>14800</v>
      </c>
      <c r="O75" s="1">
        <v>473600</v>
      </c>
      <c r="P75" s="1">
        <v>284200</v>
      </c>
    </row>
    <row r="76" spans="1:17" x14ac:dyDescent="0.25">
      <c r="A76" s="2" t="s">
        <v>67</v>
      </c>
      <c r="B76" s="8">
        <v>97610</v>
      </c>
      <c r="C76" s="1">
        <v>103066</v>
      </c>
      <c r="D76" s="1">
        <v>108398</v>
      </c>
      <c r="E76" s="1">
        <v>118427</v>
      </c>
      <c r="F76" s="1">
        <v>116795</v>
      </c>
      <c r="G76" s="1">
        <v>117510</v>
      </c>
      <c r="H76" s="1">
        <v>131176</v>
      </c>
      <c r="I76" s="1">
        <v>132226</v>
      </c>
      <c r="J76" s="1">
        <v>134514</v>
      </c>
      <c r="K76" s="1">
        <v>137468</v>
      </c>
      <c r="L76" s="1">
        <v>139048</v>
      </c>
      <c r="M76" s="1">
        <v>148480</v>
      </c>
      <c r="N76" s="1">
        <v>165000</v>
      </c>
      <c r="O76" s="1">
        <v>208400</v>
      </c>
      <c r="P76" s="1">
        <v>213700</v>
      </c>
    </row>
    <row r="77" spans="1:17" x14ac:dyDescent="0.25">
      <c r="A77" s="2" t="s">
        <v>66</v>
      </c>
      <c r="B77" s="17">
        <v>0.21</v>
      </c>
      <c r="C77" s="10">
        <v>0.06</v>
      </c>
      <c r="D77" s="10">
        <v>0.25</v>
      </c>
      <c r="E77" s="10">
        <v>0.62</v>
      </c>
      <c r="F77" s="11">
        <v>1.4</v>
      </c>
      <c r="G77" s="10">
        <v>0.17</v>
      </c>
      <c r="H77" s="10">
        <v>0.41</v>
      </c>
      <c r="I77" s="11">
        <v>0.3</v>
      </c>
      <c r="J77" s="10">
        <v>1.73</v>
      </c>
      <c r="K77" s="10">
        <v>1.1100000000000001</v>
      </c>
      <c r="L77" s="10">
        <v>1.31</v>
      </c>
      <c r="M77" s="10">
        <v>0.34</v>
      </c>
      <c r="N77" s="10">
        <v>0.09</v>
      </c>
      <c r="O77" s="10">
        <v>2.27</v>
      </c>
      <c r="P77" s="10">
        <v>1.33</v>
      </c>
    </row>
    <row r="78" spans="1:17" x14ac:dyDescent="0.25">
      <c r="A78" s="2" t="s">
        <v>65</v>
      </c>
      <c r="B78" s="17">
        <v>0.21</v>
      </c>
      <c r="C78" s="10">
        <v>0.06</v>
      </c>
      <c r="D78" s="10">
        <v>0.25</v>
      </c>
      <c r="E78" s="10">
        <v>0.62</v>
      </c>
      <c r="F78" s="11">
        <v>1.4</v>
      </c>
      <c r="G78" s="10">
        <v>0.17</v>
      </c>
      <c r="H78" s="10">
        <v>0.41</v>
      </c>
      <c r="I78" s="11">
        <v>0.3</v>
      </c>
      <c r="J78" s="10">
        <v>1.73</v>
      </c>
      <c r="K78" s="10">
        <v>1.1100000000000001</v>
      </c>
      <c r="L78" s="10">
        <v>1.31</v>
      </c>
      <c r="M78" s="10">
        <v>0.34</v>
      </c>
      <c r="N78" s="10">
        <v>0.09</v>
      </c>
      <c r="O78" s="10">
        <v>2.27</v>
      </c>
      <c r="P78" s="10">
        <v>1.33</v>
      </c>
    </row>
    <row r="79" spans="1:17" x14ac:dyDescent="0.25">
      <c r="A79" s="2" t="s">
        <v>64</v>
      </c>
      <c r="B79" s="8">
        <v>103375</v>
      </c>
      <c r="C79" s="1">
        <v>106102</v>
      </c>
      <c r="D79" s="1">
        <v>111164</v>
      </c>
      <c r="E79" s="1">
        <v>118427</v>
      </c>
      <c r="F79" s="1">
        <v>116795</v>
      </c>
      <c r="G79" s="1">
        <v>117510</v>
      </c>
      <c r="H79" s="1">
        <v>131176</v>
      </c>
      <c r="I79" s="1">
        <v>132226</v>
      </c>
      <c r="J79" s="1">
        <v>149370</v>
      </c>
      <c r="K79" s="1">
        <v>154415</v>
      </c>
      <c r="L79" s="1">
        <v>151778</v>
      </c>
      <c r="M79" s="1">
        <v>154088</v>
      </c>
      <c r="N79" s="1">
        <v>172200</v>
      </c>
      <c r="O79" s="1">
        <v>220400</v>
      </c>
      <c r="P79" s="1">
        <v>213700</v>
      </c>
    </row>
    <row r="80" spans="1:17" x14ac:dyDescent="0.25">
      <c r="A80" s="2" t="s">
        <v>63</v>
      </c>
      <c r="B80" s="18">
        <v>0.2</v>
      </c>
      <c r="C80" s="10">
        <v>0.06</v>
      </c>
      <c r="D80" s="10">
        <v>0.25</v>
      </c>
      <c r="E80" s="10">
        <v>0.62</v>
      </c>
      <c r="F80" s="11">
        <v>1.4</v>
      </c>
      <c r="G80" s="10">
        <v>0.17</v>
      </c>
      <c r="H80" s="10">
        <v>0.41</v>
      </c>
      <c r="I80" s="11">
        <v>0.3</v>
      </c>
      <c r="J80" s="10">
        <v>1.61</v>
      </c>
      <c r="K80" s="10">
        <v>1.04</v>
      </c>
      <c r="L80" s="10">
        <v>1.23</v>
      </c>
      <c r="M80" s="10">
        <v>0.33</v>
      </c>
      <c r="N80" s="10">
        <v>0.09</v>
      </c>
      <c r="O80" s="10">
        <v>2.15</v>
      </c>
      <c r="P80" s="10">
        <v>1.33</v>
      </c>
    </row>
    <row r="81" spans="1:28" x14ac:dyDescent="0.25">
      <c r="A81" s="2" t="s">
        <v>62</v>
      </c>
      <c r="B81" s="18">
        <v>0.2</v>
      </c>
      <c r="C81" s="10">
        <v>0.06</v>
      </c>
      <c r="D81" s="10">
        <v>0.25</v>
      </c>
      <c r="E81" s="10">
        <v>0.62</v>
      </c>
      <c r="F81" s="11">
        <v>1.4</v>
      </c>
      <c r="G81" s="10">
        <v>0.17</v>
      </c>
      <c r="H81" s="10">
        <v>0.41</v>
      </c>
      <c r="I81" s="11">
        <v>0.3</v>
      </c>
      <c r="J81" s="10">
        <v>1.61</v>
      </c>
      <c r="K81" s="10">
        <v>1.04</v>
      </c>
      <c r="L81" s="10">
        <v>1.23</v>
      </c>
      <c r="M81" s="10">
        <v>0.33</v>
      </c>
      <c r="N81" s="10">
        <v>0.09</v>
      </c>
      <c r="O81" s="10">
        <v>2.15</v>
      </c>
      <c r="P81" s="10">
        <v>1.33</v>
      </c>
    </row>
    <row r="82" spans="1:28" x14ac:dyDescent="0.25">
      <c r="A82" s="2" t="s">
        <v>61</v>
      </c>
      <c r="B82" s="19">
        <v>101843.708</v>
      </c>
      <c r="C82" s="9">
        <v>104422.765</v>
      </c>
      <c r="D82" s="10">
        <v>116970.28</v>
      </c>
      <c r="E82" s="9">
        <v>118670.81200000001</v>
      </c>
      <c r="F82" s="9">
        <v>116950.512</v>
      </c>
      <c r="G82" s="9">
        <v>117951.754</v>
      </c>
      <c r="H82" s="9">
        <v>136839.44500000001</v>
      </c>
      <c r="I82" s="9">
        <v>132940.261</v>
      </c>
      <c r="J82" s="9">
        <v>135882.899</v>
      </c>
      <c r="K82" s="9">
        <v>141007.46100000001</v>
      </c>
      <c r="L82" s="3">
        <v>0</v>
      </c>
      <c r="M82" s="10">
        <v>146785.94</v>
      </c>
      <c r="N82" s="1">
        <v>207500</v>
      </c>
      <c r="O82" s="1">
        <v>211100</v>
      </c>
      <c r="P82" s="1">
        <v>216000</v>
      </c>
    </row>
    <row r="89" spans="1:28" ht="28.5" x14ac:dyDescent="0.45">
      <c r="A89" s="143" t="s">
        <v>154</v>
      </c>
    </row>
    <row r="90" spans="1:28" x14ac:dyDescent="0.25">
      <c r="A90" t="s">
        <v>59</v>
      </c>
      <c r="B90" s="26">
        <v>38442</v>
      </c>
      <c r="C90" s="26">
        <v>38807</v>
      </c>
      <c r="D90" s="26">
        <v>39172</v>
      </c>
      <c r="E90" s="26">
        <v>39538</v>
      </c>
      <c r="F90" s="26">
        <v>39903</v>
      </c>
      <c r="G90" s="26">
        <v>40268</v>
      </c>
      <c r="H90" s="26">
        <v>40633</v>
      </c>
      <c r="I90" s="26">
        <v>40999</v>
      </c>
      <c r="J90" s="26">
        <v>41364</v>
      </c>
      <c r="K90" s="26">
        <v>41729</v>
      </c>
      <c r="L90" s="26">
        <v>42094</v>
      </c>
      <c r="M90" s="26">
        <v>42460</v>
      </c>
      <c r="N90" s="26">
        <v>42825</v>
      </c>
      <c r="O90" s="26">
        <v>43190</v>
      </c>
      <c r="P90" s="26">
        <v>43555</v>
      </c>
    </row>
    <row r="91" spans="1:28" x14ac:dyDescent="0.25">
      <c r="A91" s="6" t="s">
        <v>43</v>
      </c>
      <c r="B91" t="s">
        <v>42</v>
      </c>
      <c r="C91" t="s">
        <v>42</v>
      </c>
      <c r="D91" t="s">
        <v>42</v>
      </c>
      <c r="E91" t="s">
        <v>42</v>
      </c>
      <c r="F91" t="s">
        <v>42</v>
      </c>
      <c r="G91" t="s">
        <v>42</v>
      </c>
      <c r="H91" t="s">
        <v>42</v>
      </c>
      <c r="I91" t="s">
        <v>42</v>
      </c>
      <c r="J91" t="s">
        <v>42</v>
      </c>
      <c r="K91" t="s">
        <v>42</v>
      </c>
      <c r="L91" t="s">
        <v>42</v>
      </c>
      <c r="M91" t="s">
        <v>42</v>
      </c>
      <c r="N91" t="s">
        <v>42</v>
      </c>
      <c r="O91" t="s">
        <v>42</v>
      </c>
      <c r="P91" t="s">
        <v>42</v>
      </c>
    </row>
    <row r="92" spans="1:28" x14ac:dyDescent="0.25">
      <c r="A92" s="5" t="s">
        <v>41</v>
      </c>
      <c r="B92" s="4" t="s">
        <v>40</v>
      </c>
      <c r="C92" s="4" t="s">
        <v>40</v>
      </c>
      <c r="D92" s="4" t="s">
        <v>40</v>
      </c>
      <c r="E92" s="4" t="s">
        <v>40</v>
      </c>
      <c r="F92" s="4" t="s">
        <v>40</v>
      </c>
      <c r="G92" s="4" t="s">
        <v>40</v>
      </c>
      <c r="H92" s="4" t="s">
        <v>40</v>
      </c>
      <c r="I92" s="4" t="s">
        <v>40</v>
      </c>
      <c r="J92" s="4" t="s">
        <v>40</v>
      </c>
      <c r="K92" s="4" t="s">
        <v>40</v>
      </c>
      <c r="L92" s="4" t="s">
        <v>40</v>
      </c>
      <c r="M92" s="4" t="s">
        <v>40</v>
      </c>
      <c r="N92" s="4" t="s">
        <v>40</v>
      </c>
      <c r="O92" s="4" t="s">
        <v>40</v>
      </c>
      <c r="P92" s="4" t="s">
        <v>40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5"/>
    </row>
    <row r="93" spans="1:28" x14ac:dyDescent="0.25">
      <c r="A93" s="5" t="s">
        <v>39</v>
      </c>
      <c r="B93" s="4" t="s">
        <v>38</v>
      </c>
      <c r="C93" s="4" t="s">
        <v>38</v>
      </c>
      <c r="D93" s="4" t="s">
        <v>38</v>
      </c>
      <c r="E93" s="4" t="s">
        <v>38</v>
      </c>
      <c r="F93" s="4" t="s">
        <v>38</v>
      </c>
      <c r="G93" s="4" t="s">
        <v>38</v>
      </c>
      <c r="H93" s="4" t="s">
        <v>38</v>
      </c>
      <c r="I93" s="4" t="s">
        <v>38</v>
      </c>
      <c r="J93" s="4" t="s">
        <v>38</v>
      </c>
      <c r="K93" s="4" t="s">
        <v>38</v>
      </c>
      <c r="L93" s="4" t="s">
        <v>38</v>
      </c>
      <c r="M93" s="4" t="s">
        <v>38</v>
      </c>
      <c r="N93" s="4" t="s">
        <v>38</v>
      </c>
      <c r="O93" s="4" t="s">
        <v>38</v>
      </c>
      <c r="P93" s="4" t="s">
        <v>38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5"/>
    </row>
    <row r="94" spans="1:28" x14ac:dyDescent="0.25">
      <c r="A94" s="5" t="s">
        <v>37</v>
      </c>
      <c r="B94" s="4" t="s">
        <v>36</v>
      </c>
      <c r="C94" s="4" t="s">
        <v>36</v>
      </c>
      <c r="D94" s="4" t="s">
        <v>36</v>
      </c>
      <c r="E94" s="4" t="s">
        <v>36</v>
      </c>
      <c r="F94" s="4" t="s">
        <v>36</v>
      </c>
      <c r="G94" s="4" t="s">
        <v>36</v>
      </c>
      <c r="H94" s="4" t="s">
        <v>36</v>
      </c>
      <c r="I94" s="4" t="s">
        <v>36</v>
      </c>
      <c r="J94" s="4" t="s">
        <v>36</v>
      </c>
      <c r="K94" s="4" t="s">
        <v>36</v>
      </c>
      <c r="L94" s="4" t="s">
        <v>36</v>
      </c>
      <c r="M94" s="4" t="s">
        <v>36</v>
      </c>
      <c r="N94" s="4" t="s">
        <v>36</v>
      </c>
      <c r="O94" s="4" t="s">
        <v>36</v>
      </c>
      <c r="P94" s="4" t="s">
        <v>36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5"/>
    </row>
    <row r="95" spans="1:28" x14ac:dyDescent="0.25">
      <c r="A95" s="5" t="s">
        <v>70</v>
      </c>
      <c r="B95" s="4">
        <v>20281</v>
      </c>
      <c r="C95" s="4">
        <v>6096</v>
      </c>
      <c r="D95" s="4">
        <v>27479</v>
      </c>
      <c r="E95" s="4">
        <v>-73968</v>
      </c>
      <c r="F95" s="4">
        <v>-162980</v>
      </c>
      <c r="G95" s="4">
        <v>-28146</v>
      </c>
      <c r="H95" s="4">
        <v>-53599</v>
      </c>
      <c r="I95" s="4">
        <v>-39118</v>
      </c>
      <c r="J95" s="4">
        <v>232127</v>
      </c>
      <c r="K95" s="4">
        <v>152037</v>
      </c>
      <c r="L95" s="4">
        <v>181781</v>
      </c>
      <c r="M95" s="4">
        <v>42700</v>
      </c>
      <c r="N95" s="4">
        <v>14500</v>
      </c>
      <c r="O95" s="4">
        <v>468100</v>
      </c>
      <c r="P95" s="4">
        <v>-299600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5"/>
    </row>
    <row r="96" spans="1:28" x14ac:dyDescent="0.25">
      <c r="A96" s="5" t="s">
        <v>155</v>
      </c>
      <c r="B96" s="4">
        <v>229262</v>
      </c>
      <c r="C96" s="4">
        <v>258766</v>
      </c>
      <c r="D96" s="4">
        <v>263988</v>
      </c>
      <c r="E96" s="4">
        <v>429897</v>
      </c>
      <c r="F96" s="4">
        <v>489543</v>
      </c>
      <c r="G96" s="4">
        <v>639589</v>
      </c>
      <c r="H96" s="4">
        <v>649379</v>
      </c>
      <c r="I96" s="4">
        <v>615162</v>
      </c>
      <c r="J96" s="4">
        <v>967678</v>
      </c>
      <c r="K96" s="4">
        <v>1052370</v>
      </c>
      <c r="L96" s="4">
        <v>980203</v>
      </c>
      <c r="M96" s="4">
        <v>1001982</v>
      </c>
      <c r="N96" s="4">
        <v>1446600</v>
      </c>
      <c r="O96" s="4">
        <v>1597200</v>
      </c>
      <c r="P96" s="4">
        <v>1827200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5"/>
    </row>
    <row r="97" spans="1:28" x14ac:dyDescent="0.25">
      <c r="A97" s="2" t="s">
        <v>156</v>
      </c>
      <c r="B97" s="3">
        <v>-154047</v>
      </c>
      <c r="C97" s="3">
        <v>-141850</v>
      </c>
      <c r="D97" s="1">
        <v>-183650</v>
      </c>
      <c r="E97" s="1">
        <v>-266779</v>
      </c>
      <c r="F97" s="3">
        <v>-428469</v>
      </c>
      <c r="G97" s="1">
        <v>-733218</v>
      </c>
      <c r="H97" s="3">
        <v>-553453</v>
      </c>
      <c r="I97" s="3">
        <v>-739512</v>
      </c>
      <c r="J97" s="1">
        <v>-923686</v>
      </c>
      <c r="K97" s="3">
        <v>-951895</v>
      </c>
      <c r="L97" s="1">
        <v>-1065475</v>
      </c>
      <c r="M97" s="3">
        <v>-1063688</v>
      </c>
      <c r="N97" s="1">
        <v>-902500</v>
      </c>
      <c r="O97" s="1">
        <v>-1676100</v>
      </c>
      <c r="P97" s="3">
        <v>-1100100</v>
      </c>
      <c r="Q97" s="1"/>
      <c r="R97" s="1"/>
      <c r="S97" s="3"/>
      <c r="T97" s="3"/>
      <c r="U97" s="1"/>
      <c r="V97" s="1"/>
      <c r="W97" s="3"/>
      <c r="X97" s="3"/>
      <c r="Y97" s="3"/>
      <c r="Z97" s="3"/>
      <c r="AA97" s="3"/>
      <c r="AB97" s="2"/>
    </row>
    <row r="98" spans="1:28" x14ac:dyDescent="0.25">
      <c r="A98" s="2" t="s">
        <v>157</v>
      </c>
      <c r="B98" s="3">
        <v>95496</v>
      </c>
      <c r="C98" s="3">
        <v>123012</v>
      </c>
      <c r="D98" s="3">
        <v>107817</v>
      </c>
      <c r="E98" s="3">
        <v>89150</v>
      </c>
      <c r="F98" s="3">
        <v>-101906</v>
      </c>
      <c r="G98" s="3">
        <v>-121775</v>
      </c>
      <c r="H98" s="3">
        <v>42327</v>
      </c>
      <c r="I98" s="3">
        <v>-163468</v>
      </c>
      <c r="J98" s="3">
        <v>276119</v>
      </c>
      <c r="K98" s="3">
        <v>252512</v>
      </c>
      <c r="L98" s="3">
        <v>96509</v>
      </c>
      <c r="M98" s="3">
        <v>-19006</v>
      </c>
      <c r="N98" s="3">
        <v>558600</v>
      </c>
      <c r="O98" s="3">
        <v>389200</v>
      </c>
      <c r="P98" s="3">
        <v>427500</v>
      </c>
      <c r="Q98" s="3"/>
      <c r="R98" s="3"/>
      <c r="S98" s="3"/>
      <c r="T98" s="3"/>
      <c r="U98" s="3"/>
      <c r="V98" s="1"/>
      <c r="W98" s="3"/>
      <c r="X98" s="3"/>
      <c r="Y98" s="3"/>
      <c r="Z98" s="3"/>
      <c r="AA98" s="3"/>
      <c r="AB98" s="2"/>
    </row>
    <row r="99" spans="1:28" x14ac:dyDescent="0.25">
      <c r="A99" s="2" t="s">
        <v>158</v>
      </c>
      <c r="B99" s="3">
        <v>-2484</v>
      </c>
      <c r="C99" s="3">
        <v>-5450</v>
      </c>
      <c r="D99" s="1">
        <v>-8348</v>
      </c>
      <c r="E99" s="1">
        <v>-3608</v>
      </c>
      <c r="F99" s="3">
        <v>-8674</v>
      </c>
      <c r="G99" s="1">
        <v>-6577</v>
      </c>
      <c r="H99" s="3">
        <v>-2756</v>
      </c>
      <c r="I99" s="3">
        <v>-1885</v>
      </c>
      <c r="J99" s="1">
        <v>-2581</v>
      </c>
      <c r="K99" s="3">
        <v>-8799</v>
      </c>
      <c r="L99" s="1">
        <v>-17013</v>
      </c>
      <c r="M99" s="3">
        <v>-18433</v>
      </c>
      <c r="N99" s="1">
        <v>-25200</v>
      </c>
      <c r="O99" s="1">
        <v>-45900</v>
      </c>
      <c r="P99" s="3">
        <v>-43800</v>
      </c>
      <c r="Q99" s="1"/>
      <c r="R99" s="1"/>
      <c r="S99" s="3"/>
      <c r="T99" s="3"/>
      <c r="U99" s="1"/>
      <c r="V99" s="1"/>
      <c r="W99" s="3"/>
      <c r="X99" s="3"/>
      <c r="Y99" s="3"/>
      <c r="Z99" s="3"/>
      <c r="AA99" s="3"/>
      <c r="AB99" s="2"/>
    </row>
    <row r="100" spans="1:28" x14ac:dyDescent="0.25">
      <c r="A100" s="2" t="s">
        <v>159</v>
      </c>
      <c r="B100" s="1" t="s">
        <v>3</v>
      </c>
      <c r="C100" s="1">
        <v>-310501</v>
      </c>
      <c r="D100" s="3">
        <v>-870988</v>
      </c>
      <c r="E100" s="3">
        <v>-240558</v>
      </c>
      <c r="F100" s="1">
        <v>-32020</v>
      </c>
      <c r="G100" s="3">
        <v>-61123</v>
      </c>
      <c r="H100" s="1">
        <v>-38670</v>
      </c>
      <c r="I100" s="1">
        <v>-1030</v>
      </c>
      <c r="J100" s="3">
        <v>-3552</v>
      </c>
      <c r="K100" s="1">
        <v>-17250</v>
      </c>
      <c r="L100" s="3">
        <v>-52730</v>
      </c>
      <c r="M100" s="1">
        <v>-16739</v>
      </c>
      <c r="N100" s="3">
        <v>-20600</v>
      </c>
      <c r="O100" s="3">
        <v>-53400</v>
      </c>
      <c r="P100" s="1">
        <v>-48600</v>
      </c>
      <c r="Q100" s="3"/>
      <c r="R100" s="3"/>
      <c r="S100" s="1"/>
      <c r="T100" s="1"/>
      <c r="U100" s="3"/>
      <c r="V100" s="3"/>
      <c r="W100" s="1"/>
      <c r="X100" s="1"/>
      <c r="Y100" s="1"/>
      <c r="Z100" s="1"/>
      <c r="AA100" s="1"/>
      <c r="AB100" s="2"/>
    </row>
    <row r="101" spans="1:28" x14ac:dyDescent="0.25">
      <c r="A101" s="2" t="s">
        <v>160</v>
      </c>
      <c r="B101" s="3" t="s">
        <v>3</v>
      </c>
      <c r="C101" s="3">
        <v>142895</v>
      </c>
      <c r="D101" s="1">
        <v>795838</v>
      </c>
      <c r="E101" s="1">
        <v>490796</v>
      </c>
      <c r="F101" s="3">
        <v>14000</v>
      </c>
      <c r="G101" s="1">
        <v>13985</v>
      </c>
      <c r="H101" s="3">
        <v>20989</v>
      </c>
      <c r="I101" s="3" t="s">
        <v>3</v>
      </c>
      <c r="J101" s="1">
        <v>6354</v>
      </c>
      <c r="K101" s="3">
        <v>9000</v>
      </c>
      <c r="L101" s="1">
        <v>14575</v>
      </c>
      <c r="M101" s="3" t="s">
        <v>3</v>
      </c>
      <c r="N101" s="1" t="s">
        <v>3</v>
      </c>
      <c r="O101" s="1">
        <v>393700</v>
      </c>
      <c r="P101" s="3">
        <v>48000</v>
      </c>
      <c r="Q101" s="1"/>
      <c r="R101" s="1"/>
      <c r="S101" s="3"/>
      <c r="T101" s="3"/>
      <c r="U101" s="1"/>
      <c r="V101" s="1"/>
      <c r="W101" s="3"/>
      <c r="X101" s="3"/>
      <c r="Y101" s="3"/>
      <c r="Z101" s="3"/>
      <c r="AA101" s="3"/>
      <c r="AB101" s="2"/>
    </row>
    <row r="102" spans="1:28" x14ac:dyDescent="0.25">
      <c r="A102" s="2" t="s">
        <v>161</v>
      </c>
      <c r="B102" s="3" t="s">
        <v>3</v>
      </c>
      <c r="C102" s="3">
        <v>-27138</v>
      </c>
      <c r="D102" s="3">
        <v>-24119</v>
      </c>
      <c r="E102" s="3">
        <v>-39452</v>
      </c>
      <c r="F102" s="3">
        <v>-243158</v>
      </c>
      <c r="G102" s="3" t="s">
        <v>3</v>
      </c>
      <c r="H102" s="3" t="s">
        <v>3</v>
      </c>
      <c r="I102" s="3">
        <v>-553732</v>
      </c>
      <c r="J102" s="3" t="s">
        <v>3</v>
      </c>
      <c r="K102" s="3" t="s">
        <v>3</v>
      </c>
      <c r="L102" s="3" t="s">
        <v>3</v>
      </c>
      <c r="M102" s="3">
        <v>-126892</v>
      </c>
      <c r="N102" s="3">
        <v>-1102600</v>
      </c>
      <c r="O102" s="3">
        <v>-1800</v>
      </c>
      <c r="P102" s="3">
        <v>-77300</v>
      </c>
      <c r="Q102" s="3"/>
      <c r="R102" s="3"/>
      <c r="S102" s="3"/>
      <c r="T102" s="3"/>
      <c r="U102" s="3"/>
      <c r="V102" s="3"/>
      <c r="W102" s="3"/>
      <c r="X102" s="3"/>
      <c r="Y102" s="3"/>
      <c r="Z102" s="1"/>
      <c r="AA102" s="1"/>
      <c r="AB102" s="2"/>
    </row>
    <row r="103" spans="1:28" x14ac:dyDescent="0.25">
      <c r="A103" s="2" t="s">
        <v>162</v>
      </c>
      <c r="B103" s="3">
        <v>1172</v>
      </c>
      <c r="C103" s="3">
        <v>34860</v>
      </c>
      <c r="D103" s="3">
        <v>0</v>
      </c>
      <c r="E103" s="3">
        <v>-5895</v>
      </c>
      <c r="F103" s="3">
        <v>-28767</v>
      </c>
      <c r="G103" s="3">
        <v>6915</v>
      </c>
      <c r="H103" s="3">
        <v>-7929</v>
      </c>
      <c r="I103" s="3">
        <v>4448</v>
      </c>
      <c r="J103" s="3">
        <v>4274</v>
      </c>
      <c r="K103" s="3">
        <v>8444</v>
      </c>
      <c r="L103" s="3">
        <v>0</v>
      </c>
      <c r="M103" s="3">
        <v>0</v>
      </c>
      <c r="N103" s="3">
        <v>3100</v>
      </c>
      <c r="O103" s="3">
        <v>0</v>
      </c>
      <c r="P103" s="3">
        <v>0</v>
      </c>
      <c r="Q103" s="3"/>
      <c r="R103" s="3"/>
      <c r="S103" s="3"/>
      <c r="T103" s="3"/>
      <c r="U103" s="3"/>
      <c r="V103" s="3"/>
      <c r="W103" s="1"/>
      <c r="X103" s="1"/>
      <c r="Y103" s="1"/>
      <c r="Z103" s="1"/>
      <c r="AA103" s="1"/>
      <c r="AB103" s="2"/>
    </row>
    <row r="104" spans="1:28" x14ac:dyDescent="0.25">
      <c r="A104" s="2" t="s">
        <v>163</v>
      </c>
      <c r="B104" s="3">
        <v>-1312</v>
      </c>
      <c r="C104" s="3">
        <v>-165334</v>
      </c>
      <c r="D104" s="3">
        <v>-107617</v>
      </c>
      <c r="E104" s="3">
        <v>201283</v>
      </c>
      <c r="F104" s="3">
        <v>-298619</v>
      </c>
      <c r="G104" s="3">
        <v>-46800</v>
      </c>
      <c r="H104" s="3">
        <v>-28366</v>
      </c>
      <c r="I104" s="3">
        <v>-552199</v>
      </c>
      <c r="J104" s="3">
        <v>4495</v>
      </c>
      <c r="K104" s="3">
        <v>-8605</v>
      </c>
      <c r="L104" s="3">
        <v>-55168</v>
      </c>
      <c r="M104" s="3">
        <v>-162064</v>
      </c>
      <c r="N104" s="3">
        <v>-1145300</v>
      </c>
      <c r="O104" s="3">
        <v>292600</v>
      </c>
      <c r="P104" s="3">
        <v>-121700</v>
      </c>
      <c r="Q104" s="3"/>
      <c r="R104" s="3"/>
      <c r="S104" s="3"/>
      <c r="T104" s="3"/>
      <c r="U104" s="3"/>
      <c r="V104" s="3"/>
      <c r="W104" s="3"/>
      <c r="X104" s="1"/>
      <c r="Y104" s="1"/>
      <c r="Z104" s="1"/>
      <c r="AA104" s="1"/>
      <c r="AB104" s="2"/>
    </row>
    <row r="105" spans="1:28" x14ac:dyDescent="0.25">
      <c r="A105" s="2" t="s">
        <v>164</v>
      </c>
      <c r="B105" s="1">
        <v>-12183</v>
      </c>
      <c r="C105" s="1">
        <v>-23927</v>
      </c>
      <c r="D105" s="3" t="s">
        <v>3</v>
      </c>
      <c r="E105" s="3">
        <v>54761</v>
      </c>
      <c r="F105" s="1">
        <v>217447</v>
      </c>
      <c r="G105" s="3">
        <v>80</v>
      </c>
      <c r="H105" s="1">
        <v>8931</v>
      </c>
      <c r="I105" s="1">
        <v>774614</v>
      </c>
      <c r="J105" s="3">
        <v>-246638</v>
      </c>
      <c r="K105" s="1">
        <v>-261257</v>
      </c>
      <c r="L105" s="3">
        <v>225611</v>
      </c>
      <c r="M105" s="1">
        <v>274458</v>
      </c>
      <c r="N105" s="3">
        <v>899300</v>
      </c>
      <c r="O105" s="3">
        <v>-636200</v>
      </c>
      <c r="P105" s="1">
        <v>361200</v>
      </c>
      <c r="Q105" s="3"/>
      <c r="R105" s="3"/>
      <c r="S105" s="1"/>
      <c r="T105" s="1"/>
      <c r="U105" s="3"/>
      <c r="V105" s="3"/>
      <c r="W105" s="1"/>
      <c r="X105" s="1"/>
      <c r="Y105" s="1"/>
      <c r="Z105" s="1"/>
      <c r="AA105" s="1"/>
      <c r="AB105" s="2"/>
    </row>
    <row r="106" spans="1:28" x14ac:dyDescent="0.25">
      <c r="A106" t="s">
        <v>165</v>
      </c>
      <c r="B106">
        <v>24713</v>
      </c>
      <c r="C106">
        <v>1408</v>
      </c>
      <c r="D106">
        <v>4277</v>
      </c>
      <c r="E106">
        <v>-21009</v>
      </c>
      <c r="F106">
        <v>-42074</v>
      </c>
      <c r="G106">
        <v>122355</v>
      </c>
      <c r="H106" t="s">
        <v>3</v>
      </c>
      <c r="I106">
        <v>-73568</v>
      </c>
      <c r="J106">
        <v>2897</v>
      </c>
      <c r="K106">
        <v>11972</v>
      </c>
      <c r="L106">
        <v>-138001</v>
      </c>
      <c r="M106">
        <v>-67083</v>
      </c>
      <c r="N106">
        <v>25400</v>
      </c>
      <c r="O106">
        <v>44900</v>
      </c>
      <c r="P106">
        <v>8000</v>
      </c>
    </row>
    <row r="107" spans="1:28" x14ac:dyDescent="0.25">
      <c r="A107" t="s">
        <v>166</v>
      </c>
      <c r="B107" t="s">
        <v>3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>
        <v>-6900</v>
      </c>
      <c r="L107">
        <v>-33353</v>
      </c>
      <c r="M107">
        <v>-47447</v>
      </c>
      <c r="N107">
        <v>-33700</v>
      </c>
      <c r="O107">
        <v>-8200</v>
      </c>
      <c r="P107">
        <v>-61100</v>
      </c>
    </row>
    <row r="108" spans="1:28" x14ac:dyDescent="0.25">
      <c r="A108" t="s">
        <v>167</v>
      </c>
      <c r="B108">
        <v>-1612</v>
      </c>
      <c r="C108">
        <v>-546</v>
      </c>
      <c r="D108">
        <v>0</v>
      </c>
      <c r="E108">
        <v>-5319</v>
      </c>
      <c r="F108">
        <v>-3734</v>
      </c>
      <c r="G108">
        <v>-2030</v>
      </c>
      <c r="H108">
        <v>-10389</v>
      </c>
      <c r="I108">
        <v>-4320</v>
      </c>
      <c r="J108">
        <v>-38779</v>
      </c>
      <c r="K108">
        <v>-23077</v>
      </c>
      <c r="L108">
        <v>-20062</v>
      </c>
      <c r="M108">
        <v>-24205</v>
      </c>
      <c r="N108">
        <v>-40900</v>
      </c>
      <c r="O108">
        <v>-22900</v>
      </c>
      <c r="P108">
        <v>-807400</v>
      </c>
    </row>
    <row r="109" spans="1:28" x14ac:dyDescent="0.25">
      <c r="A109" t="s">
        <v>168</v>
      </c>
      <c r="B109">
        <v>10918</v>
      </c>
      <c r="C109">
        <v>-23065</v>
      </c>
      <c r="D109">
        <v>4277</v>
      </c>
      <c r="E109">
        <v>28433</v>
      </c>
      <c r="F109">
        <v>171639</v>
      </c>
      <c r="G109">
        <v>120405</v>
      </c>
      <c r="H109">
        <v>-1458</v>
      </c>
      <c r="I109">
        <v>696726</v>
      </c>
      <c r="J109">
        <v>-282520</v>
      </c>
      <c r="K109">
        <v>-279262</v>
      </c>
      <c r="L109">
        <v>34195</v>
      </c>
      <c r="M109">
        <v>135723</v>
      </c>
      <c r="N109">
        <v>850100</v>
      </c>
      <c r="O109">
        <v>-622400</v>
      </c>
      <c r="P109">
        <v>-499300</v>
      </c>
    </row>
    <row r="110" spans="1:28" x14ac:dyDescent="0.25">
      <c r="A110" t="s">
        <v>169</v>
      </c>
      <c r="B110">
        <v>648</v>
      </c>
      <c r="C110">
        <v>-474</v>
      </c>
      <c r="D110">
        <v>42</v>
      </c>
      <c r="E110">
        <v>1226</v>
      </c>
      <c r="F110">
        <v>-4228</v>
      </c>
      <c r="G110">
        <v>1116</v>
      </c>
      <c r="H110">
        <v>4674</v>
      </c>
      <c r="I110">
        <v>-3180</v>
      </c>
      <c r="J110">
        <v>-29</v>
      </c>
      <c r="K110">
        <v>-1316</v>
      </c>
      <c r="L110">
        <v>1469</v>
      </c>
      <c r="M110">
        <v>392</v>
      </c>
      <c r="N110">
        <v>800</v>
      </c>
      <c r="O110">
        <v>-3200</v>
      </c>
      <c r="P110">
        <v>-300</v>
      </c>
    </row>
    <row r="111" spans="1:28" x14ac:dyDescent="0.25">
      <c r="A111" t="s">
        <v>170</v>
      </c>
      <c r="B111">
        <v>105750</v>
      </c>
      <c r="C111">
        <v>-65861</v>
      </c>
      <c r="D111">
        <v>4519</v>
      </c>
      <c r="E111">
        <v>320092</v>
      </c>
      <c r="F111">
        <v>-233114</v>
      </c>
      <c r="G111">
        <v>-47054</v>
      </c>
      <c r="H111">
        <v>17177</v>
      </c>
      <c r="I111">
        <v>-22121</v>
      </c>
      <c r="J111">
        <v>-1935</v>
      </c>
      <c r="K111">
        <v>-36671</v>
      </c>
      <c r="L111">
        <v>77005</v>
      </c>
      <c r="M111">
        <v>-44955</v>
      </c>
      <c r="N111">
        <v>264200</v>
      </c>
      <c r="O111">
        <v>56200</v>
      </c>
      <c r="P111">
        <v>-193800</v>
      </c>
    </row>
    <row r="112" spans="1:28" x14ac:dyDescent="0.25">
      <c r="A112" t="s">
        <v>171</v>
      </c>
      <c r="B112">
        <v>7089</v>
      </c>
      <c r="C112">
        <v>112839</v>
      </c>
      <c r="D112">
        <v>46978</v>
      </c>
      <c r="E112">
        <v>51497</v>
      </c>
      <c r="F112">
        <v>371589</v>
      </c>
      <c r="G112">
        <v>138475</v>
      </c>
      <c r="H112">
        <v>69242</v>
      </c>
      <c r="I112">
        <v>86419</v>
      </c>
      <c r="J112">
        <v>64298</v>
      </c>
      <c r="K112">
        <v>62363</v>
      </c>
      <c r="L112">
        <v>25692</v>
      </c>
      <c r="M112">
        <v>102697</v>
      </c>
      <c r="N112">
        <v>57700</v>
      </c>
      <c r="O112">
        <v>321900</v>
      </c>
      <c r="P112">
        <v>378100</v>
      </c>
    </row>
    <row r="113" spans="1:17" x14ac:dyDescent="0.25">
      <c r="A113" t="s">
        <v>172</v>
      </c>
      <c r="B113">
        <v>112839</v>
      </c>
      <c r="C113">
        <v>46978</v>
      </c>
      <c r="D113">
        <v>51497</v>
      </c>
      <c r="E113">
        <v>371589</v>
      </c>
      <c r="F113">
        <v>138475</v>
      </c>
      <c r="G113">
        <v>91421</v>
      </c>
      <c r="H113">
        <v>86419</v>
      </c>
      <c r="I113">
        <v>64298</v>
      </c>
      <c r="J113">
        <v>62363</v>
      </c>
      <c r="K113">
        <v>25692</v>
      </c>
      <c r="L113">
        <v>102697</v>
      </c>
      <c r="M113">
        <v>57742</v>
      </c>
      <c r="N113">
        <v>321900</v>
      </c>
      <c r="O113">
        <v>378100</v>
      </c>
      <c r="P113">
        <v>184300</v>
      </c>
    </row>
    <row r="114" spans="1:17" x14ac:dyDescent="0.25">
      <c r="A114" t="s">
        <v>173</v>
      </c>
      <c r="B114">
        <v>225642</v>
      </c>
      <c r="C114">
        <v>261591</v>
      </c>
      <c r="D114">
        <v>249066</v>
      </c>
      <c r="E114">
        <v>412400</v>
      </c>
      <c r="F114">
        <v>470610</v>
      </c>
      <c r="G114">
        <v>598816</v>
      </c>
      <c r="H114">
        <v>551540</v>
      </c>
      <c r="I114">
        <v>623617</v>
      </c>
      <c r="J114">
        <v>992575</v>
      </c>
      <c r="K114">
        <v>945038</v>
      </c>
      <c r="L114">
        <v>919356</v>
      </c>
      <c r="M114">
        <v>1051345</v>
      </c>
      <c r="N114">
        <v>1490000</v>
      </c>
      <c r="O114">
        <v>1815000</v>
      </c>
      <c r="P114">
        <v>1691500</v>
      </c>
    </row>
    <row r="115" spans="1:17" x14ac:dyDescent="0.25">
      <c r="A115" t="s">
        <v>174</v>
      </c>
      <c r="B115">
        <v>-2484</v>
      </c>
      <c r="C115">
        <v>-5450</v>
      </c>
      <c r="D115">
        <v>-8348</v>
      </c>
      <c r="E115">
        <v>-3608</v>
      </c>
      <c r="F115">
        <v>-8674</v>
      </c>
      <c r="G115">
        <v>-6577</v>
      </c>
      <c r="H115">
        <v>-2756</v>
      </c>
      <c r="I115">
        <v>-1885</v>
      </c>
      <c r="J115">
        <v>-2581</v>
      </c>
      <c r="K115">
        <v>-8799</v>
      </c>
      <c r="L115">
        <v>-17013</v>
      </c>
      <c r="M115">
        <v>-18433</v>
      </c>
      <c r="N115">
        <v>-25200</v>
      </c>
      <c r="O115">
        <v>-45900</v>
      </c>
      <c r="P115">
        <v>-43800</v>
      </c>
    </row>
    <row r="122" spans="1:17" ht="52.5" x14ac:dyDescent="0.25">
      <c r="A122" s="144" t="s">
        <v>175</v>
      </c>
    </row>
    <row r="123" spans="1:17" x14ac:dyDescent="0.25">
      <c r="A123" s="13" t="s">
        <v>59</v>
      </c>
      <c r="B123" s="12" t="s">
        <v>103</v>
      </c>
      <c r="C123" s="12" t="s">
        <v>102</v>
      </c>
      <c r="D123" s="12" t="s">
        <v>101</v>
      </c>
      <c r="E123" s="12" t="s">
        <v>100</v>
      </c>
      <c r="F123" s="12" t="s">
        <v>99</v>
      </c>
      <c r="G123" s="12" t="s">
        <v>98</v>
      </c>
      <c r="H123" s="12" t="s">
        <v>97</v>
      </c>
      <c r="I123" s="12" t="s">
        <v>96</v>
      </c>
      <c r="J123" s="12" t="s">
        <v>95</v>
      </c>
      <c r="K123" s="12" t="s">
        <v>94</v>
      </c>
      <c r="L123" s="12" t="s">
        <v>93</v>
      </c>
      <c r="M123" s="12" t="s">
        <v>92</v>
      </c>
      <c r="N123" s="12" t="s">
        <v>91</v>
      </c>
      <c r="O123" s="12" t="s">
        <v>90</v>
      </c>
      <c r="P123" s="12" t="s">
        <v>89</v>
      </c>
      <c r="Q123" s="13"/>
    </row>
    <row r="124" spans="1:17" x14ac:dyDescent="0.25">
      <c r="A124" s="13" t="s">
        <v>43</v>
      </c>
      <c r="B124" s="12" t="s">
        <v>42</v>
      </c>
      <c r="C124" s="12" t="s">
        <v>42</v>
      </c>
      <c r="D124" s="12" t="s">
        <v>42</v>
      </c>
      <c r="E124" s="12" t="s">
        <v>42</v>
      </c>
      <c r="F124" s="12" t="s">
        <v>42</v>
      </c>
      <c r="G124" s="12" t="s">
        <v>42</v>
      </c>
      <c r="H124" s="12" t="s">
        <v>42</v>
      </c>
      <c r="I124" s="12" t="s">
        <v>42</v>
      </c>
      <c r="J124" s="12" t="s">
        <v>42</v>
      </c>
      <c r="K124" s="12" t="s">
        <v>42</v>
      </c>
      <c r="L124" s="12" t="s">
        <v>42</v>
      </c>
      <c r="M124" s="12" t="s">
        <v>42</v>
      </c>
      <c r="N124" s="12" t="s">
        <v>42</v>
      </c>
      <c r="O124" s="12" t="s">
        <v>42</v>
      </c>
      <c r="P124" s="12" t="s">
        <v>42</v>
      </c>
      <c r="Q124" s="13"/>
    </row>
    <row r="125" spans="1:17" x14ac:dyDescent="0.25">
      <c r="A125" s="13" t="s">
        <v>41</v>
      </c>
      <c r="B125" s="12" t="s">
        <v>40</v>
      </c>
      <c r="C125" s="12" t="s">
        <v>40</v>
      </c>
      <c r="D125" s="12" t="s">
        <v>40</v>
      </c>
      <c r="E125" s="12" t="s">
        <v>40</v>
      </c>
      <c r="F125" s="12" t="s">
        <v>40</v>
      </c>
      <c r="G125" s="12" t="s">
        <v>40</v>
      </c>
      <c r="H125" s="12" t="s">
        <v>40</v>
      </c>
      <c r="I125" s="12" t="s">
        <v>40</v>
      </c>
      <c r="J125" s="12" t="s">
        <v>40</v>
      </c>
      <c r="K125" s="12" t="s">
        <v>40</v>
      </c>
      <c r="L125" s="12" t="s">
        <v>40</v>
      </c>
      <c r="M125" s="12" t="s">
        <v>40</v>
      </c>
      <c r="N125" s="12" t="s">
        <v>40</v>
      </c>
      <c r="O125" s="12" t="s">
        <v>40</v>
      </c>
      <c r="P125" s="12" t="s">
        <v>40</v>
      </c>
      <c r="Q125" s="13"/>
    </row>
    <row r="126" spans="1:17" x14ac:dyDescent="0.25">
      <c r="A126" s="13" t="s">
        <v>39</v>
      </c>
      <c r="B126" s="12" t="s">
        <v>38</v>
      </c>
      <c r="C126" s="12" t="s">
        <v>38</v>
      </c>
      <c r="D126" s="12" t="s">
        <v>38</v>
      </c>
      <c r="E126" s="12" t="s">
        <v>38</v>
      </c>
      <c r="F126" s="12" t="s">
        <v>38</v>
      </c>
      <c r="G126" s="12" t="s">
        <v>38</v>
      </c>
      <c r="H126" s="12" t="s">
        <v>38</v>
      </c>
      <c r="I126" s="12" t="s">
        <v>38</v>
      </c>
      <c r="J126" s="12" t="s">
        <v>38</v>
      </c>
      <c r="K126" s="12" t="s">
        <v>38</v>
      </c>
      <c r="L126" s="12" t="s">
        <v>38</v>
      </c>
      <c r="M126" s="12" t="s">
        <v>38</v>
      </c>
      <c r="N126" s="12" t="s">
        <v>38</v>
      </c>
      <c r="O126" s="12" t="s">
        <v>38</v>
      </c>
      <c r="P126" s="12" t="s">
        <v>38</v>
      </c>
      <c r="Q126" s="13"/>
    </row>
    <row r="127" spans="1:17" x14ac:dyDescent="0.25">
      <c r="A127" s="13" t="s">
        <v>37</v>
      </c>
      <c r="B127" s="12" t="s">
        <v>36</v>
      </c>
      <c r="C127" s="12" t="s">
        <v>36</v>
      </c>
      <c r="D127" s="12" t="s">
        <v>36</v>
      </c>
      <c r="E127" s="12" t="s">
        <v>36</v>
      </c>
      <c r="F127" s="12" t="s">
        <v>36</v>
      </c>
      <c r="G127" s="12" t="s">
        <v>36</v>
      </c>
      <c r="H127" s="12" t="s">
        <v>36</v>
      </c>
      <c r="I127" s="12" t="s">
        <v>36</v>
      </c>
      <c r="J127" s="12" t="s">
        <v>36</v>
      </c>
      <c r="K127" s="12" t="s">
        <v>36</v>
      </c>
      <c r="L127" s="12" t="s">
        <v>36</v>
      </c>
      <c r="M127" s="12" t="s">
        <v>36</v>
      </c>
      <c r="N127" s="12" t="s">
        <v>36</v>
      </c>
      <c r="O127" s="12" t="s">
        <v>36</v>
      </c>
      <c r="P127" s="12" t="s">
        <v>36</v>
      </c>
      <c r="Q127" s="13"/>
    </row>
    <row r="128" spans="1:17" x14ac:dyDescent="0.25">
      <c r="A128" s="2" t="s">
        <v>176</v>
      </c>
      <c r="B128" s="1">
        <v>-203507</v>
      </c>
      <c r="C128" s="1">
        <v>-183226</v>
      </c>
      <c r="D128" s="1">
        <v>-177130</v>
      </c>
      <c r="E128" s="1">
        <v>-149651</v>
      </c>
      <c r="F128" s="1">
        <v>-223619</v>
      </c>
      <c r="G128" s="1">
        <v>-441153</v>
      </c>
      <c r="H128" s="1">
        <v>-460631</v>
      </c>
      <c r="I128" s="1">
        <v>-502921</v>
      </c>
      <c r="J128" s="1">
        <v>-542039</v>
      </c>
      <c r="K128" s="1">
        <v>-309912</v>
      </c>
      <c r="L128" s="1">
        <v>-157875</v>
      </c>
      <c r="M128" s="1">
        <v>13720</v>
      </c>
      <c r="N128" s="1">
        <v>7600</v>
      </c>
      <c r="O128" s="1">
        <v>10600</v>
      </c>
      <c r="P128" s="1">
        <v>516600</v>
      </c>
      <c r="Q128" s="2"/>
    </row>
    <row r="129" spans="1:17" x14ac:dyDescent="0.25">
      <c r="A129" s="2" t="s">
        <v>177</v>
      </c>
      <c r="B129" s="1">
        <v>-183226</v>
      </c>
      <c r="C129" s="1">
        <v>-177130</v>
      </c>
      <c r="D129" s="1">
        <v>-149651</v>
      </c>
      <c r="E129" s="1">
        <v>-223619</v>
      </c>
      <c r="F129" s="1">
        <v>-386599</v>
      </c>
      <c r="G129" s="1">
        <v>-460631</v>
      </c>
      <c r="H129" s="1">
        <v>-514230</v>
      </c>
      <c r="I129" s="1">
        <v>-542039</v>
      </c>
      <c r="J129" s="1">
        <v>-309912</v>
      </c>
      <c r="K129" s="1">
        <v>-157875</v>
      </c>
      <c r="L129" s="1">
        <v>13720</v>
      </c>
      <c r="M129" s="1">
        <v>7584</v>
      </c>
      <c r="N129" s="1">
        <v>10600</v>
      </c>
      <c r="O129" s="1">
        <v>516600</v>
      </c>
      <c r="P129" s="1">
        <v>208700</v>
      </c>
      <c r="Q129" s="2"/>
    </row>
  </sheetData>
  <sortState xmlns:xlrd2="http://schemas.microsoft.com/office/spreadsheetml/2017/richdata2" columnSort="1" ref="B89:P116">
    <sortCondition ref="B90:P90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E466-D2B9-4812-914A-6E73EBDE6901}">
  <dimension ref="A2:U84"/>
  <sheetViews>
    <sheetView topLeftCell="A40" zoomScale="70" zoomScaleNormal="70" workbookViewId="0">
      <selection activeCell="V72" sqref="V72"/>
    </sheetView>
  </sheetViews>
  <sheetFormatPr defaultColWidth="8.85546875" defaultRowHeight="15" x14ac:dyDescent="0.25"/>
  <cols>
    <col min="1" max="1" width="34.7109375" bestFit="1" customWidth="1"/>
    <col min="2" max="16" width="16.42578125" customWidth="1"/>
  </cols>
  <sheetData>
    <row r="2" spans="1:16" x14ac:dyDescent="0.25">
      <c r="A2" s="15" t="s">
        <v>88</v>
      </c>
    </row>
    <row r="3" spans="1:16" x14ac:dyDescent="0.25">
      <c r="A3" s="15"/>
    </row>
    <row r="7" spans="1:16" ht="25.5" x14ac:dyDescent="0.25">
      <c r="A7" s="7" t="s">
        <v>60</v>
      </c>
    </row>
    <row r="8" spans="1:16" x14ac:dyDescent="0.25">
      <c r="A8" s="5" t="s">
        <v>59</v>
      </c>
      <c r="B8" s="4" t="s">
        <v>44</v>
      </c>
      <c r="C8" s="4" t="s">
        <v>45</v>
      </c>
      <c r="D8" s="4" t="s">
        <v>46</v>
      </c>
      <c r="E8" s="4" t="s">
        <v>47</v>
      </c>
      <c r="F8" s="4" t="s">
        <v>48</v>
      </c>
      <c r="G8" s="4" t="s">
        <v>49</v>
      </c>
      <c r="H8" s="4" t="s">
        <v>50</v>
      </c>
      <c r="I8" s="4" t="s">
        <v>51</v>
      </c>
      <c r="J8" s="4" t="s">
        <v>52</v>
      </c>
      <c r="K8" s="4" t="s">
        <v>53</v>
      </c>
      <c r="L8" s="4" t="s">
        <v>54</v>
      </c>
      <c r="M8" s="4" t="s">
        <v>55</v>
      </c>
      <c r="N8" s="4" t="s">
        <v>56</v>
      </c>
      <c r="O8" s="4" t="s">
        <v>57</v>
      </c>
      <c r="P8" s="4" t="s">
        <v>58</v>
      </c>
    </row>
    <row r="9" spans="1:16" x14ac:dyDescent="0.25">
      <c r="A9" s="5" t="s">
        <v>43</v>
      </c>
      <c r="B9" s="4" t="s">
        <v>42</v>
      </c>
      <c r="C9" s="4" t="s">
        <v>42</v>
      </c>
      <c r="D9" s="4" t="s">
        <v>42</v>
      </c>
      <c r="E9" s="4" t="s">
        <v>42</v>
      </c>
      <c r="F9" s="4" t="s">
        <v>42</v>
      </c>
      <c r="G9" s="4" t="s">
        <v>42</v>
      </c>
      <c r="H9" s="4" t="s">
        <v>42</v>
      </c>
      <c r="I9" s="4" t="s">
        <v>42</v>
      </c>
      <c r="J9" s="4" t="s">
        <v>42</v>
      </c>
      <c r="K9" s="4" t="s">
        <v>42</v>
      </c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</row>
    <row r="10" spans="1:16" x14ac:dyDescent="0.25">
      <c r="A10" s="5" t="s">
        <v>41</v>
      </c>
      <c r="B10" s="4" t="s">
        <v>40</v>
      </c>
      <c r="C10" s="4" t="s">
        <v>40</v>
      </c>
      <c r="D10" s="4" t="s">
        <v>40</v>
      </c>
      <c r="E10" s="4" t="s">
        <v>40</v>
      </c>
      <c r="F10" s="4" t="s">
        <v>40</v>
      </c>
      <c r="G10" s="4" t="s">
        <v>40</v>
      </c>
      <c r="H10" s="4" t="s">
        <v>40</v>
      </c>
      <c r="I10" s="4" t="s">
        <v>40</v>
      </c>
      <c r="J10" s="4" t="s">
        <v>40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</row>
    <row r="11" spans="1:16" x14ac:dyDescent="0.25">
      <c r="A11" s="5" t="s">
        <v>39</v>
      </c>
      <c r="B11" s="4" t="s">
        <v>38</v>
      </c>
      <c r="C11" s="4" t="s">
        <v>38</v>
      </c>
      <c r="D11" s="4" t="s">
        <v>38</v>
      </c>
      <c r="E11" s="4" t="s">
        <v>38</v>
      </c>
      <c r="F11" s="4" t="s">
        <v>38</v>
      </c>
      <c r="G11" s="4" t="s">
        <v>38</v>
      </c>
      <c r="H11" s="4" t="s">
        <v>38</v>
      </c>
      <c r="I11" s="4" t="s">
        <v>38</v>
      </c>
      <c r="J11" s="4" t="s">
        <v>38</v>
      </c>
      <c r="K11" s="4" t="s">
        <v>38</v>
      </c>
      <c r="L11" s="4" t="s">
        <v>38</v>
      </c>
      <c r="M11" s="4" t="s">
        <v>38</v>
      </c>
      <c r="N11" s="4" t="s">
        <v>38</v>
      </c>
      <c r="O11" s="4" t="s">
        <v>38</v>
      </c>
      <c r="P11" s="4" t="s">
        <v>38</v>
      </c>
    </row>
    <row r="12" spans="1:16" x14ac:dyDescent="0.25">
      <c r="A12" s="5" t="s">
        <v>37</v>
      </c>
      <c r="B12" s="4" t="s">
        <v>36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36</v>
      </c>
      <c r="I12" s="4" t="s">
        <v>36</v>
      </c>
      <c r="J12" s="4" t="s">
        <v>36</v>
      </c>
      <c r="K12" s="4" t="s">
        <v>36</v>
      </c>
      <c r="L12" s="4" t="s">
        <v>36</v>
      </c>
      <c r="M12" s="4" t="s">
        <v>36</v>
      </c>
      <c r="N12" s="4" t="s">
        <v>36</v>
      </c>
      <c r="O12" s="4" t="s">
        <v>36</v>
      </c>
      <c r="P12" s="4" t="s">
        <v>36</v>
      </c>
    </row>
    <row r="13" spans="1:16" x14ac:dyDescent="0.25">
      <c r="A13" s="2" t="s">
        <v>35</v>
      </c>
      <c r="B13" s="1">
        <v>212256</v>
      </c>
      <c r="C13" s="1">
        <v>400430</v>
      </c>
      <c r="D13" s="1">
        <v>177439</v>
      </c>
      <c r="E13" s="1">
        <v>139881</v>
      </c>
      <c r="F13" s="1">
        <v>134224</v>
      </c>
      <c r="G13" s="1">
        <v>194499</v>
      </c>
      <c r="H13" s="1">
        <v>508053</v>
      </c>
      <c r="I13" s="1">
        <v>290291</v>
      </c>
      <c r="J13" s="1">
        <v>604965</v>
      </c>
      <c r="K13" s="1">
        <v>1113608</v>
      </c>
      <c r="L13" s="1">
        <v>1809330</v>
      </c>
      <c r="M13" s="1">
        <v>1467576</v>
      </c>
      <c r="N13" s="1">
        <v>2822795</v>
      </c>
      <c r="O13" s="1">
        <v>3794483</v>
      </c>
      <c r="P13" s="8">
        <v>5018437</v>
      </c>
    </row>
    <row r="14" spans="1:16" x14ac:dyDescent="0.25">
      <c r="A14" s="2" t="s">
        <v>34</v>
      </c>
      <c r="B14" s="3" t="s">
        <v>3</v>
      </c>
      <c r="C14" s="3" t="s">
        <v>3</v>
      </c>
      <c r="D14" s="1">
        <v>207703</v>
      </c>
      <c r="E14" s="1">
        <v>157390</v>
      </c>
      <c r="F14" s="1">
        <v>186018</v>
      </c>
      <c r="G14" s="1">
        <v>155888</v>
      </c>
      <c r="H14" s="1">
        <v>289758</v>
      </c>
      <c r="I14" s="1">
        <v>457787</v>
      </c>
      <c r="J14" s="1">
        <v>595440</v>
      </c>
      <c r="K14" s="1">
        <v>494888</v>
      </c>
      <c r="L14" s="1">
        <v>501385</v>
      </c>
      <c r="M14" s="1">
        <v>266206</v>
      </c>
      <c r="N14" s="3" t="s">
        <v>3</v>
      </c>
      <c r="O14" s="3" t="s">
        <v>3</v>
      </c>
      <c r="P14" s="3" t="s">
        <v>3</v>
      </c>
    </row>
    <row r="15" spans="1:16" x14ac:dyDescent="0.25">
      <c r="A15" s="2" t="s">
        <v>33</v>
      </c>
      <c r="B15" s="1">
        <v>212256</v>
      </c>
      <c r="C15" s="1">
        <v>400430</v>
      </c>
      <c r="D15" s="1">
        <v>385142</v>
      </c>
      <c r="E15" s="1">
        <v>297271</v>
      </c>
      <c r="F15" s="1">
        <v>320242</v>
      </c>
      <c r="G15" s="1">
        <v>350387</v>
      </c>
      <c r="H15" s="1">
        <v>797811</v>
      </c>
      <c r="I15" s="1">
        <v>748078</v>
      </c>
      <c r="J15" s="1">
        <v>1200405</v>
      </c>
      <c r="K15" s="1">
        <v>1608496</v>
      </c>
      <c r="L15" s="1">
        <v>2310715</v>
      </c>
      <c r="M15" s="1">
        <v>1733782</v>
      </c>
      <c r="N15" s="1">
        <v>2822795</v>
      </c>
      <c r="O15" s="1">
        <v>3794483</v>
      </c>
      <c r="P15" s="1">
        <v>5018437</v>
      </c>
    </row>
    <row r="16" spans="1:16" x14ac:dyDescent="0.25">
      <c r="A16" s="2" t="s">
        <v>32</v>
      </c>
      <c r="B16" s="3" t="s">
        <v>3</v>
      </c>
      <c r="C16" s="3" t="s">
        <v>3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1">
        <v>979068</v>
      </c>
    </row>
    <row r="17" spans="1:16" x14ac:dyDescent="0.25">
      <c r="A17" s="2" t="s">
        <v>31</v>
      </c>
      <c r="B17" s="1">
        <v>13666</v>
      </c>
      <c r="C17" s="1">
        <v>3155</v>
      </c>
      <c r="D17" s="1">
        <v>2254</v>
      </c>
      <c r="E17" s="1">
        <v>5617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</row>
    <row r="18" spans="1:16" x14ac:dyDescent="0.25">
      <c r="A18" s="2" t="s">
        <v>30</v>
      </c>
      <c r="B18" s="1">
        <v>13100</v>
      </c>
      <c r="C18" s="1">
        <v>14198</v>
      </c>
      <c r="D18" s="1">
        <v>13099</v>
      </c>
      <c r="E18" s="1">
        <v>26539</v>
      </c>
      <c r="F18" s="1">
        <v>29624</v>
      </c>
      <c r="G18" s="1">
        <v>62217</v>
      </c>
      <c r="H18" s="1">
        <v>56007</v>
      </c>
      <c r="I18" s="1">
        <v>59929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1">
        <v>180999</v>
      </c>
    </row>
    <row r="19" spans="1:16" x14ac:dyDescent="0.25">
      <c r="A19" s="2" t="s">
        <v>29</v>
      </c>
      <c r="B19" s="1">
        <v>4669</v>
      </c>
      <c r="C19" s="1">
        <v>10635</v>
      </c>
      <c r="D19" s="1">
        <v>16037</v>
      </c>
      <c r="E19" s="1">
        <v>32020</v>
      </c>
      <c r="F19" s="1">
        <v>61147</v>
      </c>
      <c r="G19" s="1">
        <v>228363</v>
      </c>
      <c r="H19" s="1">
        <v>977039</v>
      </c>
      <c r="I19" s="1">
        <v>1432784</v>
      </c>
      <c r="J19" s="1">
        <v>1858358</v>
      </c>
      <c r="K19" s="1">
        <v>2331973</v>
      </c>
      <c r="L19" s="1">
        <v>3121125</v>
      </c>
      <c r="M19" s="1">
        <v>3986509</v>
      </c>
      <c r="N19" s="1">
        <v>4847179</v>
      </c>
      <c r="O19" s="1">
        <v>5899652</v>
      </c>
      <c r="P19" s="1">
        <v>0</v>
      </c>
    </row>
    <row r="20" spans="1:16" x14ac:dyDescent="0.25">
      <c r="A20" s="2" t="s">
        <v>28</v>
      </c>
      <c r="B20" s="1">
        <v>243691</v>
      </c>
      <c r="C20" s="1">
        <v>428418</v>
      </c>
      <c r="D20" s="1">
        <v>416532</v>
      </c>
      <c r="E20" s="1">
        <v>361447</v>
      </c>
      <c r="F20" s="1">
        <v>411013</v>
      </c>
      <c r="G20" s="1">
        <v>640967</v>
      </c>
      <c r="H20" s="1">
        <v>1830857</v>
      </c>
      <c r="I20" s="1">
        <v>2240791</v>
      </c>
      <c r="J20" s="1">
        <v>3058763</v>
      </c>
      <c r="K20" s="1">
        <v>3940469</v>
      </c>
      <c r="L20" s="1">
        <v>5431840</v>
      </c>
      <c r="M20" s="1">
        <v>5720291</v>
      </c>
      <c r="N20" s="1">
        <v>7669974</v>
      </c>
      <c r="O20" s="1">
        <v>9694135</v>
      </c>
      <c r="P20" s="1">
        <v>6178504</v>
      </c>
    </row>
    <row r="21" spans="1:16" x14ac:dyDescent="0.25">
      <c r="A21" s="2" t="s">
        <v>27</v>
      </c>
      <c r="B21" s="1">
        <v>72623</v>
      </c>
      <c r="C21" s="1">
        <v>100846</v>
      </c>
      <c r="D21" s="1">
        <v>143557</v>
      </c>
      <c r="E21" s="1">
        <v>223786</v>
      </c>
      <c r="F21" s="1">
        <v>265947</v>
      </c>
      <c r="G21" s="1">
        <v>265149</v>
      </c>
      <c r="H21" s="1">
        <v>306038</v>
      </c>
      <c r="I21" s="1">
        <v>336037</v>
      </c>
      <c r="J21" s="1">
        <v>357196</v>
      </c>
      <c r="K21" s="1">
        <v>414691</v>
      </c>
      <c r="L21" s="1">
        <v>470758</v>
      </c>
      <c r="M21" s="1">
        <v>544604</v>
      </c>
      <c r="N21" s="1">
        <v>641218</v>
      </c>
      <c r="O21" s="1">
        <v>786800</v>
      </c>
      <c r="P21" s="1">
        <v>981226</v>
      </c>
    </row>
    <row r="22" spans="1:16" x14ac:dyDescent="0.25">
      <c r="A22" s="2" t="s">
        <v>26</v>
      </c>
      <c r="B22" s="1">
        <v>32410</v>
      </c>
      <c r="C22" s="1">
        <v>45343</v>
      </c>
      <c r="D22" s="1">
        <v>66231</v>
      </c>
      <c r="E22" s="1">
        <v>98838</v>
      </c>
      <c r="F22" s="1">
        <v>134294</v>
      </c>
      <c r="G22" s="1">
        <v>136579</v>
      </c>
      <c r="H22" s="1">
        <v>169685</v>
      </c>
      <c r="I22" s="1">
        <v>204356</v>
      </c>
      <c r="J22" s="1">
        <v>223591</v>
      </c>
      <c r="K22" s="1">
        <v>264816</v>
      </c>
      <c r="L22" s="1">
        <v>297346</v>
      </c>
      <c r="M22" s="1">
        <v>294209</v>
      </c>
      <c r="N22" s="1">
        <v>321814</v>
      </c>
      <c r="O22" s="1">
        <v>368519</v>
      </c>
      <c r="P22" s="1">
        <v>416005</v>
      </c>
    </row>
    <row r="23" spans="1:16" x14ac:dyDescent="0.25">
      <c r="A23" s="2" t="s">
        <v>25</v>
      </c>
      <c r="B23" s="1">
        <v>40213</v>
      </c>
      <c r="C23" s="1">
        <v>55503</v>
      </c>
      <c r="D23" s="1">
        <v>77326</v>
      </c>
      <c r="E23" s="1">
        <v>124948</v>
      </c>
      <c r="F23" s="1">
        <v>131653</v>
      </c>
      <c r="G23" s="1">
        <v>128570</v>
      </c>
      <c r="H23" s="1">
        <v>136353</v>
      </c>
      <c r="I23" s="1">
        <v>131681</v>
      </c>
      <c r="J23" s="1">
        <v>133605</v>
      </c>
      <c r="K23" s="1">
        <v>149875</v>
      </c>
      <c r="L23" s="1">
        <v>173412</v>
      </c>
      <c r="M23" s="1">
        <v>250395</v>
      </c>
      <c r="N23" s="1">
        <v>319404</v>
      </c>
      <c r="O23" s="1">
        <v>418281</v>
      </c>
      <c r="P23" s="1">
        <v>565221</v>
      </c>
    </row>
    <row r="24" spans="1:16" x14ac:dyDescent="0.25">
      <c r="A24" s="2" t="s">
        <v>24</v>
      </c>
      <c r="B24" s="1">
        <v>57489</v>
      </c>
      <c r="C24" s="1">
        <v>105877</v>
      </c>
      <c r="D24" s="1">
        <v>132455</v>
      </c>
      <c r="E24" s="1">
        <v>98547</v>
      </c>
      <c r="F24" s="1">
        <v>110449</v>
      </c>
      <c r="G24" s="1">
        <v>182560</v>
      </c>
      <c r="H24" s="1">
        <v>1046934</v>
      </c>
      <c r="I24" s="1">
        <v>1506008</v>
      </c>
      <c r="J24" s="1">
        <v>2091071</v>
      </c>
      <c r="K24" s="1">
        <v>2773326</v>
      </c>
      <c r="L24" s="1">
        <v>4312817</v>
      </c>
      <c r="M24" s="1">
        <v>7274501</v>
      </c>
      <c r="N24" s="1">
        <v>10371055</v>
      </c>
      <c r="O24" s="1">
        <v>14960954</v>
      </c>
      <c r="P24" s="1">
        <v>24504567</v>
      </c>
    </row>
    <row r="25" spans="1:16" x14ac:dyDescent="0.25">
      <c r="A25" s="2" t="s">
        <v>23</v>
      </c>
      <c r="B25" s="1">
        <v>21239</v>
      </c>
      <c r="C25" s="1">
        <v>15600</v>
      </c>
      <c r="D25" s="1">
        <v>16242</v>
      </c>
      <c r="E25" s="1">
        <v>22409</v>
      </c>
      <c r="F25" s="1">
        <v>15958</v>
      </c>
      <c r="G25" s="1">
        <v>17467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</row>
    <row r="26" spans="1:16" x14ac:dyDescent="0.25">
      <c r="A26" s="2" t="s">
        <v>22</v>
      </c>
      <c r="B26" s="1">
        <v>2049</v>
      </c>
      <c r="C26" s="1">
        <v>3381</v>
      </c>
      <c r="D26" s="1">
        <v>4465</v>
      </c>
      <c r="E26" s="1">
        <v>10595</v>
      </c>
      <c r="F26" s="1">
        <v>10661</v>
      </c>
      <c r="G26" s="1">
        <v>12503</v>
      </c>
      <c r="H26" s="1">
        <v>55052</v>
      </c>
      <c r="I26" s="1">
        <v>89410</v>
      </c>
      <c r="J26" s="1">
        <v>129124</v>
      </c>
      <c r="K26" s="1">
        <v>192981</v>
      </c>
      <c r="L26" s="1">
        <v>284802</v>
      </c>
      <c r="M26" s="1">
        <v>341423</v>
      </c>
      <c r="N26" s="1">
        <v>652309</v>
      </c>
      <c r="O26" s="1">
        <v>901030</v>
      </c>
      <c r="P26" s="1">
        <v>2727420</v>
      </c>
    </row>
    <row r="27" spans="1:16" x14ac:dyDescent="0.25">
      <c r="A27" s="2" t="s">
        <v>21</v>
      </c>
      <c r="B27" s="1">
        <v>364681</v>
      </c>
      <c r="C27" s="1">
        <v>608779</v>
      </c>
      <c r="D27" s="1">
        <v>647020</v>
      </c>
      <c r="E27" s="1">
        <v>617946</v>
      </c>
      <c r="F27" s="1">
        <v>679734</v>
      </c>
      <c r="G27" s="1">
        <v>982067</v>
      </c>
      <c r="H27" s="1">
        <v>3069196</v>
      </c>
      <c r="I27" s="1">
        <v>3967890</v>
      </c>
      <c r="J27" s="1">
        <v>5412563</v>
      </c>
      <c r="K27" s="1">
        <v>7056651</v>
      </c>
      <c r="L27" s="1">
        <v>10202871</v>
      </c>
      <c r="M27" s="1">
        <v>13586610</v>
      </c>
      <c r="N27" s="1">
        <v>19012742</v>
      </c>
      <c r="O27" s="1">
        <v>25974400</v>
      </c>
      <c r="P27" s="1">
        <v>33975712</v>
      </c>
    </row>
    <row r="28" spans="1:16" x14ac:dyDescent="0.25">
      <c r="A28" s="2" t="s">
        <v>20</v>
      </c>
      <c r="B28" s="1">
        <v>89054</v>
      </c>
      <c r="C28" s="1">
        <v>123769</v>
      </c>
      <c r="D28" s="1">
        <v>140911</v>
      </c>
      <c r="E28" s="1">
        <v>131738</v>
      </c>
      <c r="F28" s="1">
        <v>124862</v>
      </c>
      <c r="G28" s="1">
        <v>259313</v>
      </c>
      <c r="H28" s="1">
        <v>1076259</v>
      </c>
      <c r="I28" s="1">
        <v>139607</v>
      </c>
      <c r="J28" s="1">
        <v>162453</v>
      </c>
      <c r="K28" s="1">
        <v>271327</v>
      </c>
      <c r="L28" s="1">
        <v>393880</v>
      </c>
      <c r="M28" s="1">
        <v>510474</v>
      </c>
      <c r="N28" s="1">
        <v>674649</v>
      </c>
      <c r="O28" s="1">
        <v>1040402</v>
      </c>
      <c r="P28" s="1">
        <v>674347</v>
      </c>
    </row>
    <row r="29" spans="1:16" x14ac:dyDescent="0.25">
      <c r="A29" s="2" t="s">
        <v>19</v>
      </c>
      <c r="B29" s="1">
        <v>63491</v>
      </c>
      <c r="C29" s="1">
        <v>93864</v>
      </c>
      <c r="D29" s="1">
        <v>104445</v>
      </c>
      <c r="E29" s="1">
        <v>100344</v>
      </c>
      <c r="F29" s="1">
        <v>91475</v>
      </c>
      <c r="G29" s="1">
        <v>222824</v>
      </c>
      <c r="H29" s="1">
        <v>1012566</v>
      </c>
      <c r="I29" s="1">
        <v>86468</v>
      </c>
      <c r="J29" s="1">
        <v>108435</v>
      </c>
      <c r="K29" s="1">
        <v>201581</v>
      </c>
      <c r="L29" s="1">
        <v>253491</v>
      </c>
      <c r="M29" s="1">
        <v>312842</v>
      </c>
      <c r="N29" s="1">
        <v>359555</v>
      </c>
      <c r="O29" s="1">
        <v>562985</v>
      </c>
      <c r="P29" s="1">
        <v>674347</v>
      </c>
    </row>
    <row r="30" spans="1:16" x14ac:dyDescent="0.25">
      <c r="A30" s="2" t="s">
        <v>18</v>
      </c>
      <c r="B30" s="1">
        <v>25563</v>
      </c>
      <c r="C30" s="1">
        <v>29905</v>
      </c>
      <c r="D30" s="1">
        <v>36466</v>
      </c>
      <c r="E30" s="1">
        <v>31394</v>
      </c>
      <c r="F30" s="1">
        <v>33387</v>
      </c>
      <c r="G30" s="1">
        <v>36489</v>
      </c>
      <c r="H30" s="1">
        <v>63693</v>
      </c>
      <c r="I30" s="1">
        <v>53139</v>
      </c>
      <c r="J30" s="1">
        <v>54018</v>
      </c>
      <c r="K30" s="1">
        <v>69746</v>
      </c>
      <c r="L30" s="1">
        <v>140389</v>
      </c>
      <c r="M30" s="1">
        <v>197632</v>
      </c>
      <c r="N30" s="1">
        <v>315094</v>
      </c>
      <c r="O30" s="1">
        <v>477417</v>
      </c>
      <c r="P30" s="3" t="s">
        <v>3</v>
      </c>
    </row>
    <row r="31" spans="1:16" x14ac:dyDescent="0.25">
      <c r="A31" s="2" t="s">
        <v>17</v>
      </c>
      <c r="B31" s="3" t="s">
        <v>3</v>
      </c>
      <c r="C31" s="3" t="s">
        <v>3</v>
      </c>
      <c r="D31" s="3" t="s">
        <v>3</v>
      </c>
      <c r="E31" s="1">
        <v>0</v>
      </c>
      <c r="F31" s="1">
        <v>0</v>
      </c>
      <c r="G31" s="1">
        <v>0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  <c r="N31" s="3" t="s">
        <v>3</v>
      </c>
      <c r="O31" s="3" t="s">
        <v>3</v>
      </c>
      <c r="P31" s="3" t="s">
        <v>3</v>
      </c>
    </row>
    <row r="32" spans="1:16" x14ac:dyDescent="0.25">
      <c r="A32" s="2" t="s">
        <v>16</v>
      </c>
      <c r="B32" s="3" t="s">
        <v>3</v>
      </c>
      <c r="C32" s="3" t="s">
        <v>3</v>
      </c>
      <c r="D32" s="3" t="s">
        <v>3</v>
      </c>
      <c r="E32" s="1">
        <v>1152</v>
      </c>
      <c r="F32" s="1">
        <v>1410</v>
      </c>
      <c r="G32" s="1">
        <v>2083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  <c r="N32" s="3" t="s">
        <v>3</v>
      </c>
      <c r="O32" s="3" t="s">
        <v>3</v>
      </c>
      <c r="P32" s="3" t="s">
        <v>3</v>
      </c>
    </row>
    <row r="33" spans="1:17" x14ac:dyDescent="0.25">
      <c r="A33" s="2" t="s">
        <v>15</v>
      </c>
      <c r="B33" s="1">
        <v>48533</v>
      </c>
      <c r="C33" s="1">
        <v>69678</v>
      </c>
      <c r="D33" s="1">
        <v>71665</v>
      </c>
      <c r="E33" s="1">
        <v>83127</v>
      </c>
      <c r="F33" s="1">
        <v>100097</v>
      </c>
      <c r="G33" s="1">
        <v>127183</v>
      </c>
      <c r="H33" s="1">
        <v>148796</v>
      </c>
      <c r="I33" s="1">
        <v>1536319</v>
      </c>
      <c r="J33" s="1">
        <v>1991750</v>
      </c>
      <c r="K33" s="1">
        <v>2391827</v>
      </c>
      <c r="L33" s="1">
        <v>3135744</v>
      </c>
      <c r="M33" s="1">
        <v>4076183</v>
      </c>
      <c r="N33" s="1">
        <v>4791663</v>
      </c>
      <c r="O33" s="1">
        <v>5446918</v>
      </c>
      <c r="P33" s="1">
        <v>6181349</v>
      </c>
    </row>
    <row r="34" spans="1:17" x14ac:dyDescent="0.25">
      <c r="A34" s="2" t="s">
        <v>14</v>
      </c>
      <c r="B34" s="1">
        <v>137587</v>
      </c>
      <c r="C34" s="1">
        <v>193447</v>
      </c>
      <c r="D34" s="1">
        <v>212576</v>
      </c>
      <c r="E34" s="1">
        <v>216017</v>
      </c>
      <c r="F34" s="1">
        <v>226369</v>
      </c>
      <c r="G34" s="1">
        <v>388579</v>
      </c>
      <c r="H34" s="1">
        <v>1225055</v>
      </c>
      <c r="I34" s="1">
        <v>1675926</v>
      </c>
      <c r="J34" s="1">
        <v>2154203</v>
      </c>
      <c r="K34" s="1">
        <v>2663154</v>
      </c>
      <c r="L34" s="1">
        <v>3529624</v>
      </c>
      <c r="M34" s="1">
        <v>4586657</v>
      </c>
      <c r="N34" s="1">
        <v>5466312</v>
      </c>
      <c r="O34" s="1">
        <v>6487320</v>
      </c>
      <c r="P34" s="1">
        <v>6855696</v>
      </c>
    </row>
    <row r="35" spans="1:17" x14ac:dyDescent="0.25">
      <c r="A35" s="2" t="s">
        <v>13</v>
      </c>
      <c r="B35" s="3" t="s">
        <v>3</v>
      </c>
      <c r="C35" s="3" t="s">
        <v>3</v>
      </c>
      <c r="D35" s="3" t="s">
        <v>3</v>
      </c>
      <c r="E35" s="1">
        <v>37988</v>
      </c>
      <c r="F35" s="1">
        <v>236572</v>
      </c>
      <c r="G35" s="1">
        <v>234123</v>
      </c>
      <c r="H35" s="1">
        <v>400000</v>
      </c>
      <c r="I35" s="1">
        <v>400000</v>
      </c>
      <c r="J35" s="1">
        <v>500000</v>
      </c>
      <c r="K35" s="1">
        <v>900000</v>
      </c>
      <c r="L35" s="1">
        <v>2371362</v>
      </c>
      <c r="M35" s="1">
        <v>3364311</v>
      </c>
      <c r="N35" s="1">
        <v>6499432</v>
      </c>
      <c r="O35" s="1">
        <v>10360058</v>
      </c>
      <c r="P35" s="1">
        <v>14759260</v>
      </c>
    </row>
    <row r="36" spans="1:17" x14ac:dyDescent="0.25">
      <c r="A36" s="2" t="s">
        <v>12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spans="1:17" x14ac:dyDescent="0.25">
      <c r="A37" s="2" t="s">
        <v>11</v>
      </c>
      <c r="B37" s="1">
        <v>842</v>
      </c>
      <c r="C37" s="1">
        <v>1121</v>
      </c>
      <c r="D37" s="1">
        <v>3695</v>
      </c>
      <c r="E37" s="1">
        <v>16786</v>
      </c>
      <c r="F37" s="1">
        <v>17650</v>
      </c>
      <c r="G37" s="1">
        <v>69201</v>
      </c>
      <c r="H37" s="1">
        <v>801331</v>
      </c>
      <c r="I37" s="1">
        <v>1147291</v>
      </c>
      <c r="J37" s="1">
        <v>1424799</v>
      </c>
      <c r="K37" s="1">
        <v>1635789</v>
      </c>
      <c r="L37" s="1">
        <v>2078459</v>
      </c>
      <c r="M37" s="1">
        <v>2955842</v>
      </c>
      <c r="N37" s="1">
        <v>3465042</v>
      </c>
      <c r="O37" s="1">
        <v>3888257</v>
      </c>
      <c r="P37" s="1">
        <v>4778599</v>
      </c>
    </row>
    <row r="38" spans="1:17" x14ac:dyDescent="0.25">
      <c r="A38" s="2" t="s">
        <v>10</v>
      </c>
      <c r="B38" s="1">
        <v>138429</v>
      </c>
      <c r="C38" s="1">
        <v>194568</v>
      </c>
      <c r="D38" s="1">
        <v>216271</v>
      </c>
      <c r="E38" s="1">
        <v>270791</v>
      </c>
      <c r="F38" s="1">
        <v>480591</v>
      </c>
      <c r="G38" s="1">
        <v>691903</v>
      </c>
      <c r="H38" s="1">
        <v>2426386</v>
      </c>
      <c r="I38" s="1">
        <v>3223217</v>
      </c>
      <c r="J38" s="1">
        <v>4079002</v>
      </c>
      <c r="K38" s="1">
        <v>5198943</v>
      </c>
      <c r="L38" s="1">
        <v>7979445</v>
      </c>
      <c r="M38" s="1">
        <v>10906810</v>
      </c>
      <c r="N38" s="1">
        <v>15430786</v>
      </c>
      <c r="O38" s="1">
        <v>20735635</v>
      </c>
      <c r="P38" s="1">
        <v>26393555</v>
      </c>
      <c r="Q38">
        <f>P35/P46</f>
        <v>1.9465779988465024</v>
      </c>
    </row>
    <row r="39" spans="1:17" x14ac:dyDescent="0.25">
      <c r="A39" s="2" t="s">
        <v>9</v>
      </c>
      <c r="B39" s="1">
        <v>55</v>
      </c>
      <c r="C39" s="1">
        <v>69</v>
      </c>
      <c r="D39" s="1">
        <v>65</v>
      </c>
      <c r="E39" s="1">
        <v>62</v>
      </c>
      <c r="F39" s="1">
        <v>53</v>
      </c>
      <c r="G39" s="1">
        <v>53</v>
      </c>
      <c r="H39" s="1">
        <v>55</v>
      </c>
      <c r="I39" s="1">
        <v>56</v>
      </c>
      <c r="J39" s="1">
        <v>60</v>
      </c>
      <c r="K39" s="1">
        <v>60</v>
      </c>
      <c r="L39" s="1">
        <v>1324809</v>
      </c>
      <c r="M39" s="1">
        <v>1599762</v>
      </c>
      <c r="N39" s="1">
        <v>1871396</v>
      </c>
      <c r="O39" s="1">
        <v>2315988</v>
      </c>
      <c r="P39" s="1">
        <v>2793929</v>
      </c>
    </row>
    <row r="40" spans="1:17" x14ac:dyDescent="0.25">
      <c r="A40" s="2" t="s">
        <v>8</v>
      </c>
      <c r="B40" s="1">
        <v>317194</v>
      </c>
      <c r="C40" s="1">
        <v>454731</v>
      </c>
      <c r="D40" s="1">
        <v>402710</v>
      </c>
      <c r="E40" s="1">
        <v>338577</v>
      </c>
      <c r="F40" s="3" t="s">
        <v>3</v>
      </c>
      <c r="G40" s="1">
        <v>51622</v>
      </c>
      <c r="H40" s="1">
        <v>219119</v>
      </c>
      <c r="I40" s="1">
        <v>301616</v>
      </c>
      <c r="J40" s="1">
        <v>777441</v>
      </c>
      <c r="K40" s="1">
        <v>1042810</v>
      </c>
      <c r="L40" s="3" t="s">
        <v>3</v>
      </c>
      <c r="M40" s="3" t="s">
        <v>3</v>
      </c>
      <c r="N40" s="3" t="s">
        <v>3</v>
      </c>
      <c r="O40" s="3" t="s">
        <v>3</v>
      </c>
      <c r="P40" s="3" t="s">
        <v>3</v>
      </c>
    </row>
    <row r="41" spans="1:17" x14ac:dyDescent="0.25">
      <c r="A41" s="2" t="s">
        <v>7</v>
      </c>
      <c r="B41" s="1">
        <v>-89671</v>
      </c>
      <c r="C41" s="1">
        <v>-40589</v>
      </c>
      <c r="D41" s="1">
        <v>26363</v>
      </c>
      <c r="E41" s="1">
        <v>108452</v>
      </c>
      <c r="F41" s="1">
        <v>198817</v>
      </c>
      <c r="G41" s="1">
        <v>237739</v>
      </c>
      <c r="H41" s="1">
        <v>422930</v>
      </c>
      <c r="I41" s="1">
        <v>440082</v>
      </c>
      <c r="J41" s="1">
        <v>552485</v>
      </c>
      <c r="K41" s="1">
        <v>819284</v>
      </c>
      <c r="L41" s="1">
        <v>941925</v>
      </c>
      <c r="M41" s="1">
        <v>1128603</v>
      </c>
      <c r="N41" s="1">
        <v>1731117</v>
      </c>
      <c r="O41" s="1">
        <v>2942359</v>
      </c>
      <c r="P41" s="1">
        <v>4811749</v>
      </c>
    </row>
    <row r="42" spans="1:17" x14ac:dyDescent="0.25">
      <c r="A42" s="2" t="s">
        <v>6</v>
      </c>
      <c r="B42" s="3" t="s">
        <v>3</v>
      </c>
      <c r="C42" s="3" t="s">
        <v>3</v>
      </c>
      <c r="D42" s="1">
        <v>1611</v>
      </c>
      <c r="E42" s="1">
        <v>84</v>
      </c>
      <c r="F42" s="1">
        <v>273</v>
      </c>
      <c r="G42" s="1">
        <v>750</v>
      </c>
      <c r="H42" s="1">
        <v>706</v>
      </c>
      <c r="I42" s="1">
        <v>2919</v>
      </c>
      <c r="J42" s="1">
        <v>3575</v>
      </c>
      <c r="K42" s="1">
        <v>-4446</v>
      </c>
      <c r="L42" s="1">
        <v>-43308</v>
      </c>
      <c r="M42" s="1">
        <v>-48565</v>
      </c>
      <c r="N42" s="1">
        <v>-20557</v>
      </c>
      <c r="O42" s="1">
        <v>-19582</v>
      </c>
      <c r="P42" s="1">
        <v>-23521</v>
      </c>
    </row>
    <row r="43" spans="1:17" x14ac:dyDescent="0.25">
      <c r="A43" s="2" t="s">
        <v>5</v>
      </c>
      <c r="B43" s="3" t="s">
        <v>3</v>
      </c>
      <c r="C43" s="3" t="s">
        <v>3</v>
      </c>
      <c r="D43" s="3" t="s">
        <v>3</v>
      </c>
      <c r="E43" s="1">
        <v>100020</v>
      </c>
      <c r="F43" s="3" t="s">
        <v>3</v>
      </c>
      <c r="G43" s="3" t="s">
        <v>3</v>
      </c>
      <c r="H43" s="3" t="s">
        <v>3</v>
      </c>
      <c r="I43" s="3" t="s">
        <v>3</v>
      </c>
      <c r="J43" s="3" t="s">
        <v>3</v>
      </c>
      <c r="K43" s="3" t="s">
        <v>3</v>
      </c>
      <c r="L43" s="3" t="s">
        <v>3</v>
      </c>
      <c r="M43" s="3" t="s">
        <v>3</v>
      </c>
      <c r="N43" s="3" t="s">
        <v>3</v>
      </c>
      <c r="O43" s="3" t="s">
        <v>3</v>
      </c>
      <c r="P43" s="3" t="s">
        <v>3</v>
      </c>
    </row>
    <row r="44" spans="1:17" x14ac:dyDescent="0.25">
      <c r="A44" s="2" t="s">
        <v>4</v>
      </c>
      <c r="B44" s="3" t="s">
        <v>3</v>
      </c>
      <c r="C44" s="3" t="s">
        <v>3</v>
      </c>
      <c r="D44" s="3" t="s">
        <v>3</v>
      </c>
      <c r="E44" s="3" t="s">
        <v>3</v>
      </c>
      <c r="F44" s="3" t="s">
        <v>3</v>
      </c>
      <c r="G44" s="3" t="s">
        <v>3</v>
      </c>
      <c r="H44" s="3" t="s">
        <v>3</v>
      </c>
      <c r="I44" s="3" t="s">
        <v>3</v>
      </c>
      <c r="J44" s="1">
        <v>3153</v>
      </c>
      <c r="K44" s="1">
        <v>-4615</v>
      </c>
      <c r="L44" s="1">
        <v>-42502</v>
      </c>
      <c r="M44" s="1">
        <v>-47966</v>
      </c>
      <c r="N44" s="1">
        <v>-20557</v>
      </c>
      <c r="O44" s="1">
        <v>-19582</v>
      </c>
      <c r="P44" s="1">
        <v>-23521</v>
      </c>
    </row>
    <row r="45" spans="1:17" x14ac:dyDescent="0.25">
      <c r="A45" s="2" t="s">
        <v>2</v>
      </c>
      <c r="B45" s="1">
        <v>-1326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-3153</v>
      </c>
      <c r="K45" s="1">
        <v>4615</v>
      </c>
      <c r="L45" s="1">
        <v>42502</v>
      </c>
      <c r="M45" s="1">
        <v>47966</v>
      </c>
      <c r="N45" s="1">
        <v>20557</v>
      </c>
      <c r="O45" s="1">
        <v>19582</v>
      </c>
      <c r="P45" s="1">
        <v>23521</v>
      </c>
    </row>
    <row r="46" spans="1:17" x14ac:dyDescent="0.25">
      <c r="A46" s="2" t="s">
        <v>1</v>
      </c>
      <c r="B46" s="1">
        <v>226252</v>
      </c>
      <c r="C46" s="1">
        <v>414211</v>
      </c>
      <c r="D46" s="1">
        <v>430749</v>
      </c>
      <c r="E46" s="1">
        <v>347155</v>
      </c>
      <c r="F46" s="1">
        <v>199143</v>
      </c>
      <c r="G46" s="1">
        <v>290164</v>
      </c>
      <c r="H46" s="1">
        <v>642810</v>
      </c>
      <c r="I46" s="1">
        <v>744673</v>
      </c>
      <c r="J46" s="1">
        <v>1333561</v>
      </c>
      <c r="K46" s="1">
        <v>1857708</v>
      </c>
      <c r="L46" s="1">
        <v>2223426</v>
      </c>
      <c r="M46" s="1">
        <v>2679800</v>
      </c>
      <c r="N46" s="1">
        <v>3581956</v>
      </c>
      <c r="O46" s="1">
        <v>5238765</v>
      </c>
      <c r="P46" s="1">
        <v>7582157</v>
      </c>
    </row>
    <row r="47" spans="1:17" x14ac:dyDescent="0.25">
      <c r="A47" s="2" t="s">
        <v>0</v>
      </c>
      <c r="B47" s="1">
        <v>364681</v>
      </c>
      <c r="C47" s="1">
        <v>608779</v>
      </c>
      <c r="D47" s="1">
        <v>647020</v>
      </c>
      <c r="E47" s="1">
        <v>617946</v>
      </c>
      <c r="F47" s="1">
        <v>679734</v>
      </c>
      <c r="G47" s="1">
        <v>982067</v>
      </c>
      <c r="H47" s="1">
        <v>3069196</v>
      </c>
      <c r="I47" s="1">
        <v>3967890</v>
      </c>
      <c r="J47" s="1">
        <v>5412563</v>
      </c>
      <c r="K47" s="1">
        <v>7056651</v>
      </c>
      <c r="L47" s="1">
        <v>10202871</v>
      </c>
      <c r="M47" s="1">
        <v>13586610</v>
      </c>
      <c r="N47" s="1">
        <v>19012742</v>
      </c>
      <c r="O47" s="1">
        <v>25974400</v>
      </c>
      <c r="P47" s="1">
        <v>33975712</v>
      </c>
    </row>
    <row r="53" spans="1:16" ht="25.5" x14ac:dyDescent="0.25">
      <c r="A53" s="14" t="s">
        <v>87</v>
      </c>
    </row>
    <row r="54" spans="1:16" x14ac:dyDescent="0.25">
      <c r="A54" s="13" t="s">
        <v>59</v>
      </c>
      <c r="B54" s="12" t="s">
        <v>44</v>
      </c>
      <c r="C54" s="12" t="s">
        <v>45</v>
      </c>
      <c r="D54" s="12" t="s">
        <v>46</v>
      </c>
      <c r="E54" s="12" t="s">
        <v>47</v>
      </c>
      <c r="F54" s="12" t="s">
        <v>48</v>
      </c>
      <c r="G54" s="12" t="s">
        <v>49</v>
      </c>
      <c r="H54" s="12" t="s">
        <v>50</v>
      </c>
      <c r="I54" s="12" t="s">
        <v>51</v>
      </c>
      <c r="J54" s="12" t="s">
        <v>52</v>
      </c>
      <c r="K54" s="12" t="s">
        <v>53</v>
      </c>
      <c r="L54" s="12" t="s">
        <v>54</v>
      </c>
      <c r="M54" s="12" t="s">
        <v>55</v>
      </c>
      <c r="N54" s="12" t="s">
        <v>56</v>
      </c>
      <c r="O54" s="12" t="s">
        <v>57</v>
      </c>
      <c r="P54" s="12" t="s">
        <v>58</v>
      </c>
    </row>
    <row r="55" spans="1:16" x14ac:dyDescent="0.25">
      <c r="A55" s="13" t="s">
        <v>43</v>
      </c>
      <c r="B55" s="12" t="s">
        <v>42</v>
      </c>
      <c r="C55" s="12" t="s">
        <v>42</v>
      </c>
      <c r="D55" s="12" t="s">
        <v>42</v>
      </c>
      <c r="E55" s="12" t="s">
        <v>42</v>
      </c>
      <c r="F55" s="12" t="s">
        <v>42</v>
      </c>
      <c r="G55" s="12" t="s">
        <v>42</v>
      </c>
      <c r="H55" s="12" t="s">
        <v>42</v>
      </c>
      <c r="I55" s="12" t="s">
        <v>42</v>
      </c>
      <c r="J55" s="12" t="s">
        <v>42</v>
      </c>
      <c r="K55" s="12" t="s">
        <v>42</v>
      </c>
      <c r="L55" s="12" t="s">
        <v>42</v>
      </c>
      <c r="M55" s="12" t="s">
        <v>42</v>
      </c>
      <c r="N55" s="12" t="s">
        <v>42</v>
      </c>
      <c r="O55" s="12" t="s">
        <v>42</v>
      </c>
      <c r="P55" s="12" t="s">
        <v>42</v>
      </c>
    </row>
    <row r="56" spans="1:16" x14ac:dyDescent="0.25">
      <c r="A56" s="13" t="s">
        <v>41</v>
      </c>
      <c r="B56" s="12" t="s">
        <v>40</v>
      </c>
      <c r="C56" s="12" t="s">
        <v>40</v>
      </c>
      <c r="D56" s="12" t="s">
        <v>40</v>
      </c>
      <c r="E56" s="12" t="s">
        <v>40</v>
      </c>
      <c r="F56" s="12" t="s">
        <v>40</v>
      </c>
      <c r="G56" s="12" t="s">
        <v>40</v>
      </c>
      <c r="H56" s="12" t="s">
        <v>40</v>
      </c>
      <c r="I56" s="12" t="s">
        <v>40</v>
      </c>
      <c r="J56" s="12" t="s">
        <v>40</v>
      </c>
      <c r="K56" s="12" t="s">
        <v>40</v>
      </c>
      <c r="L56" s="12" t="s">
        <v>40</v>
      </c>
      <c r="M56" s="12" t="s">
        <v>40</v>
      </c>
      <c r="N56" s="12" t="s">
        <v>40</v>
      </c>
      <c r="O56" s="12" t="s">
        <v>40</v>
      </c>
      <c r="P56" s="12" t="s">
        <v>40</v>
      </c>
    </row>
    <row r="57" spans="1:16" x14ac:dyDescent="0.25">
      <c r="A57" s="13" t="s">
        <v>39</v>
      </c>
      <c r="B57" s="12" t="s">
        <v>38</v>
      </c>
      <c r="C57" s="12" t="s">
        <v>38</v>
      </c>
      <c r="D57" s="12" t="s">
        <v>38</v>
      </c>
      <c r="E57" s="12" t="s">
        <v>38</v>
      </c>
      <c r="F57" s="12" t="s">
        <v>38</v>
      </c>
      <c r="G57" s="12" t="s">
        <v>38</v>
      </c>
      <c r="H57" s="12" t="s">
        <v>38</v>
      </c>
      <c r="I57" s="12" t="s">
        <v>38</v>
      </c>
      <c r="J57" s="12" t="s">
        <v>38</v>
      </c>
      <c r="K57" s="12" t="s">
        <v>38</v>
      </c>
      <c r="L57" s="12" t="s">
        <v>38</v>
      </c>
      <c r="M57" s="12" t="s">
        <v>38</v>
      </c>
      <c r="N57" s="12" t="s">
        <v>38</v>
      </c>
      <c r="O57" s="12" t="s">
        <v>38</v>
      </c>
      <c r="P57" s="12" t="s">
        <v>38</v>
      </c>
    </row>
    <row r="58" spans="1:16" x14ac:dyDescent="0.25">
      <c r="A58" s="13" t="s">
        <v>37</v>
      </c>
      <c r="B58" s="12" t="s">
        <v>36</v>
      </c>
      <c r="C58" s="12" t="s">
        <v>36</v>
      </c>
      <c r="D58" s="12" t="s">
        <v>36</v>
      </c>
      <c r="E58" s="12" t="s">
        <v>36</v>
      </c>
      <c r="F58" s="12" t="s">
        <v>36</v>
      </c>
      <c r="G58" s="12" t="s">
        <v>36</v>
      </c>
      <c r="H58" s="12" t="s">
        <v>36</v>
      </c>
      <c r="I58" s="12" t="s">
        <v>36</v>
      </c>
      <c r="J58" s="12" t="s">
        <v>36</v>
      </c>
      <c r="K58" s="12" t="s">
        <v>36</v>
      </c>
      <c r="L58" s="12" t="s">
        <v>36</v>
      </c>
      <c r="M58" s="12" t="s">
        <v>36</v>
      </c>
      <c r="N58" s="12" t="s">
        <v>36</v>
      </c>
      <c r="O58" s="12" t="s">
        <v>36</v>
      </c>
      <c r="P58" s="12" t="s">
        <v>36</v>
      </c>
    </row>
    <row r="59" spans="1:16" x14ac:dyDescent="0.25">
      <c r="A59" s="2" t="s">
        <v>86</v>
      </c>
      <c r="B59" s="1">
        <v>682213</v>
      </c>
      <c r="C59" s="1">
        <v>996660</v>
      </c>
      <c r="D59" s="1">
        <v>1205340</v>
      </c>
      <c r="E59" s="1">
        <v>1364661</v>
      </c>
      <c r="F59" s="1">
        <v>1670269</v>
      </c>
      <c r="G59" s="1">
        <v>2162625</v>
      </c>
      <c r="H59" s="1">
        <v>3204577</v>
      </c>
      <c r="I59" s="1">
        <v>3609282</v>
      </c>
      <c r="J59" s="1">
        <v>4374562</v>
      </c>
      <c r="K59" s="1">
        <v>5504656</v>
      </c>
      <c r="L59" s="1">
        <v>6779511</v>
      </c>
      <c r="M59" s="1">
        <v>8830669</v>
      </c>
      <c r="N59" s="1">
        <v>11692713</v>
      </c>
      <c r="O59" s="1">
        <v>15794341</v>
      </c>
      <c r="P59" s="1">
        <v>20156447</v>
      </c>
    </row>
    <row r="60" spans="1:16" x14ac:dyDescent="0.25">
      <c r="A60" s="2" t="s">
        <v>85</v>
      </c>
      <c r="B60" s="1">
        <v>464550</v>
      </c>
      <c r="C60" s="1">
        <v>626985</v>
      </c>
      <c r="D60" s="1">
        <v>786168</v>
      </c>
      <c r="E60" s="1">
        <v>910234</v>
      </c>
      <c r="F60" s="1">
        <v>1079271</v>
      </c>
      <c r="G60" s="1">
        <v>1357355</v>
      </c>
      <c r="H60" s="1">
        <v>2039901</v>
      </c>
      <c r="I60" s="1">
        <v>2625866</v>
      </c>
      <c r="J60" s="1">
        <v>3083256</v>
      </c>
      <c r="K60" s="1">
        <v>3752760</v>
      </c>
      <c r="L60" s="1">
        <v>4591476</v>
      </c>
      <c r="M60" s="1">
        <v>6029901</v>
      </c>
      <c r="N60" s="1">
        <v>7659666</v>
      </c>
      <c r="O60" s="1">
        <v>9967538</v>
      </c>
      <c r="P60" s="1">
        <v>12440213</v>
      </c>
    </row>
    <row r="61" spans="1:16" x14ac:dyDescent="0.25">
      <c r="A61" s="2" t="s">
        <v>84</v>
      </c>
      <c r="B61" s="1">
        <v>217663</v>
      </c>
      <c r="C61" s="1">
        <v>369675</v>
      </c>
      <c r="D61" s="1">
        <v>419172</v>
      </c>
      <c r="E61" s="1">
        <v>454427</v>
      </c>
      <c r="F61" s="1">
        <v>590998</v>
      </c>
      <c r="G61" s="1">
        <v>805270</v>
      </c>
      <c r="H61" s="1">
        <v>1164676</v>
      </c>
      <c r="I61" s="1">
        <v>983416</v>
      </c>
      <c r="J61" s="1">
        <v>1291306</v>
      </c>
      <c r="K61" s="1">
        <v>1751896</v>
      </c>
      <c r="L61" s="1">
        <v>2188035</v>
      </c>
      <c r="M61" s="1">
        <v>2800768</v>
      </c>
      <c r="N61" s="1">
        <v>4033047</v>
      </c>
      <c r="O61" s="1">
        <v>5826803</v>
      </c>
      <c r="P61" s="1">
        <v>7716234</v>
      </c>
    </row>
    <row r="62" spans="1:16" x14ac:dyDescent="0.25">
      <c r="A62" s="2" t="s">
        <v>83</v>
      </c>
      <c r="B62" s="1">
        <v>185719</v>
      </c>
      <c r="C62" s="1">
        <v>261679</v>
      </c>
      <c r="D62" s="1">
        <v>270812</v>
      </c>
      <c r="E62" s="1">
        <v>249375</v>
      </c>
      <c r="F62" s="1">
        <v>289077</v>
      </c>
      <c r="G62" s="1">
        <v>364394</v>
      </c>
      <c r="H62" s="1">
        <v>520575</v>
      </c>
      <c r="I62" s="1">
        <v>604416</v>
      </c>
      <c r="J62" s="1">
        <v>684190</v>
      </c>
      <c r="K62" s="1">
        <v>876927</v>
      </c>
      <c r="L62" s="1">
        <v>1231421</v>
      </c>
      <c r="M62" s="1">
        <v>1568877</v>
      </c>
      <c r="N62" s="1">
        <v>2141590</v>
      </c>
      <c r="O62" s="1">
        <v>2999763</v>
      </c>
      <c r="P62" s="1">
        <v>3566831</v>
      </c>
    </row>
    <row r="63" spans="1:16" x14ac:dyDescent="0.25">
      <c r="A63" s="2" t="s">
        <v>82</v>
      </c>
      <c r="B63" s="1">
        <v>30942</v>
      </c>
      <c r="C63" s="1">
        <v>48379</v>
      </c>
      <c r="D63" s="1">
        <v>71395</v>
      </c>
      <c r="E63" s="1">
        <v>89873</v>
      </c>
      <c r="F63" s="1">
        <v>114542</v>
      </c>
      <c r="G63" s="1">
        <v>163329</v>
      </c>
      <c r="H63" s="1">
        <v>259033</v>
      </c>
      <c r="I63" s="1">
        <v>329008</v>
      </c>
      <c r="J63" s="1">
        <v>378769</v>
      </c>
      <c r="K63" s="1">
        <v>472321</v>
      </c>
      <c r="L63" s="1">
        <v>650788</v>
      </c>
      <c r="M63" s="1">
        <v>852098</v>
      </c>
      <c r="N63" s="1">
        <v>1052778</v>
      </c>
      <c r="O63" s="1">
        <v>1221814</v>
      </c>
      <c r="P63" s="1">
        <v>1545149</v>
      </c>
    </row>
    <row r="64" spans="1:16" x14ac:dyDescent="0.25">
      <c r="A64" s="2" t="s">
        <v>81</v>
      </c>
      <c r="B64" s="1">
        <v>0</v>
      </c>
      <c r="C64" s="1">
        <v>0</v>
      </c>
      <c r="D64" s="1">
        <v>-7000</v>
      </c>
      <c r="E64" s="1">
        <v>0</v>
      </c>
      <c r="F64" s="1">
        <v>0</v>
      </c>
      <c r="G64" s="1">
        <v>0</v>
      </c>
      <c r="H64" s="1">
        <v>9000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</row>
    <row r="65" spans="1:21" x14ac:dyDescent="0.25">
      <c r="A65" s="2" t="s">
        <v>80</v>
      </c>
      <c r="B65" s="1">
        <v>216661</v>
      </c>
      <c r="C65" s="1">
        <v>310058</v>
      </c>
      <c r="D65" s="1">
        <v>335207</v>
      </c>
      <c r="E65" s="1">
        <v>339248</v>
      </c>
      <c r="F65" s="1">
        <v>403619</v>
      </c>
      <c r="G65" s="1">
        <v>527723</v>
      </c>
      <c r="H65" s="1">
        <v>788608</v>
      </c>
      <c r="I65" s="1">
        <v>933424</v>
      </c>
      <c r="J65" s="1">
        <v>1062959</v>
      </c>
      <c r="K65" s="1">
        <v>1349248</v>
      </c>
      <c r="L65" s="1">
        <v>1882209</v>
      </c>
      <c r="M65" s="1">
        <v>2420975</v>
      </c>
      <c r="N65" s="1">
        <v>3194368</v>
      </c>
      <c r="O65" s="1">
        <v>4221577</v>
      </c>
      <c r="P65" s="1">
        <v>5111980</v>
      </c>
    </row>
    <row r="66" spans="1:21" x14ac:dyDescent="0.25">
      <c r="A66" s="2" t="s">
        <v>79</v>
      </c>
      <c r="B66" s="1">
        <v>1002</v>
      </c>
      <c r="C66" s="1">
        <v>59617</v>
      </c>
      <c r="D66" s="1">
        <v>83965</v>
      </c>
      <c r="E66" s="1">
        <v>115179</v>
      </c>
      <c r="F66" s="1">
        <v>187379</v>
      </c>
      <c r="G66" s="1">
        <v>277547</v>
      </c>
      <c r="H66" s="1">
        <v>376068</v>
      </c>
      <c r="I66" s="1">
        <v>49992</v>
      </c>
      <c r="J66" s="1">
        <v>228347</v>
      </c>
      <c r="K66" s="1">
        <v>402648</v>
      </c>
      <c r="L66" s="1">
        <v>305826</v>
      </c>
      <c r="M66" s="1">
        <v>379793</v>
      </c>
      <c r="N66" s="1">
        <v>838679</v>
      </c>
      <c r="O66" s="1">
        <v>1605226</v>
      </c>
      <c r="P66" s="1">
        <v>2604254</v>
      </c>
    </row>
    <row r="67" spans="1:21" x14ac:dyDescent="0.25">
      <c r="A67" s="2" t="s">
        <v>78</v>
      </c>
      <c r="B67" s="1">
        <v>5346</v>
      </c>
      <c r="C67" s="1">
        <v>15904</v>
      </c>
      <c r="D67" s="1">
        <v>20340</v>
      </c>
      <c r="E67" s="1">
        <v>9994</v>
      </c>
      <c r="F67" s="1">
        <v>253</v>
      </c>
      <c r="G67" s="1">
        <v>-15945</v>
      </c>
      <c r="H67" s="1">
        <v>-16546</v>
      </c>
      <c r="I67" s="1">
        <v>-19512</v>
      </c>
      <c r="J67" s="1">
        <v>-32144</v>
      </c>
      <c r="K67" s="1">
        <v>-53279</v>
      </c>
      <c r="L67" s="1">
        <v>-163941</v>
      </c>
      <c r="M67" s="1">
        <v>-119286</v>
      </c>
      <c r="N67" s="1">
        <v>-353358</v>
      </c>
      <c r="O67" s="1">
        <v>-378768</v>
      </c>
      <c r="P67" s="1">
        <v>-542023</v>
      </c>
    </row>
    <row r="68" spans="1:21" x14ac:dyDescent="0.25">
      <c r="A68" s="2" t="s">
        <v>77</v>
      </c>
      <c r="B68" s="1">
        <v>1987</v>
      </c>
      <c r="C68" s="1">
        <v>4797</v>
      </c>
      <c r="D68" s="1">
        <v>7196</v>
      </c>
      <c r="E68" s="1">
        <v>6327</v>
      </c>
      <c r="F68" s="1">
        <v>4560</v>
      </c>
      <c r="G68" s="1">
        <v>6094</v>
      </c>
      <c r="H68" s="3" t="s">
        <v>3</v>
      </c>
      <c r="I68" s="3" t="s">
        <v>3</v>
      </c>
      <c r="J68" s="3" t="s">
        <v>3</v>
      </c>
      <c r="K68" s="3" t="s">
        <v>3</v>
      </c>
      <c r="L68" s="3" t="s">
        <v>3</v>
      </c>
      <c r="M68" s="3" t="s">
        <v>3</v>
      </c>
      <c r="N68" s="3" t="s">
        <v>3</v>
      </c>
      <c r="O68" s="3" t="s">
        <v>3</v>
      </c>
      <c r="P68" s="3" t="s">
        <v>3</v>
      </c>
    </row>
    <row r="69" spans="1:21" x14ac:dyDescent="0.25">
      <c r="A69" s="2" t="s">
        <v>76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-25129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</row>
    <row r="70" spans="1:21" x14ac:dyDescent="0.25">
      <c r="A70" s="2" t="s">
        <v>75</v>
      </c>
      <c r="B70" s="1">
        <v>7333</v>
      </c>
      <c r="C70" s="1">
        <v>20701</v>
      </c>
      <c r="D70" s="1">
        <v>27536</v>
      </c>
      <c r="E70" s="1">
        <v>16321</v>
      </c>
      <c r="F70" s="1">
        <v>4813</v>
      </c>
      <c r="G70" s="1">
        <v>-9851</v>
      </c>
      <c r="H70" s="1">
        <v>-16546</v>
      </c>
      <c r="I70" s="1">
        <v>-19512</v>
      </c>
      <c r="J70" s="1">
        <v>-57273</v>
      </c>
      <c r="K70" s="1">
        <v>-53279</v>
      </c>
      <c r="L70" s="1">
        <v>-163941</v>
      </c>
      <c r="M70" s="1">
        <v>-119286</v>
      </c>
      <c r="N70" s="1">
        <v>-353358</v>
      </c>
      <c r="O70" s="1">
        <v>-378768</v>
      </c>
      <c r="P70" s="1">
        <v>-542023</v>
      </c>
    </row>
    <row r="71" spans="1:21" x14ac:dyDescent="0.25">
      <c r="A71" s="2" t="s">
        <v>74</v>
      </c>
      <c r="B71" s="1">
        <v>8335</v>
      </c>
      <c r="C71" s="1">
        <v>80318</v>
      </c>
      <c r="D71" s="1">
        <v>111501</v>
      </c>
      <c r="E71" s="1">
        <v>131500</v>
      </c>
      <c r="F71" s="1">
        <v>192192</v>
      </c>
      <c r="G71" s="1">
        <v>267696</v>
      </c>
      <c r="H71" s="1">
        <v>359522</v>
      </c>
      <c r="I71" s="1">
        <v>30480</v>
      </c>
      <c r="J71" s="1">
        <v>171074</v>
      </c>
      <c r="K71" s="1">
        <v>349369</v>
      </c>
      <c r="L71" s="1">
        <v>141885</v>
      </c>
      <c r="M71" s="1">
        <v>260507</v>
      </c>
      <c r="N71" s="1">
        <v>485321</v>
      </c>
      <c r="O71" s="1">
        <v>1226458</v>
      </c>
      <c r="P71" s="1">
        <v>2062231</v>
      </c>
    </row>
    <row r="72" spans="1:21" x14ac:dyDescent="0.25">
      <c r="A72" s="2" t="s">
        <v>73</v>
      </c>
      <c r="B72" s="1">
        <v>-33692</v>
      </c>
      <c r="C72" s="1">
        <v>31236</v>
      </c>
      <c r="D72" s="1">
        <v>44549</v>
      </c>
      <c r="E72" s="1">
        <v>48474</v>
      </c>
      <c r="F72" s="1">
        <v>76332</v>
      </c>
      <c r="G72" s="1">
        <v>106843</v>
      </c>
      <c r="H72" s="1">
        <v>133396</v>
      </c>
      <c r="I72" s="1">
        <v>13328</v>
      </c>
      <c r="J72" s="1">
        <v>58671</v>
      </c>
      <c r="K72" s="1">
        <v>82570</v>
      </c>
      <c r="L72" s="1">
        <v>19244</v>
      </c>
      <c r="M72" s="1">
        <v>73829</v>
      </c>
      <c r="N72" s="1">
        <v>-73608</v>
      </c>
      <c r="O72" s="1">
        <v>15216</v>
      </c>
      <c r="P72" s="1">
        <v>195315</v>
      </c>
      <c r="Q72">
        <f>L72/L71</f>
        <v>0.1356309687422913</v>
      </c>
      <c r="R72">
        <f t="shared" ref="R72:U72" si="0">M72/M71</f>
        <v>0.28340505245540426</v>
      </c>
      <c r="S72">
        <f t="shared" si="0"/>
        <v>-0.15166868938290329</v>
      </c>
      <c r="T72">
        <f t="shared" si="0"/>
        <v>1.2406458272521358E-2</v>
      </c>
      <c r="U72">
        <f t="shared" si="0"/>
        <v>9.471053436787634E-2</v>
      </c>
    </row>
    <row r="73" spans="1:21" x14ac:dyDescent="0.25">
      <c r="A73" s="2" t="s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</row>
    <row r="74" spans="1:21" x14ac:dyDescent="0.25">
      <c r="A74" s="2" t="s">
        <v>71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</row>
    <row r="75" spans="1:21" x14ac:dyDescent="0.25">
      <c r="A75" s="2" t="s">
        <v>70</v>
      </c>
      <c r="B75" s="1">
        <v>42027</v>
      </c>
      <c r="C75" s="1">
        <v>49082</v>
      </c>
      <c r="D75" s="1">
        <v>66952</v>
      </c>
      <c r="E75" s="1">
        <v>83026</v>
      </c>
      <c r="F75" s="1">
        <v>115860</v>
      </c>
      <c r="G75" s="1">
        <v>160853</v>
      </c>
      <c r="H75" s="1">
        <v>226126</v>
      </c>
      <c r="I75" s="1">
        <v>17152</v>
      </c>
      <c r="J75" s="1">
        <v>112403</v>
      </c>
      <c r="K75" s="1">
        <v>266799</v>
      </c>
      <c r="L75" s="1">
        <v>122641</v>
      </c>
      <c r="M75" s="1">
        <v>186678</v>
      </c>
      <c r="N75" s="1">
        <v>558929</v>
      </c>
      <c r="O75" s="1">
        <v>1211242</v>
      </c>
      <c r="P75" s="1">
        <v>1866916</v>
      </c>
    </row>
    <row r="76" spans="1:21" x14ac:dyDescent="0.25">
      <c r="A76" s="2" t="s">
        <v>69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</row>
    <row r="77" spans="1:21" x14ac:dyDescent="0.25">
      <c r="A77" s="2" t="s">
        <v>68</v>
      </c>
      <c r="B77" s="1">
        <v>42027</v>
      </c>
      <c r="C77" s="1">
        <v>49082</v>
      </c>
      <c r="D77" s="1">
        <v>66952</v>
      </c>
      <c r="E77" s="1">
        <v>83026</v>
      </c>
      <c r="F77" s="1">
        <v>115860</v>
      </c>
      <c r="G77" s="1">
        <v>160853</v>
      </c>
      <c r="H77" s="1">
        <v>226126</v>
      </c>
      <c r="I77" s="1">
        <v>17152</v>
      </c>
      <c r="J77" s="1">
        <v>112403</v>
      </c>
      <c r="K77" s="1">
        <v>266799</v>
      </c>
      <c r="L77" s="1">
        <v>122641</v>
      </c>
      <c r="M77" s="1">
        <v>186678</v>
      </c>
      <c r="N77" s="1">
        <v>558929</v>
      </c>
      <c r="O77" s="1">
        <v>1211242</v>
      </c>
      <c r="P77" s="1">
        <v>1866916</v>
      </c>
    </row>
    <row r="78" spans="1:21" x14ac:dyDescent="0.25">
      <c r="A78" s="2" t="s">
        <v>67</v>
      </c>
      <c r="B78" s="1">
        <v>374696</v>
      </c>
      <c r="C78" s="1">
        <v>438039</v>
      </c>
      <c r="D78" s="1">
        <v>469532</v>
      </c>
      <c r="E78" s="1">
        <v>426727</v>
      </c>
      <c r="F78" s="1">
        <v>395920</v>
      </c>
      <c r="G78" s="1">
        <v>367703</v>
      </c>
      <c r="H78" s="1">
        <v>369929</v>
      </c>
      <c r="I78" s="1">
        <v>388647</v>
      </c>
      <c r="J78" s="1">
        <v>407386</v>
      </c>
      <c r="K78" s="1">
        <v>420546</v>
      </c>
      <c r="L78" s="1">
        <v>425889</v>
      </c>
      <c r="M78" s="1">
        <v>428822</v>
      </c>
      <c r="N78" s="1">
        <v>431885</v>
      </c>
      <c r="O78" s="1">
        <v>435374</v>
      </c>
      <c r="P78" s="1">
        <v>437799</v>
      </c>
    </row>
    <row r="79" spans="1:21" x14ac:dyDescent="0.25">
      <c r="A79" s="2" t="s">
        <v>66</v>
      </c>
      <c r="B79" s="10">
        <v>0.11</v>
      </c>
      <c r="C79" s="10">
        <v>0.11</v>
      </c>
      <c r="D79" s="10">
        <v>0.14000000000000001</v>
      </c>
      <c r="E79" s="10">
        <v>0.19</v>
      </c>
      <c r="F79" s="10">
        <v>0.28999999999999998</v>
      </c>
      <c r="G79" s="10">
        <v>0.44</v>
      </c>
      <c r="H79" s="10">
        <v>0.61</v>
      </c>
      <c r="I79" s="10">
        <v>0.04</v>
      </c>
      <c r="J79" s="10">
        <v>0.28000000000000003</v>
      </c>
      <c r="K79" s="10">
        <v>0.63</v>
      </c>
      <c r="L79" s="10">
        <v>0.28999999999999998</v>
      </c>
      <c r="M79" s="10">
        <v>0.44</v>
      </c>
      <c r="N79" s="10">
        <v>1.29</v>
      </c>
      <c r="O79" s="10">
        <v>2.78</v>
      </c>
      <c r="P79" s="10">
        <v>4.26</v>
      </c>
    </row>
    <row r="80" spans="1:21" x14ac:dyDescent="0.25">
      <c r="A80" s="2" t="s">
        <v>65</v>
      </c>
      <c r="B80" s="10">
        <v>0.11</v>
      </c>
      <c r="C80" s="10">
        <v>0.11</v>
      </c>
      <c r="D80" s="10">
        <v>0.14000000000000001</v>
      </c>
      <c r="E80" s="10">
        <v>0.19</v>
      </c>
      <c r="F80" s="10">
        <v>0.28999999999999998</v>
      </c>
      <c r="G80" s="10">
        <v>0.44</v>
      </c>
      <c r="H80" s="10">
        <v>0.61</v>
      </c>
      <c r="I80" s="10">
        <v>0.04</v>
      </c>
      <c r="J80" s="10">
        <v>0.28000000000000003</v>
      </c>
      <c r="K80" s="10">
        <v>0.63</v>
      </c>
      <c r="L80" s="10">
        <v>0.28999999999999998</v>
      </c>
      <c r="M80" s="10">
        <v>0.44</v>
      </c>
      <c r="N80" s="10">
        <v>1.29</v>
      </c>
      <c r="O80" s="10">
        <v>2.78</v>
      </c>
      <c r="P80" s="10">
        <v>4.26</v>
      </c>
    </row>
    <row r="81" spans="1:16" x14ac:dyDescent="0.25">
      <c r="A81" s="2" t="s">
        <v>64</v>
      </c>
      <c r="B81" s="1">
        <v>458626</v>
      </c>
      <c r="C81" s="1">
        <v>483525</v>
      </c>
      <c r="D81" s="1">
        <v>482314</v>
      </c>
      <c r="E81" s="1">
        <v>439852</v>
      </c>
      <c r="F81" s="1">
        <v>408912</v>
      </c>
      <c r="G81" s="1">
        <v>380128</v>
      </c>
      <c r="H81" s="1">
        <v>380583</v>
      </c>
      <c r="I81" s="1">
        <v>412328</v>
      </c>
      <c r="J81" s="1">
        <v>425327</v>
      </c>
      <c r="K81" s="1">
        <v>431893</v>
      </c>
      <c r="L81" s="1">
        <v>436456</v>
      </c>
      <c r="M81" s="1">
        <v>438652</v>
      </c>
      <c r="N81" s="1">
        <v>446814</v>
      </c>
      <c r="O81" s="1">
        <v>451244</v>
      </c>
      <c r="P81" s="1">
        <v>451765</v>
      </c>
    </row>
    <row r="82" spans="1:16" x14ac:dyDescent="0.25">
      <c r="A82" s="2" t="s">
        <v>63</v>
      </c>
      <c r="B82" s="10">
        <v>0.09</v>
      </c>
      <c r="C82" s="11">
        <v>0.1</v>
      </c>
      <c r="D82" s="10">
        <v>0.14000000000000001</v>
      </c>
      <c r="E82" s="10">
        <v>0.19</v>
      </c>
      <c r="F82" s="10">
        <v>0.28000000000000003</v>
      </c>
      <c r="G82" s="10">
        <v>0.42</v>
      </c>
      <c r="H82" s="10">
        <v>0.59</v>
      </c>
      <c r="I82" s="10">
        <v>0.04</v>
      </c>
      <c r="J82" s="10">
        <v>0.26</v>
      </c>
      <c r="K82" s="10">
        <v>0.62</v>
      </c>
      <c r="L82" s="10">
        <v>0.28000000000000003</v>
      </c>
      <c r="M82" s="10">
        <v>0.43</v>
      </c>
      <c r="N82" s="10">
        <v>1.25</v>
      </c>
      <c r="O82" s="10">
        <v>2.68</v>
      </c>
      <c r="P82" s="10">
        <v>4.13</v>
      </c>
    </row>
    <row r="83" spans="1:16" x14ac:dyDescent="0.25">
      <c r="A83" s="2" t="s">
        <v>62</v>
      </c>
      <c r="B83" s="10">
        <v>0.09</v>
      </c>
      <c r="C83" s="11">
        <v>0.1</v>
      </c>
      <c r="D83" s="10">
        <v>0.14000000000000001</v>
      </c>
      <c r="E83" s="10">
        <v>0.19</v>
      </c>
      <c r="F83" s="10">
        <v>0.28000000000000003</v>
      </c>
      <c r="G83" s="10">
        <v>0.42</v>
      </c>
      <c r="H83" s="10">
        <v>0.59</v>
      </c>
      <c r="I83" s="10">
        <v>0.04</v>
      </c>
      <c r="J83" s="10">
        <v>0.26</v>
      </c>
      <c r="K83" s="10">
        <v>0.62</v>
      </c>
      <c r="L83" s="10">
        <v>0.28000000000000003</v>
      </c>
      <c r="M83" s="10">
        <v>0.43</v>
      </c>
      <c r="N83" s="10">
        <v>1.25</v>
      </c>
      <c r="O83" s="10">
        <v>2.68</v>
      </c>
      <c r="P83" s="10">
        <v>4.13</v>
      </c>
    </row>
    <row r="84" spans="1:16" x14ac:dyDescent="0.25">
      <c r="A84" s="2" t="s">
        <v>61</v>
      </c>
      <c r="B84" s="9">
        <v>383290.11700000003</v>
      </c>
      <c r="C84" s="9">
        <v>480287.24099999998</v>
      </c>
      <c r="D84" s="9">
        <v>454390.40500000003</v>
      </c>
      <c r="E84" s="9">
        <v>412037.34600000002</v>
      </c>
      <c r="F84" s="9">
        <v>374080.511</v>
      </c>
      <c r="G84" s="9">
        <v>369473.64299999998</v>
      </c>
      <c r="H84" s="9">
        <v>387790.30499999999</v>
      </c>
      <c r="I84" s="9">
        <v>389110.16899999999</v>
      </c>
      <c r="J84" s="9">
        <v>417249.00699999998</v>
      </c>
      <c r="K84" s="9">
        <v>422910.88699999999</v>
      </c>
      <c r="L84" s="10">
        <v>427940.44</v>
      </c>
      <c r="M84" s="9">
        <v>430054.212</v>
      </c>
      <c r="N84" s="9">
        <v>433392.68599999999</v>
      </c>
      <c r="O84" s="9">
        <v>436598.59700000001</v>
      </c>
      <c r="P84" s="9">
        <v>438806.64899999998</v>
      </c>
    </row>
  </sheetData>
  <sortState xmlns:xlrd2="http://schemas.microsoft.com/office/spreadsheetml/2017/richdata2" columnSort="1" ref="B2:P84">
    <sortCondition ref="B8:P8"/>
  </sortState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DE65-638F-419B-AD9A-EE251BFFCF3A}">
  <dimension ref="A1:Q122"/>
  <sheetViews>
    <sheetView topLeftCell="A16" zoomScale="85" zoomScaleNormal="85" workbookViewId="0">
      <selection activeCell="K30" sqref="K30"/>
    </sheetView>
  </sheetViews>
  <sheetFormatPr defaultColWidth="8.85546875" defaultRowHeight="15" x14ac:dyDescent="0.25"/>
  <cols>
    <col min="1" max="1" width="9.7109375" bestFit="1" customWidth="1"/>
    <col min="11" max="11" width="9.7109375" bestFit="1" customWidth="1"/>
  </cols>
  <sheetData>
    <row r="1" spans="1:17" ht="24" thickBot="1" x14ac:dyDescent="0.4">
      <c r="A1" s="212" t="s">
        <v>119</v>
      </c>
      <c r="B1" s="213"/>
      <c r="C1" s="213"/>
      <c r="D1" s="213"/>
      <c r="E1" s="213"/>
      <c r="F1" s="214"/>
      <c r="K1" s="212" t="s">
        <v>120</v>
      </c>
      <c r="L1" s="213"/>
      <c r="M1" s="213"/>
      <c r="N1" s="213"/>
      <c r="O1" s="213"/>
      <c r="P1" s="214"/>
    </row>
    <row r="2" spans="1:17" ht="15.75" customHeight="1" x14ac:dyDescent="0.25">
      <c r="A2" t="s">
        <v>113</v>
      </c>
      <c r="B2" t="s">
        <v>114</v>
      </c>
      <c r="C2" t="s">
        <v>115</v>
      </c>
      <c r="D2" t="s">
        <v>116</v>
      </c>
      <c r="E2" t="s">
        <v>117</v>
      </c>
      <c r="F2" t="s">
        <v>118</v>
      </c>
      <c r="K2" t="s">
        <v>113</v>
      </c>
      <c r="L2" t="s">
        <v>114</v>
      </c>
      <c r="M2" t="s">
        <v>115</v>
      </c>
      <c r="N2" t="s">
        <v>116</v>
      </c>
      <c r="O2" t="s">
        <v>117</v>
      </c>
      <c r="P2" t="s">
        <v>118</v>
      </c>
    </row>
    <row r="3" spans="1:17" x14ac:dyDescent="0.25">
      <c r="A3" s="26">
        <v>40179</v>
      </c>
      <c r="B3">
        <v>5.82</v>
      </c>
      <c r="C3">
        <v>6</v>
      </c>
      <c r="D3">
        <v>5.13</v>
      </c>
      <c r="E3">
        <v>5.2</v>
      </c>
      <c r="F3">
        <v>5.0028930000000003</v>
      </c>
      <c r="K3" s="26">
        <v>40179</v>
      </c>
      <c r="L3">
        <v>7.9314280000000004</v>
      </c>
      <c r="M3">
        <v>9.2242859999999993</v>
      </c>
      <c r="N3">
        <v>6.9314280000000004</v>
      </c>
      <c r="O3">
        <v>8.8928580000000004</v>
      </c>
      <c r="P3">
        <v>8.8928580000000004</v>
      </c>
    </row>
    <row r="4" spans="1:17" x14ac:dyDescent="0.25">
      <c r="A4" s="26">
        <v>40210</v>
      </c>
      <c r="B4">
        <v>5.21</v>
      </c>
      <c r="C4">
        <v>6</v>
      </c>
      <c r="D4">
        <v>4.8099999999999996</v>
      </c>
      <c r="E4">
        <v>5.45</v>
      </c>
      <c r="F4">
        <v>5.2434190000000003</v>
      </c>
      <c r="K4" s="26">
        <v>40210</v>
      </c>
      <c r="L4">
        <v>8.83</v>
      </c>
      <c r="M4">
        <v>9.6142850000000006</v>
      </c>
      <c r="N4">
        <v>8.468572</v>
      </c>
      <c r="O4">
        <v>9.4357150000000001</v>
      </c>
      <c r="P4">
        <v>9.4357150000000001</v>
      </c>
    </row>
    <row r="5" spans="1:17" x14ac:dyDescent="0.25">
      <c r="A5" s="26">
        <v>40238</v>
      </c>
      <c r="B5">
        <v>5.45</v>
      </c>
      <c r="C5">
        <v>6.64</v>
      </c>
      <c r="D5">
        <v>5.36</v>
      </c>
      <c r="E5">
        <v>6.24</v>
      </c>
      <c r="F5">
        <v>6.0034739999999998</v>
      </c>
      <c r="K5" s="26">
        <v>40238</v>
      </c>
      <c r="L5">
        <v>9.4314289999999996</v>
      </c>
      <c r="M5">
        <v>10.807143</v>
      </c>
      <c r="N5">
        <v>9.3742859999999997</v>
      </c>
      <c r="O5">
        <v>10.534286</v>
      </c>
      <c r="P5">
        <v>10.534286</v>
      </c>
    </row>
    <row r="6" spans="1:17" x14ac:dyDescent="0.25">
      <c r="A6" s="26">
        <v>40269</v>
      </c>
      <c r="B6">
        <v>6.24</v>
      </c>
      <c r="C6">
        <v>7.18</v>
      </c>
      <c r="D6">
        <v>6.03</v>
      </c>
      <c r="E6">
        <v>6.92</v>
      </c>
      <c r="F6">
        <v>6.6576979999999999</v>
      </c>
      <c r="K6" s="26">
        <v>40269</v>
      </c>
      <c r="L6">
        <v>10.517143000000001</v>
      </c>
      <c r="M6">
        <v>15.671429</v>
      </c>
      <c r="N6">
        <v>10.517143000000001</v>
      </c>
      <c r="O6">
        <v>14.128572</v>
      </c>
      <c r="P6">
        <v>14.128572</v>
      </c>
    </row>
    <row r="7" spans="1:17" x14ac:dyDescent="0.25">
      <c r="A7" s="26">
        <v>40299</v>
      </c>
      <c r="B7">
        <v>6.9</v>
      </c>
      <c r="C7">
        <v>7.05</v>
      </c>
      <c r="D7">
        <v>5.47</v>
      </c>
      <c r="E7">
        <v>6.8</v>
      </c>
      <c r="F7">
        <v>6.5422469999999997</v>
      </c>
      <c r="K7" s="26">
        <v>40299</v>
      </c>
      <c r="L7">
        <v>14.28</v>
      </c>
      <c r="M7">
        <v>17.071428000000001</v>
      </c>
      <c r="N7">
        <v>12.857142</v>
      </c>
      <c r="O7">
        <v>15.878572</v>
      </c>
      <c r="P7">
        <v>15.878572</v>
      </c>
    </row>
    <row r="8" spans="1:17" x14ac:dyDescent="0.25">
      <c r="A8" s="26">
        <v>40330</v>
      </c>
      <c r="B8">
        <v>6.63</v>
      </c>
      <c r="C8">
        <v>7.38</v>
      </c>
      <c r="D8">
        <v>6.59</v>
      </c>
      <c r="E8">
        <v>6.98</v>
      </c>
      <c r="F8">
        <v>6.7154239999999996</v>
      </c>
      <c r="K8" s="26">
        <v>40330</v>
      </c>
      <c r="L8">
        <v>15.608571</v>
      </c>
      <c r="M8">
        <v>18.280000999999999</v>
      </c>
      <c r="N8">
        <v>14.97</v>
      </c>
      <c r="O8">
        <v>15.521428</v>
      </c>
      <c r="P8">
        <v>15.521428</v>
      </c>
    </row>
    <row r="9" spans="1:17" x14ac:dyDescent="0.25">
      <c r="A9" s="26">
        <v>40360</v>
      </c>
      <c r="B9">
        <v>7</v>
      </c>
      <c r="C9">
        <v>7.29</v>
      </c>
      <c r="D9">
        <v>5.9</v>
      </c>
      <c r="E9">
        <v>6.6</v>
      </c>
      <c r="F9">
        <v>6.3498270000000003</v>
      </c>
      <c r="K9" s="26">
        <v>40360</v>
      </c>
      <c r="L9">
        <v>15.542857</v>
      </c>
      <c r="M9">
        <v>17.714285</v>
      </c>
      <c r="N9">
        <v>13.618570999999999</v>
      </c>
      <c r="O9">
        <v>14.65</v>
      </c>
      <c r="P9">
        <v>14.65</v>
      </c>
    </row>
    <row r="10" spans="1:17" x14ac:dyDescent="0.25">
      <c r="A10" s="26">
        <v>40391</v>
      </c>
      <c r="B10">
        <v>6.68</v>
      </c>
      <c r="C10">
        <v>7.4</v>
      </c>
      <c r="D10">
        <v>6.1</v>
      </c>
      <c r="E10">
        <v>7.14</v>
      </c>
      <c r="F10">
        <v>6.8693590000000002</v>
      </c>
      <c r="K10" s="26">
        <v>40391</v>
      </c>
      <c r="L10">
        <v>14.86</v>
      </c>
      <c r="M10">
        <v>20.128571000000001</v>
      </c>
      <c r="N10">
        <v>14.104285000000001</v>
      </c>
      <c r="O10">
        <v>17.931429000000001</v>
      </c>
      <c r="P10">
        <v>17.931429000000001</v>
      </c>
    </row>
    <row r="11" spans="1:17" x14ac:dyDescent="0.25">
      <c r="A11" s="26">
        <v>40422</v>
      </c>
      <c r="B11">
        <v>7.31</v>
      </c>
      <c r="C11">
        <v>7.42</v>
      </c>
      <c r="D11">
        <v>7.03</v>
      </c>
      <c r="E11">
        <v>7.35</v>
      </c>
      <c r="F11">
        <v>7.0713990000000004</v>
      </c>
      <c r="K11" s="26">
        <v>40422</v>
      </c>
      <c r="L11">
        <v>18.695715</v>
      </c>
      <c r="M11">
        <v>24.914286000000001</v>
      </c>
      <c r="N11">
        <v>18.444286000000002</v>
      </c>
      <c r="O11">
        <v>23.165714000000001</v>
      </c>
      <c r="P11">
        <v>23.165714000000001</v>
      </c>
    </row>
    <row r="12" spans="1:17" x14ac:dyDescent="0.25">
      <c r="A12" s="26">
        <v>40452</v>
      </c>
      <c r="B12">
        <v>7.41</v>
      </c>
      <c r="C12">
        <v>7.84</v>
      </c>
      <c r="D12">
        <v>7.2</v>
      </c>
      <c r="E12">
        <v>7.23</v>
      </c>
      <c r="F12">
        <v>6.9559470000000001</v>
      </c>
      <c r="K12" s="26">
        <v>40452</v>
      </c>
      <c r="L12">
        <v>22.942858000000001</v>
      </c>
      <c r="M12">
        <v>26.391428000000001</v>
      </c>
      <c r="N12">
        <v>21.049999</v>
      </c>
      <c r="O12">
        <v>24.795712999999999</v>
      </c>
      <c r="P12">
        <v>24.795712999999999</v>
      </c>
    </row>
    <row r="13" spans="1:17" x14ac:dyDescent="0.25">
      <c r="A13" s="26">
        <v>40483</v>
      </c>
      <c r="B13">
        <v>7.23</v>
      </c>
      <c r="C13">
        <v>7.75</v>
      </c>
      <c r="D13">
        <v>6.94</v>
      </c>
      <c r="E13">
        <v>7.21</v>
      </c>
      <c r="F13">
        <v>6.9367049999999999</v>
      </c>
      <c r="K13" s="26">
        <v>40483</v>
      </c>
      <c r="L13">
        <v>24.85</v>
      </c>
      <c r="M13">
        <v>29.542856</v>
      </c>
      <c r="N13">
        <v>23.367144</v>
      </c>
      <c r="O13">
        <v>29.414286000000001</v>
      </c>
      <c r="P13">
        <v>29.414286000000001</v>
      </c>
    </row>
    <row r="14" spans="1:17" x14ac:dyDescent="0.25">
      <c r="A14" s="26">
        <v>40513</v>
      </c>
      <c r="B14">
        <v>7.37</v>
      </c>
      <c r="C14">
        <v>7.49</v>
      </c>
      <c r="D14">
        <v>6.4</v>
      </c>
      <c r="E14">
        <v>6.51</v>
      </c>
      <c r="F14">
        <v>6.2632399999999997</v>
      </c>
      <c r="G14" s="15">
        <f>AVERAGE(F3:F14)</f>
        <v>6.3843026666666667</v>
      </c>
      <c r="H14" s="15"/>
      <c r="I14" s="15"/>
      <c r="J14" s="15"/>
      <c r="K14" s="26">
        <v>40513</v>
      </c>
      <c r="L14">
        <v>29.688572000000001</v>
      </c>
      <c r="M14">
        <v>29.891428000000001</v>
      </c>
      <c r="N14">
        <v>25.075714000000001</v>
      </c>
      <c r="O14">
        <v>25.1</v>
      </c>
      <c r="P14">
        <v>25.1</v>
      </c>
      <c r="Q14">
        <f>AVERAGE(P3:P14)</f>
        <v>17.454047750000001</v>
      </c>
    </row>
    <row r="15" spans="1:17" x14ac:dyDescent="0.25">
      <c r="A15" s="26">
        <v>40544</v>
      </c>
      <c r="B15">
        <v>6.55</v>
      </c>
      <c r="C15">
        <v>6.87</v>
      </c>
      <c r="D15">
        <v>5.95</v>
      </c>
      <c r="E15">
        <v>6.2</v>
      </c>
      <c r="F15">
        <v>5.9649900000000002</v>
      </c>
      <c r="K15" s="26">
        <v>40544</v>
      </c>
      <c r="L15">
        <v>25</v>
      </c>
      <c r="M15">
        <v>31.142856999999999</v>
      </c>
      <c r="N15">
        <v>24.785715</v>
      </c>
      <c r="O15">
        <v>30.582857000000001</v>
      </c>
      <c r="P15">
        <v>30.582857000000001</v>
      </c>
    </row>
    <row r="16" spans="1:17" x14ac:dyDescent="0.25">
      <c r="A16" s="26">
        <v>40575</v>
      </c>
      <c r="B16">
        <v>6.2</v>
      </c>
      <c r="C16">
        <v>6.38</v>
      </c>
      <c r="D16">
        <v>5.8</v>
      </c>
      <c r="E16">
        <v>6.12</v>
      </c>
      <c r="F16">
        <v>5.8880220000000003</v>
      </c>
      <c r="K16" s="26">
        <v>40575</v>
      </c>
      <c r="L16">
        <v>30.661428000000001</v>
      </c>
      <c r="M16">
        <v>35.364285000000002</v>
      </c>
      <c r="N16">
        <v>29</v>
      </c>
      <c r="O16">
        <v>29.524286</v>
      </c>
      <c r="P16">
        <v>29.524286</v>
      </c>
    </row>
    <row r="17" spans="1:17" x14ac:dyDescent="0.25">
      <c r="A17" s="26">
        <v>40603</v>
      </c>
      <c r="B17">
        <v>6.13</v>
      </c>
      <c r="C17">
        <v>6.4</v>
      </c>
      <c r="D17">
        <v>5.69</v>
      </c>
      <c r="E17">
        <v>6.25</v>
      </c>
      <c r="F17">
        <v>6.0130939999999997</v>
      </c>
      <c r="K17" s="26">
        <v>40603</v>
      </c>
      <c r="L17">
        <v>29.457144</v>
      </c>
      <c r="M17">
        <v>34.595714999999998</v>
      </c>
      <c r="N17">
        <v>26.984285</v>
      </c>
      <c r="O17">
        <v>33.968570999999997</v>
      </c>
      <c r="P17">
        <v>33.968570999999997</v>
      </c>
    </row>
    <row r="18" spans="1:17" x14ac:dyDescent="0.25">
      <c r="A18" s="26">
        <v>40634</v>
      </c>
      <c r="B18">
        <v>6.27</v>
      </c>
      <c r="C18">
        <v>6.75</v>
      </c>
      <c r="D18">
        <v>6.2</v>
      </c>
      <c r="E18">
        <v>6.34</v>
      </c>
      <c r="F18">
        <v>6.0996839999999999</v>
      </c>
      <c r="K18" s="26">
        <v>40634</v>
      </c>
      <c r="L18">
        <v>34.428570000000001</v>
      </c>
      <c r="M18">
        <v>36.425713000000002</v>
      </c>
      <c r="N18">
        <v>32.058571000000001</v>
      </c>
      <c r="O18">
        <v>33.238571</v>
      </c>
      <c r="P18">
        <v>33.238571</v>
      </c>
    </row>
    <row r="19" spans="1:17" x14ac:dyDescent="0.25">
      <c r="A19" s="26">
        <v>40664</v>
      </c>
      <c r="B19">
        <v>6.37</v>
      </c>
      <c r="C19">
        <v>6.39</v>
      </c>
      <c r="D19">
        <v>5.76</v>
      </c>
      <c r="E19">
        <v>5.93</v>
      </c>
      <c r="F19">
        <v>5.7052240000000003</v>
      </c>
      <c r="K19" s="26">
        <v>40664</v>
      </c>
      <c r="L19">
        <v>34.031429000000003</v>
      </c>
      <c r="M19">
        <v>38.685715000000002</v>
      </c>
      <c r="N19">
        <v>32.185715000000002</v>
      </c>
      <c r="O19">
        <v>38.685715000000002</v>
      </c>
      <c r="P19">
        <v>38.685715000000002</v>
      </c>
    </row>
    <row r="20" spans="1:17" x14ac:dyDescent="0.25">
      <c r="A20" s="26">
        <v>40695</v>
      </c>
      <c r="B20">
        <v>6.32</v>
      </c>
      <c r="C20">
        <v>6.68</v>
      </c>
      <c r="D20">
        <v>5.88</v>
      </c>
      <c r="E20">
        <v>6.62</v>
      </c>
      <c r="F20">
        <v>6.3690699999999998</v>
      </c>
      <c r="K20" s="26">
        <v>40695</v>
      </c>
      <c r="L20">
        <v>38.495716000000002</v>
      </c>
      <c r="M20">
        <v>39.671429000000003</v>
      </c>
      <c r="N20">
        <v>34.302855999999998</v>
      </c>
      <c r="O20">
        <v>37.527141999999998</v>
      </c>
      <c r="P20">
        <v>37.527141999999998</v>
      </c>
    </row>
    <row r="21" spans="1:17" x14ac:dyDescent="0.25">
      <c r="A21" s="26">
        <v>40725</v>
      </c>
      <c r="B21">
        <v>6.64</v>
      </c>
      <c r="C21">
        <v>7.21</v>
      </c>
      <c r="D21">
        <v>6.5</v>
      </c>
      <c r="E21">
        <v>7.1</v>
      </c>
      <c r="F21">
        <v>6.8308749999999998</v>
      </c>
      <c r="K21" s="26">
        <v>40725</v>
      </c>
      <c r="L21">
        <v>37.437140999999997</v>
      </c>
      <c r="M21">
        <v>43.541428000000003</v>
      </c>
      <c r="N21">
        <v>35.922854999999998</v>
      </c>
      <c r="O21">
        <v>37.998573</v>
      </c>
      <c r="P21">
        <v>37.998573</v>
      </c>
    </row>
    <row r="22" spans="1:17" x14ac:dyDescent="0.25">
      <c r="A22" s="26">
        <v>40756</v>
      </c>
      <c r="B22">
        <v>7.13</v>
      </c>
      <c r="C22">
        <v>7.58</v>
      </c>
      <c r="D22">
        <v>6.17</v>
      </c>
      <c r="E22">
        <v>6.96</v>
      </c>
      <c r="F22">
        <v>6.6961820000000003</v>
      </c>
      <c r="K22" s="26">
        <v>40756</v>
      </c>
      <c r="L22">
        <v>38.362858000000003</v>
      </c>
      <c r="M22">
        <v>38.5</v>
      </c>
      <c r="N22">
        <v>29.049999</v>
      </c>
      <c r="O22">
        <v>33.572856999999999</v>
      </c>
      <c r="P22">
        <v>33.572856999999999</v>
      </c>
    </row>
    <row r="23" spans="1:17" x14ac:dyDescent="0.25">
      <c r="A23" s="26">
        <v>40787</v>
      </c>
      <c r="B23">
        <v>7.08</v>
      </c>
      <c r="C23">
        <v>7.39</v>
      </c>
      <c r="D23">
        <v>6.38</v>
      </c>
      <c r="E23">
        <v>6.9</v>
      </c>
      <c r="F23">
        <v>6.6384569999999998</v>
      </c>
      <c r="K23" s="26">
        <v>40787</v>
      </c>
      <c r="L23">
        <v>33.504283999999998</v>
      </c>
      <c r="M23">
        <v>34.071429999999999</v>
      </c>
      <c r="N23">
        <v>15.375714</v>
      </c>
      <c r="O23">
        <v>16.181429000000001</v>
      </c>
      <c r="P23">
        <v>16.181429000000001</v>
      </c>
    </row>
    <row r="24" spans="1:17" x14ac:dyDescent="0.25">
      <c r="A24" s="26">
        <v>40817</v>
      </c>
      <c r="B24">
        <v>6.83</v>
      </c>
      <c r="C24">
        <v>8.2799999999999994</v>
      </c>
      <c r="D24">
        <v>6.73</v>
      </c>
      <c r="E24">
        <v>8.2200000000000006</v>
      </c>
      <c r="F24">
        <v>7.9084219999999998</v>
      </c>
      <c r="K24" s="26">
        <v>40817</v>
      </c>
      <c r="L24">
        <v>16.448571999999999</v>
      </c>
      <c r="M24">
        <v>18.357143000000001</v>
      </c>
      <c r="N24">
        <v>10.607142</v>
      </c>
      <c r="O24">
        <v>11.725714999999999</v>
      </c>
      <c r="P24">
        <v>11.725714999999999</v>
      </c>
    </row>
    <row r="25" spans="1:17" x14ac:dyDescent="0.25">
      <c r="A25" s="26">
        <v>40848</v>
      </c>
      <c r="B25">
        <v>8.01</v>
      </c>
      <c r="C25">
        <v>8.84</v>
      </c>
      <c r="D25">
        <v>7.99</v>
      </c>
      <c r="E25">
        <v>8.7899999999999991</v>
      </c>
      <c r="F25">
        <v>8.4568139999999996</v>
      </c>
      <c r="K25" s="26">
        <v>40848</v>
      </c>
      <c r="L25">
        <v>11.444285000000001</v>
      </c>
      <c r="M25">
        <v>13.405714</v>
      </c>
      <c r="N25">
        <v>8.91</v>
      </c>
      <c r="O25">
        <v>9.218572</v>
      </c>
      <c r="P25">
        <v>9.218572</v>
      </c>
    </row>
    <row r="26" spans="1:17" x14ac:dyDescent="0.25">
      <c r="A26" s="26">
        <v>40878</v>
      </c>
      <c r="B26">
        <v>8.7899999999999991</v>
      </c>
      <c r="C26">
        <v>8.8699999999999992</v>
      </c>
      <c r="D26">
        <v>7.97</v>
      </c>
      <c r="E26">
        <v>8.32</v>
      </c>
      <c r="F26">
        <v>8.0046309999999998</v>
      </c>
      <c r="G26" s="15">
        <f>AVERAGE(F15:F26)</f>
        <v>6.7146220833333325</v>
      </c>
      <c r="H26" s="15"/>
      <c r="I26" s="15"/>
      <c r="J26" s="15"/>
      <c r="K26" s="26">
        <v>40878</v>
      </c>
      <c r="L26">
        <v>9.2028569999999998</v>
      </c>
      <c r="M26">
        <v>11.084286000000001</v>
      </c>
      <c r="N26">
        <v>9.1428580000000004</v>
      </c>
      <c r="O26">
        <v>9.8985710000000005</v>
      </c>
      <c r="P26">
        <v>9.8985710000000005</v>
      </c>
      <c r="Q26">
        <f>AVERAGE(P15:P26)</f>
        <v>26.843571583333329</v>
      </c>
    </row>
    <row r="27" spans="1:17" x14ac:dyDescent="0.25">
      <c r="A27" s="26">
        <v>40909</v>
      </c>
      <c r="B27">
        <v>8.3800000000000008</v>
      </c>
      <c r="C27">
        <v>11.28</v>
      </c>
      <c r="D27">
        <v>8.14</v>
      </c>
      <c r="E27">
        <v>10.08</v>
      </c>
      <c r="F27">
        <v>9.6979190000000006</v>
      </c>
      <c r="K27" s="26">
        <v>40909</v>
      </c>
      <c r="L27">
        <v>10.039999999999999</v>
      </c>
      <c r="M27">
        <v>18.497143000000001</v>
      </c>
      <c r="N27">
        <v>10.018572000000001</v>
      </c>
      <c r="O27">
        <v>17.171429</v>
      </c>
      <c r="P27">
        <v>17.171429</v>
      </c>
    </row>
    <row r="28" spans="1:17" x14ac:dyDescent="0.25">
      <c r="A28" s="26">
        <v>40940</v>
      </c>
      <c r="B28">
        <v>10.09</v>
      </c>
      <c r="C28">
        <v>14.46</v>
      </c>
      <c r="D28">
        <v>10.039999999999999</v>
      </c>
      <c r="E28">
        <v>13.68</v>
      </c>
      <c r="F28">
        <v>13.161460999999999</v>
      </c>
      <c r="K28" s="26">
        <v>40940</v>
      </c>
      <c r="L28">
        <v>17.344286</v>
      </c>
      <c r="M28">
        <v>19.061427999999999</v>
      </c>
      <c r="N28">
        <v>15.234285</v>
      </c>
      <c r="O28">
        <v>15.818571</v>
      </c>
      <c r="P28">
        <v>15.818571</v>
      </c>
    </row>
    <row r="29" spans="1:17" x14ac:dyDescent="0.25">
      <c r="A29" s="26">
        <v>40969</v>
      </c>
      <c r="B29">
        <v>13.8</v>
      </c>
      <c r="C29">
        <v>16.190000999999999</v>
      </c>
      <c r="D29">
        <v>13.13</v>
      </c>
      <c r="E29">
        <v>13.92</v>
      </c>
      <c r="F29">
        <v>13.392364000000001</v>
      </c>
      <c r="K29" s="26">
        <v>40969</v>
      </c>
      <c r="L29">
        <v>15.585713999999999</v>
      </c>
      <c r="M29">
        <v>17.639999</v>
      </c>
      <c r="N29">
        <v>14.647142000000001</v>
      </c>
      <c r="O29">
        <v>16.434286</v>
      </c>
      <c r="P29">
        <v>16.434286</v>
      </c>
    </row>
    <row r="30" spans="1:17" x14ac:dyDescent="0.25">
      <c r="A30" s="26">
        <v>41000</v>
      </c>
      <c r="B30">
        <v>13.8</v>
      </c>
      <c r="C30">
        <v>13.83</v>
      </c>
      <c r="D30">
        <v>11.46</v>
      </c>
      <c r="E30">
        <v>12.23</v>
      </c>
      <c r="F30">
        <v>11.766423</v>
      </c>
      <c r="K30" s="26">
        <v>41000</v>
      </c>
      <c r="L30">
        <v>16.399999999999999</v>
      </c>
      <c r="M30">
        <v>16.399999999999999</v>
      </c>
      <c r="N30">
        <v>11.394285999999999</v>
      </c>
      <c r="O30">
        <v>11.448570999999999</v>
      </c>
      <c r="P30">
        <v>11.448570999999999</v>
      </c>
    </row>
    <row r="31" spans="1:17" x14ac:dyDescent="0.25">
      <c r="A31" s="26">
        <v>41030</v>
      </c>
      <c r="B31">
        <v>12.19</v>
      </c>
      <c r="C31">
        <v>13.5</v>
      </c>
      <c r="D31">
        <v>11.26</v>
      </c>
      <c r="E31">
        <v>13.32</v>
      </c>
      <c r="F31">
        <v>12.815106</v>
      </c>
      <c r="K31" s="26">
        <v>41030</v>
      </c>
      <c r="L31">
        <v>11.47</v>
      </c>
      <c r="M31">
        <v>11.854285000000001</v>
      </c>
      <c r="N31">
        <v>8.91</v>
      </c>
      <c r="O31">
        <v>9.0628569999999993</v>
      </c>
      <c r="P31">
        <v>9.0628569999999993</v>
      </c>
    </row>
    <row r="32" spans="1:17" x14ac:dyDescent="0.25">
      <c r="A32" s="26">
        <v>41061</v>
      </c>
      <c r="B32">
        <v>13.16</v>
      </c>
      <c r="C32">
        <v>15.05</v>
      </c>
      <c r="D32">
        <v>11.63</v>
      </c>
      <c r="E32">
        <v>14.74</v>
      </c>
      <c r="F32">
        <v>14.181281999999999</v>
      </c>
      <c r="K32" s="26">
        <v>41061</v>
      </c>
      <c r="L32">
        <v>8.7071430000000003</v>
      </c>
      <c r="M32">
        <v>10.068571</v>
      </c>
      <c r="N32">
        <v>8.6714289999999998</v>
      </c>
      <c r="O32">
        <v>9.7842859999999998</v>
      </c>
      <c r="P32">
        <v>9.7842859999999998</v>
      </c>
    </row>
    <row r="33" spans="1:17" x14ac:dyDescent="0.25">
      <c r="A33" s="26">
        <v>41091</v>
      </c>
      <c r="B33">
        <v>14.8</v>
      </c>
      <c r="C33">
        <v>14.99</v>
      </c>
      <c r="D33">
        <v>13.44</v>
      </c>
      <c r="E33">
        <v>13.45</v>
      </c>
      <c r="F33">
        <v>12.940175999999999</v>
      </c>
      <c r="K33" s="26">
        <v>41091</v>
      </c>
      <c r="L33">
        <v>9.8242860000000007</v>
      </c>
      <c r="M33">
        <v>12.378572</v>
      </c>
      <c r="N33">
        <v>8.02</v>
      </c>
      <c r="O33">
        <v>8.1214279999999999</v>
      </c>
      <c r="P33">
        <v>8.1214279999999999</v>
      </c>
    </row>
    <row r="34" spans="1:17" x14ac:dyDescent="0.25">
      <c r="A34" s="26">
        <v>41122</v>
      </c>
      <c r="B34">
        <v>13.46</v>
      </c>
      <c r="C34">
        <v>14.96</v>
      </c>
      <c r="D34">
        <v>12.75</v>
      </c>
      <c r="E34">
        <v>14.78</v>
      </c>
      <c r="F34">
        <v>14.219765000000001</v>
      </c>
      <c r="K34" s="26">
        <v>41122</v>
      </c>
      <c r="L34">
        <v>8.2042859999999997</v>
      </c>
      <c r="M34">
        <v>9.5214280000000002</v>
      </c>
      <c r="N34">
        <v>7.5442859999999996</v>
      </c>
      <c r="O34">
        <v>8.531428</v>
      </c>
      <c r="P34">
        <v>8.531428</v>
      </c>
    </row>
    <row r="35" spans="1:17" x14ac:dyDescent="0.25">
      <c r="A35" s="26">
        <v>41153</v>
      </c>
      <c r="B35">
        <v>14.85</v>
      </c>
      <c r="C35">
        <v>15.97</v>
      </c>
      <c r="D35">
        <v>14.56</v>
      </c>
      <c r="E35">
        <v>15.27</v>
      </c>
      <c r="F35">
        <v>14.691193999999999</v>
      </c>
      <c r="K35" s="26">
        <v>41153</v>
      </c>
      <c r="L35">
        <v>8.2857140000000005</v>
      </c>
      <c r="M35">
        <v>8.7742850000000008</v>
      </c>
      <c r="N35">
        <v>7.5785710000000002</v>
      </c>
      <c r="O35">
        <v>7.7771429999999997</v>
      </c>
      <c r="P35">
        <v>7.7771429999999997</v>
      </c>
    </row>
    <row r="36" spans="1:17" x14ac:dyDescent="0.25">
      <c r="A36" s="26">
        <v>41183</v>
      </c>
      <c r="B36">
        <v>15.29</v>
      </c>
      <c r="C36">
        <v>16.700001</v>
      </c>
      <c r="D36">
        <v>14.87</v>
      </c>
      <c r="E36">
        <v>16.68</v>
      </c>
      <c r="F36">
        <v>16.047747000000001</v>
      </c>
      <c r="K36" s="26">
        <v>41183</v>
      </c>
      <c r="L36">
        <v>7.8</v>
      </c>
      <c r="M36">
        <v>12.135714999999999</v>
      </c>
      <c r="N36">
        <v>7.7628570000000003</v>
      </c>
      <c r="O36">
        <v>11.32</v>
      </c>
      <c r="P36">
        <v>11.32</v>
      </c>
    </row>
    <row r="37" spans="1:17" x14ac:dyDescent="0.25">
      <c r="A37" s="26">
        <v>41214</v>
      </c>
      <c r="B37">
        <v>16.579999999999998</v>
      </c>
      <c r="C37">
        <v>17.02</v>
      </c>
      <c r="D37">
        <v>14.58</v>
      </c>
      <c r="E37">
        <v>16.379999000000002</v>
      </c>
      <c r="F37">
        <v>15.759119</v>
      </c>
      <c r="K37" s="26">
        <v>41214</v>
      </c>
      <c r="L37">
        <v>11.121428</v>
      </c>
      <c r="M37">
        <v>12.08</v>
      </c>
      <c r="N37">
        <v>10.642858</v>
      </c>
      <c r="O37">
        <v>11.672857</v>
      </c>
      <c r="P37">
        <v>11.672857</v>
      </c>
    </row>
    <row r="38" spans="1:17" x14ac:dyDescent="0.25">
      <c r="A38" s="26">
        <v>41244</v>
      </c>
      <c r="B38">
        <v>16.600000000000001</v>
      </c>
      <c r="C38">
        <v>16.809999000000001</v>
      </c>
      <c r="D38">
        <v>15.26</v>
      </c>
      <c r="E38">
        <v>16.399999999999999</v>
      </c>
      <c r="F38">
        <v>15.778361</v>
      </c>
      <c r="G38" s="15">
        <f>AVERAGE(F27:F38)</f>
        <v>13.704243083333331</v>
      </c>
      <c r="H38" s="15"/>
      <c r="I38" s="15"/>
      <c r="J38" s="15"/>
      <c r="K38" s="26">
        <v>41244</v>
      </c>
      <c r="L38">
        <v>11.692857</v>
      </c>
      <c r="M38">
        <v>13.971429000000001</v>
      </c>
      <c r="N38">
        <v>10.642858</v>
      </c>
      <c r="O38">
        <v>13.227143</v>
      </c>
      <c r="P38">
        <v>13.227143</v>
      </c>
      <c r="Q38">
        <f>AVERAGE(P27:P38)</f>
        <v>11.697499916666667</v>
      </c>
    </row>
    <row r="39" spans="1:17" x14ac:dyDescent="0.25">
      <c r="A39" s="26">
        <v>41275</v>
      </c>
      <c r="B39">
        <v>16.709999</v>
      </c>
      <c r="C39">
        <v>18.510000000000002</v>
      </c>
      <c r="D39">
        <v>16.709999</v>
      </c>
      <c r="E39">
        <v>18.32</v>
      </c>
      <c r="F39">
        <v>17.625584</v>
      </c>
      <c r="K39" s="26">
        <v>41275</v>
      </c>
      <c r="L39">
        <v>13.601429</v>
      </c>
      <c r="M39">
        <v>25.321428000000001</v>
      </c>
      <c r="N39">
        <v>12.955714</v>
      </c>
      <c r="O39">
        <v>23.605715</v>
      </c>
      <c r="P39">
        <v>23.605715</v>
      </c>
    </row>
    <row r="40" spans="1:17" x14ac:dyDescent="0.25">
      <c r="A40" s="26">
        <v>41306</v>
      </c>
      <c r="B40">
        <v>18.41</v>
      </c>
      <c r="C40">
        <v>21.18</v>
      </c>
      <c r="D40">
        <v>18.41</v>
      </c>
      <c r="E40">
        <v>20.969999000000001</v>
      </c>
      <c r="F40">
        <v>20.175131</v>
      </c>
      <c r="K40" s="26">
        <v>41306</v>
      </c>
      <c r="L40">
        <v>24.285715</v>
      </c>
      <c r="M40">
        <v>28.231428000000001</v>
      </c>
      <c r="N40">
        <v>23.254286</v>
      </c>
      <c r="O40">
        <v>26.868572</v>
      </c>
      <c r="P40">
        <v>26.868572</v>
      </c>
    </row>
    <row r="41" spans="1:17" x14ac:dyDescent="0.25">
      <c r="A41" s="26">
        <v>41334</v>
      </c>
      <c r="B41">
        <v>20.799999</v>
      </c>
      <c r="C41">
        <v>24.15</v>
      </c>
      <c r="D41">
        <v>20.799999</v>
      </c>
      <c r="E41">
        <v>23.77</v>
      </c>
      <c r="F41">
        <v>22.868998999999999</v>
      </c>
      <c r="K41" s="26">
        <v>41334</v>
      </c>
      <c r="L41">
        <v>26.73</v>
      </c>
      <c r="M41">
        <v>28.151427999999999</v>
      </c>
      <c r="N41">
        <v>25.165714000000001</v>
      </c>
      <c r="O41">
        <v>27.040001</v>
      </c>
      <c r="P41">
        <v>27.040001</v>
      </c>
    </row>
    <row r="42" spans="1:17" x14ac:dyDescent="0.25">
      <c r="A42" s="26">
        <v>41365</v>
      </c>
      <c r="B42">
        <v>23.790001</v>
      </c>
      <c r="C42">
        <v>25.35</v>
      </c>
      <c r="D42">
        <v>22.25</v>
      </c>
      <c r="E42">
        <v>24.809999000000001</v>
      </c>
      <c r="F42">
        <v>23.869577</v>
      </c>
      <c r="K42" s="26">
        <v>41365</v>
      </c>
      <c r="L42">
        <v>27.278572</v>
      </c>
      <c r="M42">
        <v>32.042858000000003</v>
      </c>
      <c r="N42">
        <v>22.714285</v>
      </c>
      <c r="O42">
        <v>30.867144</v>
      </c>
      <c r="P42">
        <v>30.867144</v>
      </c>
    </row>
    <row r="43" spans="1:17" x14ac:dyDescent="0.25">
      <c r="A43" s="26">
        <v>41395</v>
      </c>
      <c r="B43">
        <v>24.67</v>
      </c>
      <c r="C43">
        <v>30.57</v>
      </c>
      <c r="D43">
        <v>24.67</v>
      </c>
      <c r="E43">
        <v>28.799999</v>
      </c>
      <c r="F43">
        <v>27.708338000000001</v>
      </c>
      <c r="K43" s="26">
        <v>41395</v>
      </c>
      <c r="L43">
        <v>30.845714999999998</v>
      </c>
      <c r="M43">
        <v>35.549999</v>
      </c>
      <c r="N43">
        <v>29.145714000000002</v>
      </c>
      <c r="O43">
        <v>32.321429999999999</v>
      </c>
      <c r="P43">
        <v>32.321429999999999</v>
      </c>
    </row>
    <row r="44" spans="1:17" x14ac:dyDescent="0.25">
      <c r="A44" s="26">
        <v>41426</v>
      </c>
      <c r="B44">
        <v>29.02</v>
      </c>
      <c r="C44">
        <v>29.549999</v>
      </c>
      <c r="D44">
        <v>26.559999000000001</v>
      </c>
      <c r="E44">
        <v>27.469999000000001</v>
      </c>
      <c r="F44">
        <v>26.428750999999998</v>
      </c>
      <c r="K44" s="26">
        <v>41426</v>
      </c>
      <c r="L44">
        <v>32.435715000000002</v>
      </c>
      <c r="M44">
        <v>33.697144000000002</v>
      </c>
      <c r="N44">
        <v>29.392856999999999</v>
      </c>
      <c r="O44">
        <v>30.155714</v>
      </c>
      <c r="P44">
        <v>30.155714</v>
      </c>
    </row>
    <row r="45" spans="1:17" x14ac:dyDescent="0.25">
      <c r="A45" s="26">
        <v>41456</v>
      </c>
      <c r="B45">
        <v>27.77</v>
      </c>
      <c r="C45">
        <v>33.349997999999999</v>
      </c>
      <c r="D45">
        <v>27.66</v>
      </c>
      <c r="E45">
        <v>32.529998999999997</v>
      </c>
      <c r="F45">
        <v>31.296949000000001</v>
      </c>
      <c r="K45" s="26">
        <v>41456</v>
      </c>
      <c r="L45">
        <v>30.517143000000001</v>
      </c>
      <c r="M45">
        <v>38.615715000000002</v>
      </c>
      <c r="N45">
        <v>30.285715</v>
      </c>
      <c r="O45">
        <v>34.925713000000002</v>
      </c>
      <c r="P45">
        <v>34.925713000000002</v>
      </c>
    </row>
    <row r="46" spans="1:17" x14ac:dyDescent="0.25">
      <c r="A46" s="26">
        <v>41487</v>
      </c>
      <c r="B46">
        <v>32.790000999999997</v>
      </c>
      <c r="C46">
        <v>36.25</v>
      </c>
      <c r="D46">
        <v>32.770000000000003</v>
      </c>
      <c r="E46">
        <v>35.009998000000003</v>
      </c>
      <c r="F46">
        <v>33.682949000000001</v>
      </c>
      <c r="K46" s="26">
        <v>41487</v>
      </c>
      <c r="L46">
        <v>35.220001000000003</v>
      </c>
      <c r="M46">
        <v>41.46143</v>
      </c>
      <c r="N46">
        <v>34.482857000000003</v>
      </c>
      <c r="O46">
        <v>40.558571000000001</v>
      </c>
      <c r="P46">
        <v>40.558571000000001</v>
      </c>
    </row>
    <row r="47" spans="1:17" x14ac:dyDescent="0.25">
      <c r="A47" s="26">
        <v>41518</v>
      </c>
      <c r="B47">
        <v>35.619999</v>
      </c>
      <c r="C47">
        <v>37.810001</v>
      </c>
      <c r="D47">
        <v>33.130001</v>
      </c>
      <c r="E47">
        <v>35.049999</v>
      </c>
      <c r="F47">
        <v>33.721432</v>
      </c>
      <c r="K47" s="26">
        <v>41518</v>
      </c>
      <c r="L47">
        <v>41.061427999999999</v>
      </c>
      <c r="M47">
        <v>45.77</v>
      </c>
      <c r="N47">
        <v>40.650002000000001</v>
      </c>
      <c r="O47">
        <v>44.172854999999998</v>
      </c>
      <c r="P47">
        <v>44.172854999999998</v>
      </c>
    </row>
    <row r="48" spans="1:17" x14ac:dyDescent="0.25">
      <c r="A48" s="26">
        <v>41548</v>
      </c>
      <c r="B48">
        <v>35</v>
      </c>
      <c r="C48">
        <v>37.75</v>
      </c>
      <c r="D48">
        <v>33.740001999999997</v>
      </c>
      <c r="E48">
        <v>34.580002</v>
      </c>
      <c r="F48">
        <v>33.269249000000002</v>
      </c>
      <c r="K48" s="26">
        <v>41548</v>
      </c>
      <c r="L48">
        <v>44.967143999999998</v>
      </c>
      <c r="M48">
        <v>55.594284000000002</v>
      </c>
      <c r="N48">
        <v>40.400002000000001</v>
      </c>
      <c r="O48">
        <v>46.068573000000001</v>
      </c>
      <c r="P48">
        <v>46.068573000000001</v>
      </c>
    </row>
    <row r="49" spans="1:17" x14ac:dyDescent="0.25">
      <c r="A49" s="26">
        <v>41579</v>
      </c>
      <c r="B49">
        <v>34.900002000000001</v>
      </c>
      <c r="C49">
        <v>35.290000999999997</v>
      </c>
      <c r="D49">
        <v>29.99</v>
      </c>
      <c r="E49">
        <v>31.639999</v>
      </c>
      <c r="F49">
        <v>30.440688999999999</v>
      </c>
      <c r="K49" s="26">
        <v>41579</v>
      </c>
      <c r="L49">
        <v>46.975715999999998</v>
      </c>
      <c r="M49">
        <v>52.542858000000003</v>
      </c>
      <c r="N49">
        <v>46.450001</v>
      </c>
      <c r="O49">
        <v>52.257140999999997</v>
      </c>
      <c r="P49">
        <v>52.257140999999997</v>
      </c>
    </row>
    <row r="50" spans="1:17" x14ac:dyDescent="0.25">
      <c r="A50" s="26">
        <v>41609</v>
      </c>
      <c r="B50">
        <v>32</v>
      </c>
      <c r="C50">
        <v>33.369999</v>
      </c>
      <c r="D50">
        <v>27.93</v>
      </c>
      <c r="E50">
        <v>31.66</v>
      </c>
      <c r="F50">
        <v>30.45993</v>
      </c>
      <c r="G50" s="15">
        <f>AVERAGE(F39:F50)</f>
        <v>27.628964833333338</v>
      </c>
      <c r="H50" s="15"/>
      <c r="I50" s="15"/>
      <c r="J50" s="15"/>
      <c r="K50" s="26">
        <v>41609</v>
      </c>
      <c r="L50">
        <v>52.125712999999998</v>
      </c>
      <c r="M50">
        <v>54.851429000000003</v>
      </c>
      <c r="N50">
        <v>50.285713000000001</v>
      </c>
      <c r="O50">
        <v>52.595714999999998</v>
      </c>
      <c r="P50">
        <v>52.595714999999998</v>
      </c>
      <c r="Q50">
        <f>AVERAGE(P39:P50)</f>
        <v>36.786428666666666</v>
      </c>
    </row>
    <row r="51" spans="1:17" x14ac:dyDescent="0.25">
      <c r="A51" s="26">
        <v>41640</v>
      </c>
      <c r="B51">
        <v>31.5</v>
      </c>
      <c r="C51">
        <v>32.549999</v>
      </c>
      <c r="D51">
        <v>29.33</v>
      </c>
      <c r="E51">
        <v>32.330002</v>
      </c>
      <c r="F51">
        <v>31.154108000000001</v>
      </c>
      <c r="K51" s="26">
        <v>41640</v>
      </c>
      <c r="L51">
        <v>52.401428000000003</v>
      </c>
      <c r="M51">
        <v>58.914287999999999</v>
      </c>
      <c r="N51">
        <v>45.581429</v>
      </c>
      <c r="O51">
        <v>58.475715999999998</v>
      </c>
      <c r="P51">
        <v>58.475715999999998</v>
      </c>
    </row>
    <row r="52" spans="1:17" x14ac:dyDescent="0.25">
      <c r="A52" s="26">
        <v>41671</v>
      </c>
      <c r="B52">
        <v>32.360000999999997</v>
      </c>
      <c r="C52">
        <v>33.990001999999997</v>
      </c>
      <c r="D52">
        <v>29.780000999999999</v>
      </c>
      <c r="E52">
        <v>30.75</v>
      </c>
      <c r="F52">
        <v>29.631577</v>
      </c>
      <c r="K52" s="26">
        <v>41671</v>
      </c>
      <c r="L52">
        <v>58.842857000000002</v>
      </c>
      <c r="M52">
        <v>65.398574999999994</v>
      </c>
      <c r="N52">
        <v>56.715713999999998</v>
      </c>
      <c r="O52">
        <v>63.661430000000003</v>
      </c>
      <c r="P52">
        <v>63.661430000000003</v>
      </c>
    </row>
    <row r="53" spans="1:17" x14ac:dyDescent="0.25">
      <c r="A53" s="26">
        <v>41699</v>
      </c>
      <c r="B53">
        <v>30.16</v>
      </c>
      <c r="C53">
        <v>33.590000000000003</v>
      </c>
      <c r="D53">
        <v>24.540001</v>
      </c>
      <c r="E53">
        <v>26.73</v>
      </c>
      <c r="F53">
        <v>25.75779</v>
      </c>
      <c r="K53" s="26">
        <v>41699</v>
      </c>
      <c r="L53">
        <v>63.027141999999998</v>
      </c>
      <c r="M53">
        <v>65.428573999999998</v>
      </c>
      <c r="N53">
        <v>49.982857000000003</v>
      </c>
      <c r="O53">
        <v>50.290000999999997</v>
      </c>
      <c r="P53">
        <v>50.290000999999997</v>
      </c>
    </row>
    <row r="54" spans="1:17" x14ac:dyDescent="0.25">
      <c r="A54" s="26">
        <v>41730</v>
      </c>
      <c r="B54">
        <v>27.440000999999999</v>
      </c>
      <c r="C54">
        <v>28.440000999999999</v>
      </c>
      <c r="D54">
        <v>25.059999000000001</v>
      </c>
      <c r="E54">
        <v>26.530000999999999</v>
      </c>
      <c r="F54">
        <v>25.614763</v>
      </c>
      <c r="K54" s="26">
        <v>41730</v>
      </c>
      <c r="L54">
        <v>50.25</v>
      </c>
      <c r="M54">
        <v>54.411430000000003</v>
      </c>
      <c r="N54">
        <v>42.785713000000001</v>
      </c>
      <c r="O54">
        <v>46.005713999999998</v>
      </c>
      <c r="P54">
        <v>46.005713999999998</v>
      </c>
    </row>
    <row r="55" spans="1:17" x14ac:dyDescent="0.25">
      <c r="A55" s="26">
        <v>41760</v>
      </c>
      <c r="B55">
        <v>26.52</v>
      </c>
      <c r="C55">
        <v>29.82</v>
      </c>
      <c r="D55">
        <v>24.799999</v>
      </c>
      <c r="E55">
        <v>26.129999000000002</v>
      </c>
      <c r="F55">
        <v>25.228559000000001</v>
      </c>
      <c r="K55" s="26">
        <v>41760</v>
      </c>
      <c r="L55">
        <v>46.292858000000003</v>
      </c>
      <c r="M55">
        <v>60.248573</v>
      </c>
      <c r="N55">
        <v>44.908572999999997</v>
      </c>
      <c r="O55">
        <v>59.689999</v>
      </c>
      <c r="P55">
        <v>59.689999</v>
      </c>
    </row>
    <row r="56" spans="1:17" x14ac:dyDescent="0.25">
      <c r="A56" s="26">
        <v>41791</v>
      </c>
      <c r="B56">
        <v>26.27</v>
      </c>
      <c r="C56">
        <v>28.75</v>
      </c>
      <c r="D56">
        <v>26.049999</v>
      </c>
      <c r="E56">
        <v>28.58</v>
      </c>
      <c r="F56">
        <v>27.594045999999999</v>
      </c>
      <c r="K56" s="26">
        <v>41791</v>
      </c>
      <c r="L56">
        <v>59.925713000000002</v>
      </c>
      <c r="M56">
        <v>64.402855000000002</v>
      </c>
      <c r="N56">
        <v>58.928570000000001</v>
      </c>
      <c r="O56">
        <v>62.942855999999999</v>
      </c>
      <c r="P56">
        <v>62.942855999999999</v>
      </c>
    </row>
    <row r="57" spans="1:17" x14ac:dyDescent="0.25">
      <c r="A57" s="26">
        <v>41821</v>
      </c>
      <c r="B57">
        <v>28.58</v>
      </c>
      <c r="C57">
        <v>32.459999000000003</v>
      </c>
      <c r="D57">
        <v>27.459999</v>
      </c>
      <c r="E57">
        <v>30.799999</v>
      </c>
      <c r="F57">
        <v>29.790520000000001</v>
      </c>
      <c r="K57" s="26">
        <v>41821</v>
      </c>
      <c r="L57">
        <v>65.175713000000002</v>
      </c>
      <c r="M57">
        <v>67.981430000000003</v>
      </c>
      <c r="N57">
        <v>59.78857</v>
      </c>
      <c r="O57">
        <v>60.388573000000001</v>
      </c>
      <c r="P57">
        <v>60.388573000000001</v>
      </c>
    </row>
    <row r="58" spans="1:17" x14ac:dyDescent="0.25">
      <c r="A58" s="26">
        <v>41852</v>
      </c>
      <c r="B58">
        <v>30.559999000000001</v>
      </c>
      <c r="C58">
        <v>33.090000000000003</v>
      </c>
      <c r="D58">
        <v>30.190000999999999</v>
      </c>
      <c r="E58">
        <v>32.409999999999997</v>
      </c>
      <c r="F58">
        <v>31.347753999999998</v>
      </c>
      <c r="K58" s="26">
        <v>41852</v>
      </c>
      <c r="L58">
        <v>60.251427</v>
      </c>
      <c r="M58">
        <v>69.328575000000001</v>
      </c>
      <c r="N58">
        <v>58.93</v>
      </c>
      <c r="O58">
        <v>68.234283000000005</v>
      </c>
      <c r="P58">
        <v>68.234283000000005</v>
      </c>
    </row>
    <row r="59" spans="1:17" x14ac:dyDescent="0.25">
      <c r="A59" s="26">
        <v>41883</v>
      </c>
      <c r="B59">
        <v>32.57</v>
      </c>
      <c r="C59">
        <v>34.150002000000001</v>
      </c>
      <c r="D59">
        <v>30.74</v>
      </c>
      <c r="E59">
        <v>32.970001000000003</v>
      </c>
      <c r="F59">
        <v>31.889399000000001</v>
      </c>
      <c r="K59" s="26">
        <v>41883</v>
      </c>
      <c r="L59">
        <v>68.357140000000001</v>
      </c>
      <c r="M59">
        <v>69.898574999999994</v>
      </c>
      <c r="N59">
        <v>62.697144000000002</v>
      </c>
      <c r="O59">
        <v>64.454284999999999</v>
      </c>
      <c r="P59">
        <v>64.454284999999999</v>
      </c>
    </row>
    <row r="60" spans="1:17" x14ac:dyDescent="0.25">
      <c r="A60" s="26">
        <v>41913</v>
      </c>
      <c r="B60">
        <v>32.93</v>
      </c>
      <c r="C60">
        <v>34.169998</v>
      </c>
      <c r="D60">
        <v>29</v>
      </c>
      <c r="E60">
        <v>33.130001</v>
      </c>
      <c r="F60">
        <v>32.116489000000001</v>
      </c>
      <c r="K60" s="26">
        <v>41913</v>
      </c>
      <c r="L60">
        <v>64.098572000000004</v>
      </c>
      <c r="M60">
        <v>66.855712999999994</v>
      </c>
      <c r="N60">
        <v>47.285713000000001</v>
      </c>
      <c r="O60">
        <v>56.110000999999997</v>
      </c>
      <c r="P60">
        <v>56.110000999999997</v>
      </c>
    </row>
    <row r="61" spans="1:17" x14ac:dyDescent="0.25">
      <c r="A61" s="26">
        <v>41944</v>
      </c>
      <c r="B61">
        <v>33.25</v>
      </c>
      <c r="C61">
        <v>35.740001999999997</v>
      </c>
      <c r="D61">
        <v>31.4</v>
      </c>
      <c r="E61">
        <v>33.900002000000001</v>
      </c>
      <c r="F61">
        <v>32.862934000000003</v>
      </c>
      <c r="K61" s="26">
        <v>41944</v>
      </c>
      <c r="L61">
        <v>56.175713000000002</v>
      </c>
      <c r="M61">
        <v>56.502856999999999</v>
      </c>
      <c r="N61">
        <v>49.142856999999999</v>
      </c>
      <c r="O61">
        <v>49.512855999999999</v>
      </c>
      <c r="P61">
        <v>49.512855999999999</v>
      </c>
    </row>
    <row r="62" spans="1:17" x14ac:dyDescent="0.25">
      <c r="A62" s="26">
        <v>41974</v>
      </c>
      <c r="B62">
        <v>34.43</v>
      </c>
      <c r="C62">
        <v>35.75</v>
      </c>
      <c r="D62">
        <v>30.34</v>
      </c>
      <c r="E62">
        <v>32.020000000000003</v>
      </c>
      <c r="F62">
        <v>31.040447</v>
      </c>
      <c r="G62" s="15">
        <f>AVERAGE(F51:F62)</f>
        <v>29.502365500000007</v>
      </c>
      <c r="H62" s="15"/>
      <c r="I62" s="15"/>
      <c r="J62" s="15"/>
      <c r="K62" s="26">
        <v>41974</v>
      </c>
      <c r="L62">
        <v>49.285713000000001</v>
      </c>
      <c r="M62">
        <v>51.135714999999998</v>
      </c>
      <c r="N62">
        <v>45.077145000000002</v>
      </c>
      <c r="O62">
        <v>48.801430000000003</v>
      </c>
      <c r="P62">
        <v>48.801430000000003</v>
      </c>
      <c r="Q62">
        <f>AVERAGE(P51:P62)</f>
        <v>57.380595333333339</v>
      </c>
    </row>
    <row r="63" spans="1:17" x14ac:dyDescent="0.25">
      <c r="A63" s="26">
        <v>42005</v>
      </c>
      <c r="B63">
        <v>32.150002000000001</v>
      </c>
      <c r="C63">
        <v>32.349997999999999</v>
      </c>
      <c r="D63">
        <v>28</v>
      </c>
      <c r="E63">
        <v>28.73</v>
      </c>
      <c r="F63">
        <v>27.911266000000001</v>
      </c>
      <c r="K63" s="26">
        <v>42005</v>
      </c>
      <c r="L63">
        <v>49.151428000000003</v>
      </c>
      <c r="M63">
        <v>65.339995999999999</v>
      </c>
      <c r="N63">
        <v>45.264285999999998</v>
      </c>
      <c r="O63">
        <v>63.114285000000002</v>
      </c>
      <c r="P63">
        <v>63.114285000000002</v>
      </c>
    </row>
    <row r="64" spans="1:17" x14ac:dyDescent="0.25">
      <c r="A64" s="26">
        <v>42036</v>
      </c>
      <c r="B64">
        <v>28.700001</v>
      </c>
      <c r="C64">
        <v>33.049999</v>
      </c>
      <c r="D64">
        <v>27.549999</v>
      </c>
      <c r="E64">
        <v>32.590000000000003</v>
      </c>
      <c r="F64">
        <v>31.661266000000001</v>
      </c>
      <c r="K64" s="26">
        <v>42036</v>
      </c>
      <c r="L64">
        <v>62.842857000000002</v>
      </c>
      <c r="M64">
        <v>69.5</v>
      </c>
      <c r="N64">
        <v>61.955714999999998</v>
      </c>
      <c r="O64">
        <v>67.844284000000002</v>
      </c>
      <c r="P64">
        <v>67.844284000000002</v>
      </c>
    </row>
    <row r="65" spans="1:17" x14ac:dyDescent="0.25">
      <c r="A65" s="26">
        <v>42064</v>
      </c>
      <c r="B65">
        <v>32.459999000000003</v>
      </c>
      <c r="C65">
        <v>34.869999</v>
      </c>
      <c r="D65">
        <v>31.950001</v>
      </c>
      <c r="E65">
        <v>33.919998</v>
      </c>
      <c r="F65">
        <v>32.953364999999998</v>
      </c>
      <c r="K65" s="26">
        <v>42064</v>
      </c>
      <c r="L65">
        <v>67.714286999999999</v>
      </c>
      <c r="M65">
        <v>68.607140000000001</v>
      </c>
      <c r="N65">
        <v>58.572856999999999</v>
      </c>
      <c r="O65">
        <v>59.527141999999998</v>
      </c>
      <c r="P65">
        <v>59.527141999999998</v>
      </c>
    </row>
    <row r="66" spans="1:17" x14ac:dyDescent="0.25">
      <c r="A66" s="26">
        <v>42095</v>
      </c>
      <c r="B66">
        <v>33.900002000000001</v>
      </c>
      <c r="C66">
        <v>34.380001</v>
      </c>
      <c r="D66">
        <v>30.709999</v>
      </c>
      <c r="E66">
        <v>31.01</v>
      </c>
      <c r="F66">
        <v>30.189927999999998</v>
      </c>
      <c r="K66" s="26">
        <v>42095</v>
      </c>
      <c r="L66">
        <v>59.642856999999999</v>
      </c>
      <c r="M66">
        <v>82.304282999999998</v>
      </c>
      <c r="N66">
        <v>58.464286999999999</v>
      </c>
      <c r="O66">
        <v>79.5</v>
      </c>
      <c r="P66">
        <v>79.5</v>
      </c>
    </row>
    <row r="67" spans="1:17" x14ac:dyDescent="0.25">
      <c r="A67" s="26">
        <v>42125</v>
      </c>
      <c r="B67">
        <v>31.059999000000001</v>
      </c>
      <c r="C67">
        <v>33.729999999999997</v>
      </c>
      <c r="D67">
        <v>30.27</v>
      </c>
      <c r="E67">
        <v>33.090000000000003</v>
      </c>
      <c r="F67">
        <v>32.214924000000003</v>
      </c>
      <c r="K67" s="26">
        <v>42125</v>
      </c>
      <c r="L67">
        <v>79.855712999999994</v>
      </c>
      <c r="M67">
        <v>90.205710999999994</v>
      </c>
      <c r="N67">
        <v>78.894287000000006</v>
      </c>
      <c r="O67">
        <v>89.151427999999996</v>
      </c>
      <c r="P67">
        <v>89.151427999999996</v>
      </c>
    </row>
    <row r="68" spans="1:17" x14ac:dyDescent="0.25">
      <c r="A68" s="26">
        <v>42156</v>
      </c>
      <c r="B68">
        <v>33.090000000000003</v>
      </c>
      <c r="C68">
        <v>38.25</v>
      </c>
      <c r="D68">
        <v>32.790000999999997</v>
      </c>
      <c r="E68">
        <v>37.049999</v>
      </c>
      <c r="F68">
        <v>36.070197999999998</v>
      </c>
      <c r="K68" s="26">
        <v>42156</v>
      </c>
      <c r="L68">
        <v>88.837142999999998</v>
      </c>
      <c r="M68">
        <v>100.891426</v>
      </c>
      <c r="N68">
        <v>87.944282999999999</v>
      </c>
      <c r="O68">
        <v>93.848572000000004</v>
      </c>
      <c r="P68">
        <v>93.848572000000004</v>
      </c>
    </row>
    <row r="69" spans="1:17" x14ac:dyDescent="0.25">
      <c r="A69" s="26">
        <v>42186</v>
      </c>
      <c r="B69">
        <v>37.25</v>
      </c>
      <c r="C69">
        <v>39.729999999999997</v>
      </c>
      <c r="D69">
        <v>35.770000000000003</v>
      </c>
      <c r="E69">
        <v>39.18</v>
      </c>
      <c r="F69">
        <v>38.214545999999999</v>
      </c>
      <c r="K69" s="26">
        <v>42186</v>
      </c>
      <c r="L69">
        <v>94.805717000000001</v>
      </c>
      <c r="M69">
        <v>117.879997</v>
      </c>
      <c r="N69">
        <v>92.284285999999994</v>
      </c>
      <c r="O69">
        <v>114.30999799999999</v>
      </c>
      <c r="P69">
        <v>114.30999799999999</v>
      </c>
    </row>
    <row r="70" spans="1:17" x14ac:dyDescent="0.25">
      <c r="A70" s="26">
        <v>42217</v>
      </c>
      <c r="B70">
        <v>39.220001000000003</v>
      </c>
      <c r="C70">
        <v>39.529998999999997</v>
      </c>
      <c r="D70">
        <v>27.51</v>
      </c>
      <c r="E70">
        <v>36.689999</v>
      </c>
      <c r="F70">
        <v>35.785899999999998</v>
      </c>
      <c r="K70" s="26">
        <v>42217</v>
      </c>
      <c r="L70">
        <v>114.599998</v>
      </c>
      <c r="M70">
        <v>129.28999300000001</v>
      </c>
      <c r="N70">
        <v>85.5</v>
      </c>
      <c r="O70">
        <v>115.029999</v>
      </c>
      <c r="P70">
        <v>115.029999</v>
      </c>
    </row>
    <row r="71" spans="1:17" x14ac:dyDescent="0.25">
      <c r="A71" s="26">
        <v>42248</v>
      </c>
      <c r="B71">
        <v>35.880001</v>
      </c>
      <c r="C71">
        <v>40.740001999999997</v>
      </c>
      <c r="D71">
        <v>35.599997999999999</v>
      </c>
      <c r="E71">
        <v>36.799999</v>
      </c>
      <c r="F71">
        <v>35.893191999999999</v>
      </c>
      <c r="K71" s="26">
        <v>42248</v>
      </c>
      <c r="L71">
        <v>109.349998</v>
      </c>
      <c r="M71">
        <v>111.239998</v>
      </c>
      <c r="N71">
        <v>93.550003000000004</v>
      </c>
      <c r="O71">
        <v>103.260002</v>
      </c>
      <c r="P71">
        <v>103.260002</v>
      </c>
    </row>
    <row r="72" spans="1:17" x14ac:dyDescent="0.25">
      <c r="A72" s="26">
        <v>42278</v>
      </c>
      <c r="B72">
        <v>36.939999</v>
      </c>
      <c r="C72">
        <v>41.259998000000003</v>
      </c>
      <c r="D72">
        <v>36.68</v>
      </c>
      <c r="E72">
        <v>38.970001000000003</v>
      </c>
      <c r="F72">
        <v>38.099670000000003</v>
      </c>
      <c r="K72" s="26">
        <v>42278</v>
      </c>
      <c r="L72">
        <v>102.910004</v>
      </c>
      <c r="M72">
        <v>115.83000199999999</v>
      </c>
      <c r="N72">
        <v>96.260002</v>
      </c>
      <c r="O72">
        <v>108.379997</v>
      </c>
      <c r="P72">
        <v>108.379997</v>
      </c>
    </row>
    <row r="73" spans="1:17" x14ac:dyDescent="0.25">
      <c r="A73" s="26">
        <v>42309</v>
      </c>
      <c r="B73">
        <v>39.18</v>
      </c>
      <c r="C73">
        <v>41.41</v>
      </c>
      <c r="D73">
        <v>33.580002</v>
      </c>
      <c r="E73">
        <v>33.939999</v>
      </c>
      <c r="F73">
        <v>33.182006999999999</v>
      </c>
      <c r="K73" s="26">
        <v>42309</v>
      </c>
      <c r="L73">
        <v>109.199997</v>
      </c>
      <c r="M73">
        <v>126.599998</v>
      </c>
      <c r="N73">
        <v>101.860001</v>
      </c>
      <c r="O73">
        <v>123.33000199999999</v>
      </c>
      <c r="P73">
        <v>123.33000199999999</v>
      </c>
    </row>
    <row r="74" spans="1:17" x14ac:dyDescent="0.25">
      <c r="A74" s="26">
        <v>42339</v>
      </c>
      <c r="B74">
        <v>34.07</v>
      </c>
      <c r="C74">
        <v>35.650002000000001</v>
      </c>
      <c r="D74">
        <v>31.9</v>
      </c>
      <c r="E74">
        <v>32.389999000000003</v>
      </c>
      <c r="F74">
        <v>31.666623999999999</v>
      </c>
      <c r="G74" s="15">
        <f>AVERAGE(F63:F74)</f>
        <v>33.653573833333333</v>
      </c>
      <c r="H74" s="15"/>
      <c r="I74" s="15"/>
      <c r="J74" s="15"/>
      <c r="K74" s="26">
        <v>42339</v>
      </c>
      <c r="L74">
        <v>124.470001</v>
      </c>
      <c r="M74">
        <v>133.270004</v>
      </c>
      <c r="N74">
        <v>113.849998</v>
      </c>
      <c r="O74">
        <v>114.379997</v>
      </c>
      <c r="P74">
        <v>114.379997</v>
      </c>
      <c r="Q74">
        <f>AVERAGE(P63:P74)</f>
        <v>94.306308833333333</v>
      </c>
    </row>
    <row r="75" spans="1:17" x14ac:dyDescent="0.25">
      <c r="A75" s="26">
        <v>42370</v>
      </c>
      <c r="B75">
        <v>32</v>
      </c>
      <c r="C75">
        <v>32</v>
      </c>
      <c r="D75">
        <v>25.52</v>
      </c>
      <c r="E75">
        <v>26.15</v>
      </c>
      <c r="F75">
        <v>25.636112000000001</v>
      </c>
      <c r="K75" s="26">
        <v>42370</v>
      </c>
      <c r="L75">
        <v>109</v>
      </c>
      <c r="M75">
        <v>122.18</v>
      </c>
      <c r="N75">
        <v>90.110000999999997</v>
      </c>
      <c r="O75">
        <v>91.839995999999999</v>
      </c>
      <c r="P75">
        <v>91.839995999999999</v>
      </c>
    </row>
    <row r="76" spans="1:17" x14ac:dyDescent="0.25">
      <c r="A76" s="26">
        <v>42401</v>
      </c>
      <c r="B76">
        <v>25.98</v>
      </c>
      <c r="C76">
        <v>28.040001</v>
      </c>
      <c r="D76">
        <v>16.209999</v>
      </c>
      <c r="E76">
        <v>21.1</v>
      </c>
      <c r="F76">
        <v>20.685352000000002</v>
      </c>
      <c r="K76" s="26">
        <v>42401</v>
      </c>
      <c r="L76">
        <v>91.790001000000004</v>
      </c>
      <c r="M76">
        <v>97.480002999999996</v>
      </c>
      <c r="N76">
        <v>79.949996999999996</v>
      </c>
      <c r="O76">
        <v>93.410004000000001</v>
      </c>
      <c r="P76">
        <v>93.410004000000001</v>
      </c>
    </row>
    <row r="77" spans="1:17" x14ac:dyDescent="0.25">
      <c r="A77" s="26">
        <v>42430</v>
      </c>
      <c r="B77">
        <v>21.09</v>
      </c>
      <c r="C77">
        <v>24.48</v>
      </c>
      <c r="D77">
        <v>20.75</v>
      </c>
      <c r="E77">
        <v>21.85</v>
      </c>
      <c r="F77">
        <v>21.420615999999999</v>
      </c>
      <c r="K77" s="26">
        <v>42430</v>
      </c>
      <c r="L77">
        <v>94.580001999999993</v>
      </c>
      <c r="M77">
        <v>104.910004</v>
      </c>
      <c r="N77">
        <v>93.610000999999997</v>
      </c>
      <c r="O77">
        <v>102.230003</v>
      </c>
      <c r="P77">
        <v>102.230003</v>
      </c>
    </row>
    <row r="78" spans="1:17" x14ac:dyDescent="0.25">
      <c r="A78" s="26">
        <v>42461</v>
      </c>
      <c r="B78">
        <v>21.709999</v>
      </c>
      <c r="C78">
        <v>22.620000999999998</v>
      </c>
      <c r="D78">
        <v>19.600000000000001</v>
      </c>
      <c r="E78">
        <v>22.200001</v>
      </c>
      <c r="F78">
        <v>21.854589000000001</v>
      </c>
      <c r="K78" s="26">
        <v>42461</v>
      </c>
      <c r="L78">
        <v>102.93</v>
      </c>
      <c r="M78">
        <v>111.849998</v>
      </c>
      <c r="N78">
        <v>88.209998999999996</v>
      </c>
      <c r="O78">
        <v>90.029999000000004</v>
      </c>
      <c r="P78">
        <v>90.029999000000004</v>
      </c>
    </row>
    <row r="79" spans="1:17" x14ac:dyDescent="0.25">
      <c r="A79" s="26">
        <v>42491</v>
      </c>
      <c r="B79">
        <v>22.17</v>
      </c>
      <c r="C79">
        <v>22.4</v>
      </c>
      <c r="D79">
        <v>19.370000999999998</v>
      </c>
      <c r="E79">
        <v>22.299999</v>
      </c>
      <c r="F79">
        <v>21.953028</v>
      </c>
      <c r="K79" s="26">
        <v>42491</v>
      </c>
      <c r="L79">
        <v>90.410004000000001</v>
      </c>
      <c r="M79">
        <v>104</v>
      </c>
      <c r="N79">
        <v>85.739998</v>
      </c>
      <c r="O79">
        <v>102.57</v>
      </c>
      <c r="P79">
        <v>102.57</v>
      </c>
    </row>
    <row r="80" spans="1:17" x14ac:dyDescent="0.25">
      <c r="A80" s="26">
        <v>42522</v>
      </c>
      <c r="B80">
        <v>22.299999</v>
      </c>
      <c r="C80">
        <v>23.52</v>
      </c>
      <c r="D80">
        <v>19.66</v>
      </c>
      <c r="E80">
        <v>20.23</v>
      </c>
      <c r="F80">
        <v>19.915237000000001</v>
      </c>
      <c r="K80" s="26">
        <v>42522</v>
      </c>
      <c r="L80">
        <v>101.5</v>
      </c>
      <c r="M80">
        <v>102.150002</v>
      </c>
      <c r="N80">
        <v>84.809997999999993</v>
      </c>
      <c r="O80">
        <v>91.480002999999996</v>
      </c>
      <c r="P80">
        <v>91.480002999999996</v>
      </c>
    </row>
    <row r="81" spans="1:17" x14ac:dyDescent="0.25">
      <c r="A81" s="26">
        <v>42552</v>
      </c>
      <c r="B81">
        <v>20.139999</v>
      </c>
      <c r="C81">
        <v>21.440000999999999</v>
      </c>
      <c r="D81">
        <v>18.52</v>
      </c>
      <c r="E81">
        <v>19.989999999999998</v>
      </c>
      <c r="F81">
        <v>19.768332000000001</v>
      </c>
      <c r="K81" s="26">
        <v>42552</v>
      </c>
      <c r="L81">
        <v>95</v>
      </c>
      <c r="M81">
        <v>101.269997</v>
      </c>
      <c r="N81">
        <v>84.5</v>
      </c>
      <c r="O81">
        <v>91.25</v>
      </c>
      <c r="P81">
        <v>91.25</v>
      </c>
    </row>
    <row r="82" spans="1:17" x14ac:dyDescent="0.25">
      <c r="A82" s="26">
        <v>42583</v>
      </c>
      <c r="B82">
        <v>19.98</v>
      </c>
      <c r="C82">
        <v>22.299999</v>
      </c>
      <c r="D82">
        <v>18.52</v>
      </c>
      <c r="E82">
        <v>20.959999</v>
      </c>
      <c r="F82">
        <v>20.727575000000002</v>
      </c>
      <c r="K82" s="26">
        <v>42583</v>
      </c>
      <c r="L82">
        <v>91.230002999999996</v>
      </c>
      <c r="M82">
        <v>98.849997999999999</v>
      </c>
      <c r="N82">
        <v>90.5</v>
      </c>
      <c r="O82">
        <v>97.449996999999996</v>
      </c>
      <c r="P82">
        <v>97.449996999999996</v>
      </c>
    </row>
    <row r="83" spans="1:17" x14ac:dyDescent="0.25">
      <c r="A83" s="26">
        <v>42614</v>
      </c>
      <c r="B83">
        <v>20.77</v>
      </c>
      <c r="C83">
        <v>21.85</v>
      </c>
      <c r="D83">
        <v>19.739999999999998</v>
      </c>
      <c r="E83">
        <v>19.989999999999998</v>
      </c>
      <c r="F83">
        <v>19.768332000000001</v>
      </c>
      <c r="K83" s="26">
        <v>42614</v>
      </c>
      <c r="L83">
        <v>97.809997999999993</v>
      </c>
      <c r="M83">
        <v>100.349998</v>
      </c>
      <c r="N83">
        <v>93.260002</v>
      </c>
      <c r="O83">
        <v>98.550003000000004</v>
      </c>
      <c r="P83">
        <v>98.550003000000004</v>
      </c>
    </row>
    <row r="84" spans="1:17" x14ac:dyDescent="0.25">
      <c r="A84" s="26">
        <v>42644</v>
      </c>
      <c r="B84">
        <v>20.149999999999999</v>
      </c>
      <c r="C84">
        <v>21.540001</v>
      </c>
      <c r="D84">
        <v>18.280000999999999</v>
      </c>
      <c r="E84">
        <v>20.360001</v>
      </c>
      <c r="F84">
        <v>20.134229999999999</v>
      </c>
      <c r="K84" s="26">
        <v>42644</v>
      </c>
      <c r="L84">
        <v>98</v>
      </c>
      <c r="M84">
        <v>129.28999300000001</v>
      </c>
      <c r="N84">
        <v>97.629997000000003</v>
      </c>
      <c r="O84">
        <v>124.870003</v>
      </c>
      <c r="P84">
        <v>124.870003</v>
      </c>
    </row>
    <row r="85" spans="1:17" x14ac:dyDescent="0.25">
      <c r="A85" s="26">
        <v>42675</v>
      </c>
      <c r="B85">
        <v>20.379999000000002</v>
      </c>
      <c r="C85">
        <v>24.07</v>
      </c>
      <c r="D85">
        <v>18.959999</v>
      </c>
      <c r="E85">
        <v>23.4</v>
      </c>
      <c r="F85">
        <v>23.140518</v>
      </c>
      <c r="K85" s="26">
        <v>42675</v>
      </c>
      <c r="L85">
        <v>124.980003</v>
      </c>
      <c r="M85">
        <v>125.83000199999999</v>
      </c>
      <c r="N85">
        <v>110.68</v>
      </c>
      <c r="O85">
        <v>117</v>
      </c>
      <c r="P85">
        <v>117</v>
      </c>
    </row>
    <row r="86" spans="1:17" x14ac:dyDescent="0.25">
      <c r="A86" s="26">
        <v>42705</v>
      </c>
      <c r="B86">
        <v>23.33</v>
      </c>
      <c r="C86">
        <v>28.23</v>
      </c>
      <c r="D86">
        <v>22.52</v>
      </c>
      <c r="E86">
        <v>26.9</v>
      </c>
      <c r="F86">
        <v>26.601709</v>
      </c>
      <c r="G86" s="15">
        <f>AVERAGE(F75:F86)</f>
        <v>21.800469166666669</v>
      </c>
      <c r="H86" s="15"/>
      <c r="I86" s="15"/>
      <c r="J86" s="15"/>
      <c r="K86" s="26">
        <v>42705</v>
      </c>
      <c r="L86">
        <v>117.519997</v>
      </c>
      <c r="M86">
        <v>129.070007</v>
      </c>
      <c r="N86">
        <v>113.949997</v>
      </c>
      <c r="O86">
        <v>123.800003</v>
      </c>
      <c r="P86">
        <v>123.800003</v>
      </c>
      <c r="Q86">
        <f>AVERAGE(P75:P86)</f>
        <v>102.04000091666667</v>
      </c>
    </row>
    <row r="87" spans="1:17" x14ac:dyDescent="0.25">
      <c r="A87" s="26">
        <v>42736</v>
      </c>
      <c r="B87">
        <v>27.33</v>
      </c>
      <c r="C87">
        <v>29.030000999999999</v>
      </c>
      <c r="D87">
        <v>26.780000999999999</v>
      </c>
      <c r="E87">
        <v>28.77</v>
      </c>
      <c r="F87">
        <v>28.450972</v>
      </c>
      <c r="K87" s="26">
        <v>42736</v>
      </c>
      <c r="L87">
        <v>124.959999</v>
      </c>
      <c r="M87">
        <v>143.46000699999999</v>
      </c>
      <c r="N87">
        <v>124.30999799999999</v>
      </c>
      <c r="O87">
        <v>140.71000699999999</v>
      </c>
      <c r="P87">
        <v>140.71000699999999</v>
      </c>
    </row>
    <row r="88" spans="1:17" x14ac:dyDescent="0.25">
      <c r="A88" s="26">
        <v>42767</v>
      </c>
      <c r="B88">
        <v>28.9</v>
      </c>
      <c r="C88">
        <v>28.9</v>
      </c>
      <c r="D88">
        <v>26.52</v>
      </c>
      <c r="E88">
        <v>26.77</v>
      </c>
      <c r="F88">
        <v>26.47315</v>
      </c>
      <c r="K88" s="26">
        <v>42767</v>
      </c>
      <c r="L88">
        <v>141.199997</v>
      </c>
      <c r="M88">
        <v>145.949997</v>
      </c>
      <c r="N88">
        <v>139.050003</v>
      </c>
      <c r="O88">
        <v>142.13000500000001</v>
      </c>
      <c r="P88">
        <v>142.13000500000001</v>
      </c>
    </row>
    <row r="89" spans="1:17" x14ac:dyDescent="0.25">
      <c r="A89" s="26">
        <v>42795</v>
      </c>
      <c r="B89">
        <v>27.02</v>
      </c>
      <c r="C89">
        <v>27.379999000000002</v>
      </c>
      <c r="D89">
        <v>24.27</v>
      </c>
      <c r="E89">
        <v>26.559999000000001</v>
      </c>
      <c r="F89">
        <v>26.265478000000002</v>
      </c>
      <c r="K89" s="26">
        <v>42795</v>
      </c>
      <c r="L89">
        <v>142.83999600000001</v>
      </c>
      <c r="M89">
        <v>148.28999300000001</v>
      </c>
      <c r="N89">
        <v>138.259995</v>
      </c>
      <c r="O89">
        <v>147.80999800000001</v>
      </c>
      <c r="P89">
        <v>147.80999800000001</v>
      </c>
    </row>
    <row r="90" spans="1:17" x14ac:dyDescent="0.25">
      <c r="A90" s="26">
        <v>42826</v>
      </c>
      <c r="B90">
        <v>26.52</v>
      </c>
      <c r="C90">
        <v>26.75</v>
      </c>
      <c r="D90">
        <v>24.799999</v>
      </c>
      <c r="E90">
        <v>26.17</v>
      </c>
      <c r="F90">
        <v>25.879802999999999</v>
      </c>
      <c r="K90" s="26">
        <v>42826</v>
      </c>
      <c r="L90">
        <v>146.699997</v>
      </c>
      <c r="M90">
        <v>153.520004</v>
      </c>
      <c r="N90">
        <v>138.66000399999999</v>
      </c>
      <c r="O90">
        <v>152.199997</v>
      </c>
      <c r="P90">
        <v>152.199997</v>
      </c>
    </row>
    <row r="91" spans="1:17" x14ac:dyDescent="0.25">
      <c r="A91" s="26">
        <v>42856</v>
      </c>
      <c r="B91">
        <v>26.18</v>
      </c>
      <c r="C91">
        <v>27.879999000000002</v>
      </c>
      <c r="D91">
        <v>24.559999000000001</v>
      </c>
      <c r="E91">
        <v>27.1</v>
      </c>
      <c r="F91">
        <v>26.799492000000001</v>
      </c>
      <c r="K91" s="26">
        <v>42856</v>
      </c>
      <c r="L91">
        <v>151.91000399999999</v>
      </c>
      <c r="M91">
        <v>164.75</v>
      </c>
      <c r="N91">
        <v>151.61000100000001</v>
      </c>
      <c r="O91">
        <v>163.070007</v>
      </c>
      <c r="P91">
        <v>163.070007</v>
      </c>
    </row>
    <row r="92" spans="1:17" x14ac:dyDescent="0.25">
      <c r="A92" s="26">
        <v>42887</v>
      </c>
      <c r="B92">
        <v>26.969999000000001</v>
      </c>
      <c r="C92">
        <v>29.25</v>
      </c>
      <c r="D92">
        <v>26.23</v>
      </c>
      <c r="E92">
        <v>28.219999000000001</v>
      </c>
      <c r="F92">
        <v>27.907070000000001</v>
      </c>
      <c r="K92" s="26">
        <v>42887</v>
      </c>
      <c r="L92">
        <v>163.520004</v>
      </c>
      <c r="M92">
        <v>166.86999499999999</v>
      </c>
      <c r="N92">
        <v>147.300003</v>
      </c>
      <c r="O92">
        <v>149.41000399999999</v>
      </c>
      <c r="P92">
        <v>149.41000399999999</v>
      </c>
    </row>
    <row r="93" spans="1:17" x14ac:dyDescent="0.25">
      <c r="A93" s="26">
        <v>42917</v>
      </c>
      <c r="B93">
        <v>28.469999000000001</v>
      </c>
      <c r="C93">
        <v>30.16</v>
      </c>
      <c r="D93">
        <v>27.219999000000001</v>
      </c>
      <c r="E93">
        <v>29.4</v>
      </c>
      <c r="F93">
        <v>29.073983999999999</v>
      </c>
      <c r="K93" s="26">
        <v>42917</v>
      </c>
      <c r="L93">
        <v>149.800003</v>
      </c>
      <c r="M93">
        <v>191.5</v>
      </c>
      <c r="N93">
        <v>144.25</v>
      </c>
      <c r="O93">
        <v>181.66000399999999</v>
      </c>
      <c r="P93">
        <v>181.66000399999999</v>
      </c>
    </row>
    <row r="94" spans="1:17" x14ac:dyDescent="0.25">
      <c r="A94" s="26">
        <v>42948</v>
      </c>
      <c r="B94">
        <v>29.4</v>
      </c>
      <c r="C94">
        <v>29.85</v>
      </c>
      <c r="D94">
        <v>26.400998999999999</v>
      </c>
      <c r="E94">
        <v>29.73</v>
      </c>
      <c r="F94">
        <v>29.400326</v>
      </c>
      <c r="K94" s="26">
        <v>42948</v>
      </c>
      <c r="L94">
        <v>182.490005</v>
      </c>
      <c r="M94">
        <v>184.61999499999999</v>
      </c>
      <c r="N94">
        <v>164.229996</v>
      </c>
      <c r="O94">
        <v>174.71000699999999</v>
      </c>
      <c r="P94">
        <v>174.71000699999999</v>
      </c>
    </row>
    <row r="95" spans="1:17" x14ac:dyDescent="0.25">
      <c r="A95" s="26">
        <v>42979</v>
      </c>
      <c r="B95">
        <v>29.83</v>
      </c>
      <c r="C95">
        <v>33.490001999999997</v>
      </c>
      <c r="D95">
        <v>29.700001</v>
      </c>
      <c r="E95">
        <v>33.450001</v>
      </c>
      <c r="F95">
        <v>33.079075000000003</v>
      </c>
      <c r="K95" s="26">
        <v>42979</v>
      </c>
      <c r="L95">
        <v>175.550003</v>
      </c>
      <c r="M95">
        <v>189.949997</v>
      </c>
      <c r="N95">
        <v>172.44000199999999</v>
      </c>
      <c r="O95">
        <v>181.35000600000001</v>
      </c>
      <c r="P95">
        <v>181.35000600000001</v>
      </c>
    </row>
    <row r="96" spans="1:17" x14ac:dyDescent="0.25">
      <c r="A96" s="26">
        <v>43009</v>
      </c>
      <c r="B96">
        <v>33.549999</v>
      </c>
      <c r="C96">
        <v>33.68</v>
      </c>
      <c r="D96">
        <v>28.860001</v>
      </c>
      <c r="E96">
        <v>29.02</v>
      </c>
      <c r="F96">
        <v>28.698198000000001</v>
      </c>
      <c r="K96" s="26">
        <v>43009</v>
      </c>
      <c r="L96">
        <v>182.11000100000001</v>
      </c>
      <c r="M96">
        <v>204.38000500000001</v>
      </c>
      <c r="N96">
        <v>176.58000200000001</v>
      </c>
      <c r="O96">
        <v>196.429993</v>
      </c>
      <c r="P96">
        <v>196.429993</v>
      </c>
    </row>
    <row r="97" spans="1:17" x14ac:dyDescent="0.25">
      <c r="A97" s="26">
        <v>43040</v>
      </c>
      <c r="B97">
        <v>29.16</v>
      </c>
      <c r="C97">
        <v>34.75</v>
      </c>
      <c r="D97">
        <v>27.440000999999999</v>
      </c>
      <c r="E97">
        <v>32.709999000000003</v>
      </c>
      <c r="F97">
        <v>32.347279</v>
      </c>
      <c r="K97" s="26">
        <v>43040</v>
      </c>
      <c r="L97">
        <v>197.240005</v>
      </c>
      <c r="M97">
        <v>202.479996</v>
      </c>
      <c r="N97">
        <v>184.320007</v>
      </c>
      <c r="O97">
        <v>187.58000200000001</v>
      </c>
      <c r="P97">
        <v>187.58000200000001</v>
      </c>
    </row>
    <row r="98" spans="1:17" x14ac:dyDescent="0.25">
      <c r="A98" s="26">
        <v>43070</v>
      </c>
      <c r="B98">
        <v>32.700001</v>
      </c>
      <c r="C98">
        <v>34.169998</v>
      </c>
      <c r="D98">
        <v>30.75</v>
      </c>
      <c r="E98">
        <v>33.810001</v>
      </c>
      <c r="F98">
        <v>33.435088999999998</v>
      </c>
      <c r="G98" s="15">
        <f>AVERAGE(F87:F98)</f>
        <v>28.98415966666667</v>
      </c>
      <c r="H98" s="15"/>
      <c r="I98" s="15"/>
      <c r="J98" s="15"/>
      <c r="K98" s="26">
        <v>43070</v>
      </c>
      <c r="L98">
        <v>186.990005</v>
      </c>
      <c r="M98">
        <v>194.490005</v>
      </c>
      <c r="N98">
        <v>178.38000500000001</v>
      </c>
      <c r="O98">
        <v>191.96000699999999</v>
      </c>
      <c r="P98">
        <v>191.96000699999999</v>
      </c>
      <c r="Q98">
        <f>AVERAGE(P87:P98)</f>
        <v>167.41833641666662</v>
      </c>
    </row>
    <row r="99" spans="1:17" x14ac:dyDescent="0.25">
      <c r="A99" s="26">
        <v>43101</v>
      </c>
      <c r="B99">
        <v>33.25</v>
      </c>
      <c r="C99">
        <v>36.479999999999997</v>
      </c>
      <c r="D99">
        <v>31.33</v>
      </c>
      <c r="E99">
        <v>33.840000000000003</v>
      </c>
      <c r="F99">
        <v>33.464751999999997</v>
      </c>
      <c r="K99" s="26">
        <v>43101</v>
      </c>
      <c r="L99">
        <v>196.10000600000001</v>
      </c>
      <c r="M99">
        <v>286.80999800000001</v>
      </c>
      <c r="N99">
        <v>195.41999799999999</v>
      </c>
      <c r="O99">
        <v>270.29998799999998</v>
      </c>
      <c r="P99">
        <v>270.29998799999998</v>
      </c>
    </row>
    <row r="100" spans="1:17" x14ac:dyDescent="0.25">
      <c r="A100" s="26">
        <v>43132</v>
      </c>
      <c r="B100">
        <v>33.840000000000003</v>
      </c>
      <c r="C100">
        <v>34.849997999999999</v>
      </c>
      <c r="D100">
        <v>25.559999000000001</v>
      </c>
      <c r="E100">
        <v>28.24</v>
      </c>
      <c r="F100">
        <v>27.926846999999999</v>
      </c>
      <c r="K100" s="26">
        <v>43132</v>
      </c>
      <c r="L100">
        <v>266.41000400000001</v>
      </c>
      <c r="M100">
        <v>297.35998499999999</v>
      </c>
      <c r="N100">
        <v>236.11000100000001</v>
      </c>
      <c r="O100">
        <v>291.38000499999998</v>
      </c>
      <c r="P100">
        <v>291.38000499999998</v>
      </c>
    </row>
    <row r="101" spans="1:17" x14ac:dyDescent="0.25">
      <c r="A101" s="26">
        <v>43160</v>
      </c>
      <c r="B101">
        <v>28.290001</v>
      </c>
      <c r="C101">
        <v>30.35</v>
      </c>
      <c r="D101">
        <v>25.337999</v>
      </c>
      <c r="E101">
        <v>25.83</v>
      </c>
      <c r="F101">
        <v>25.543571</v>
      </c>
      <c r="K101" s="26">
        <v>43160</v>
      </c>
      <c r="L101">
        <v>292.75</v>
      </c>
      <c r="M101">
        <v>333.98001099999999</v>
      </c>
      <c r="N101">
        <v>275.89999399999999</v>
      </c>
      <c r="O101">
        <v>295.35000600000001</v>
      </c>
      <c r="P101">
        <v>295.35000600000001</v>
      </c>
    </row>
    <row r="102" spans="1:17" x14ac:dyDescent="0.25">
      <c r="A102" s="26">
        <v>43191</v>
      </c>
      <c r="B102">
        <v>25.6</v>
      </c>
      <c r="C102">
        <v>27.02</v>
      </c>
      <c r="D102">
        <v>24.75</v>
      </c>
      <c r="E102">
        <v>24.889999</v>
      </c>
      <c r="F102">
        <v>24.698418</v>
      </c>
      <c r="K102" s="26">
        <v>43191</v>
      </c>
      <c r="L102">
        <v>291.94000199999999</v>
      </c>
      <c r="M102">
        <v>338.82000699999998</v>
      </c>
      <c r="N102">
        <v>271.22000100000002</v>
      </c>
      <c r="O102">
        <v>312.459991</v>
      </c>
      <c r="P102">
        <v>312.459991</v>
      </c>
    </row>
    <row r="103" spans="1:17" x14ac:dyDescent="0.25">
      <c r="A103" s="26">
        <v>43221</v>
      </c>
      <c r="B103">
        <v>24.780000999999999</v>
      </c>
      <c r="C103">
        <v>24.940000999999999</v>
      </c>
      <c r="D103">
        <v>21.540001</v>
      </c>
      <c r="E103">
        <v>23.17</v>
      </c>
      <c r="F103">
        <v>22.991657</v>
      </c>
      <c r="K103" s="26">
        <v>43221</v>
      </c>
      <c r="L103">
        <v>310.35998499999999</v>
      </c>
      <c r="M103">
        <v>356.10000600000001</v>
      </c>
      <c r="N103">
        <v>305.73001099999999</v>
      </c>
      <c r="O103">
        <v>351.60000600000001</v>
      </c>
      <c r="P103">
        <v>351.60000600000001</v>
      </c>
    </row>
    <row r="104" spans="1:17" x14ac:dyDescent="0.25">
      <c r="A104" s="26">
        <v>43252</v>
      </c>
      <c r="B104">
        <v>23.370000999999998</v>
      </c>
      <c r="C104">
        <v>27.879999000000002</v>
      </c>
      <c r="D104">
        <v>23.08</v>
      </c>
      <c r="E104">
        <v>24.82</v>
      </c>
      <c r="F104">
        <v>24.628958000000001</v>
      </c>
      <c r="K104" s="26">
        <v>43252</v>
      </c>
      <c r="L104">
        <v>353.88000499999998</v>
      </c>
      <c r="M104">
        <v>423.209991</v>
      </c>
      <c r="N104">
        <v>352.82000699999998</v>
      </c>
      <c r="O104">
        <v>391.42999300000002</v>
      </c>
      <c r="P104">
        <v>391.42999300000002</v>
      </c>
    </row>
    <row r="105" spans="1:17" x14ac:dyDescent="0.25">
      <c r="A105" s="26">
        <v>43282</v>
      </c>
      <c r="B105">
        <v>24.700001</v>
      </c>
      <c r="C105">
        <v>26.299999</v>
      </c>
      <c r="D105">
        <v>23.024999999999999</v>
      </c>
      <c r="E105">
        <v>23.85</v>
      </c>
      <c r="F105">
        <v>23.751898000000001</v>
      </c>
      <c r="K105" s="26">
        <v>43282</v>
      </c>
      <c r="L105">
        <v>385.45001200000002</v>
      </c>
      <c r="M105">
        <v>419.76998900000001</v>
      </c>
      <c r="N105">
        <v>328</v>
      </c>
      <c r="O105">
        <v>337.45001200000002</v>
      </c>
      <c r="P105">
        <v>337.45001200000002</v>
      </c>
    </row>
    <row r="106" spans="1:17" x14ac:dyDescent="0.25">
      <c r="A106" s="26">
        <v>43313</v>
      </c>
      <c r="B106">
        <v>23.639999</v>
      </c>
      <c r="C106">
        <v>24.879999000000002</v>
      </c>
      <c r="D106">
        <v>22.66</v>
      </c>
      <c r="E106">
        <v>23.52</v>
      </c>
      <c r="F106">
        <v>23.423255999999999</v>
      </c>
      <c r="K106" s="26">
        <v>43313</v>
      </c>
      <c r="L106">
        <v>335.86999500000002</v>
      </c>
      <c r="M106">
        <v>376.80999800000001</v>
      </c>
      <c r="N106">
        <v>310.92999300000002</v>
      </c>
      <c r="O106">
        <v>367.67999300000002</v>
      </c>
      <c r="P106">
        <v>367.67999300000002</v>
      </c>
    </row>
    <row r="107" spans="1:17" x14ac:dyDescent="0.25">
      <c r="A107" s="26">
        <v>43344</v>
      </c>
      <c r="B107">
        <v>23.299999</v>
      </c>
      <c r="C107">
        <v>25.07</v>
      </c>
      <c r="D107">
        <v>21.57</v>
      </c>
      <c r="E107">
        <v>24.389999</v>
      </c>
      <c r="F107">
        <v>24.289674999999999</v>
      </c>
      <c r="K107" s="26">
        <v>43344</v>
      </c>
      <c r="L107">
        <v>366.47000100000002</v>
      </c>
      <c r="M107">
        <v>383.20001200000002</v>
      </c>
      <c r="N107">
        <v>335.82998700000002</v>
      </c>
      <c r="O107">
        <v>374.13000499999998</v>
      </c>
      <c r="P107">
        <v>374.13000499999998</v>
      </c>
    </row>
    <row r="108" spans="1:17" x14ac:dyDescent="0.25">
      <c r="A108" s="26">
        <v>43374</v>
      </c>
      <c r="B108">
        <v>24.5</v>
      </c>
      <c r="C108">
        <v>25.245000999999998</v>
      </c>
      <c r="D108">
        <v>18.040001</v>
      </c>
      <c r="E108">
        <v>19.16</v>
      </c>
      <c r="F108">
        <v>19.16</v>
      </c>
      <c r="K108" s="26">
        <v>43374</v>
      </c>
      <c r="L108">
        <v>375.85000600000001</v>
      </c>
      <c r="M108">
        <v>386.79998799999998</v>
      </c>
      <c r="N108">
        <v>271.209991</v>
      </c>
      <c r="O108">
        <v>301.77999899999998</v>
      </c>
      <c r="P108">
        <v>301.77999899999998</v>
      </c>
    </row>
    <row r="109" spans="1:17" x14ac:dyDescent="0.25">
      <c r="A109" s="26">
        <v>43405</v>
      </c>
      <c r="B109">
        <v>19.309999000000001</v>
      </c>
      <c r="C109">
        <v>21.219999000000001</v>
      </c>
      <c r="D109">
        <v>18.260000000000002</v>
      </c>
      <c r="E109">
        <v>19.41</v>
      </c>
      <c r="F109">
        <v>19.41</v>
      </c>
      <c r="K109" s="26">
        <v>43405</v>
      </c>
      <c r="L109">
        <v>304.58999599999999</v>
      </c>
      <c r="M109">
        <v>332.04998799999998</v>
      </c>
      <c r="N109">
        <v>250</v>
      </c>
      <c r="O109">
        <v>286.13000499999998</v>
      </c>
      <c r="P109">
        <v>286.13000499999998</v>
      </c>
    </row>
    <row r="110" spans="1:17" x14ac:dyDescent="0.25">
      <c r="A110" s="26">
        <v>43435</v>
      </c>
      <c r="B110">
        <v>19.860001</v>
      </c>
      <c r="C110">
        <v>19.98</v>
      </c>
      <c r="D110">
        <v>13.63</v>
      </c>
      <c r="E110">
        <v>16.100000000000001</v>
      </c>
      <c r="F110">
        <v>16.100000000000001</v>
      </c>
      <c r="G110" s="15">
        <f>AVERAGE(F99:F110)</f>
        <v>23.782419333333337</v>
      </c>
      <c r="H110" s="15"/>
      <c r="I110" s="15"/>
      <c r="J110" s="15"/>
      <c r="K110" s="26">
        <v>43435</v>
      </c>
      <c r="L110">
        <v>293.19000199999999</v>
      </c>
      <c r="M110">
        <v>298.72000100000002</v>
      </c>
      <c r="N110">
        <v>231.229996</v>
      </c>
      <c r="O110">
        <v>267.66000400000001</v>
      </c>
      <c r="P110">
        <v>267.66000400000001</v>
      </c>
      <c r="Q110">
        <f>AVERAGE(P99:P110)</f>
        <v>320.61250058333331</v>
      </c>
    </row>
    <row r="111" spans="1:17" x14ac:dyDescent="0.25">
      <c r="A111" s="26">
        <v>43466</v>
      </c>
      <c r="B111">
        <v>16.010000000000002</v>
      </c>
      <c r="C111">
        <v>19</v>
      </c>
      <c r="D111">
        <v>15.49</v>
      </c>
      <c r="E111">
        <v>18.370000999999998</v>
      </c>
      <c r="F111">
        <v>18.370000999999998</v>
      </c>
      <c r="K111" s="26">
        <v>43466</v>
      </c>
      <c r="L111">
        <v>259.27999899999998</v>
      </c>
      <c r="M111">
        <v>358.85000600000001</v>
      </c>
      <c r="N111">
        <v>256.57998700000002</v>
      </c>
      <c r="O111">
        <v>339.5</v>
      </c>
      <c r="P111">
        <v>339.5</v>
      </c>
    </row>
    <row r="112" spans="1:17" x14ac:dyDescent="0.25">
      <c r="A112" s="26">
        <v>43497</v>
      </c>
      <c r="B112">
        <v>18.309999000000001</v>
      </c>
      <c r="C112">
        <v>18.48</v>
      </c>
      <c r="D112">
        <v>14.83</v>
      </c>
      <c r="E112">
        <v>15.45</v>
      </c>
      <c r="F112">
        <v>15.45</v>
      </c>
      <c r="K112" s="26">
        <v>43497</v>
      </c>
      <c r="L112">
        <v>337.17999300000002</v>
      </c>
      <c r="M112">
        <v>371.48998999999998</v>
      </c>
      <c r="N112">
        <v>336.5</v>
      </c>
      <c r="O112">
        <v>358.10000600000001</v>
      </c>
      <c r="P112">
        <v>358.10000600000001</v>
      </c>
    </row>
    <row r="113" spans="1:17" x14ac:dyDescent="0.25">
      <c r="A113" s="26">
        <v>43525</v>
      </c>
      <c r="B113">
        <v>15.52</v>
      </c>
      <c r="C113">
        <v>16.57</v>
      </c>
      <c r="D113">
        <v>14.62</v>
      </c>
      <c r="E113">
        <v>15.64</v>
      </c>
      <c r="F113">
        <v>15.64</v>
      </c>
      <c r="K113" s="26">
        <v>43525</v>
      </c>
      <c r="L113">
        <v>362.26001000000002</v>
      </c>
      <c r="M113">
        <v>379</v>
      </c>
      <c r="N113">
        <v>342.47000100000002</v>
      </c>
      <c r="O113">
        <v>356.55999800000001</v>
      </c>
      <c r="P113">
        <v>356.55999800000001</v>
      </c>
    </row>
    <row r="114" spans="1:17" x14ac:dyDescent="0.25">
      <c r="A114" s="26">
        <v>43556</v>
      </c>
      <c r="B114">
        <v>15.8</v>
      </c>
      <c r="C114">
        <v>17.389999</v>
      </c>
      <c r="D114">
        <v>14.44</v>
      </c>
      <c r="E114">
        <v>14.59</v>
      </c>
      <c r="F114">
        <v>14.59</v>
      </c>
      <c r="K114" s="26">
        <v>43556</v>
      </c>
      <c r="L114">
        <v>359</v>
      </c>
      <c r="M114">
        <v>384.79998799999998</v>
      </c>
      <c r="N114">
        <v>342.26998900000001</v>
      </c>
      <c r="O114">
        <v>370.540009</v>
      </c>
      <c r="P114">
        <v>370.540009</v>
      </c>
    </row>
    <row r="115" spans="1:17" x14ac:dyDescent="0.25">
      <c r="A115" s="26">
        <v>43586</v>
      </c>
      <c r="B115">
        <v>14.4</v>
      </c>
      <c r="C115">
        <v>16.459999</v>
      </c>
      <c r="D115">
        <v>12.935</v>
      </c>
      <c r="E115">
        <v>14.77</v>
      </c>
      <c r="F115">
        <v>14.77</v>
      </c>
      <c r="K115" s="26">
        <v>43586</v>
      </c>
      <c r="L115">
        <v>374</v>
      </c>
      <c r="M115">
        <v>385.98998999999998</v>
      </c>
      <c r="N115">
        <v>341.39001500000001</v>
      </c>
      <c r="O115">
        <v>343.27999899999998</v>
      </c>
      <c r="P115">
        <v>343.27999899999998</v>
      </c>
    </row>
    <row r="116" spans="1:17" x14ac:dyDescent="0.25">
      <c r="A116" s="26">
        <v>43617</v>
      </c>
      <c r="B116">
        <v>14.68</v>
      </c>
      <c r="C116">
        <v>16.040001</v>
      </c>
      <c r="D116">
        <v>11.38</v>
      </c>
      <c r="E116">
        <v>12.25</v>
      </c>
      <c r="F116">
        <v>12.25</v>
      </c>
      <c r="K116" s="26">
        <v>43617</v>
      </c>
      <c r="L116">
        <v>343.55999800000001</v>
      </c>
      <c r="M116">
        <v>375</v>
      </c>
      <c r="N116">
        <v>332.64999399999999</v>
      </c>
      <c r="O116">
        <v>367.32000699999998</v>
      </c>
      <c r="P116">
        <v>367.32000699999998</v>
      </c>
    </row>
    <row r="117" spans="1:17" x14ac:dyDescent="0.25">
      <c r="A117" s="26">
        <v>43647</v>
      </c>
      <c r="B117">
        <v>12.5</v>
      </c>
      <c r="C117">
        <v>13.263999999999999</v>
      </c>
      <c r="D117">
        <v>11.4</v>
      </c>
      <c r="E117">
        <v>12.91</v>
      </c>
      <c r="F117">
        <v>12.91</v>
      </c>
      <c r="K117" s="26">
        <v>43647</v>
      </c>
      <c r="L117">
        <v>373.5</v>
      </c>
      <c r="M117">
        <v>384.76001000000002</v>
      </c>
      <c r="N117">
        <v>305.80999800000001</v>
      </c>
      <c r="O117">
        <v>322.98998999999998</v>
      </c>
      <c r="P117">
        <v>322.98998999999998</v>
      </c>
    </row>
    <row r="118" spans="1:17" x14ac:dyDescent="0.25">
      <c r="A118" s="26">
        <v>43678</v>
      </c>
      <c r="B118">
        <v>12.89</v>
      </c>
      <c r="C118">
        <v>13.42</v>
      </c>
      <c r="D118">
        <v>8.6300000000000008</v>
      </c>
      <c r="E118">
        <v>9.0299999999999994</v>
      </c>
      <c r="F118">
        <v>9.0299999999999994</v>
      </c>
      <c r="K118" s="26">
        <v>43678</v>
      </c>
      <c r="L118">
        <v>324.25</v>
      </c>
      <c r="M118">
        <v>328.57998700000002</v>
      </c>
      <c r="N118">
        <v>287.20001200000002</v>
      </c>
      <c r="O118">
        <v>293.75</v>
      </c>
      <c r="P118">
        <v>293.75</v>
      </c>
    </row>
    <row r="119" spans="1:17" x14ac:dyDescent="0.25">
      <c r="A119" s="26">
        <v>43709</v>
      </c>
      <c r="B119">
        <v>8.94</v>
      </c>
      <c r="C119">
        <v>11.73</v>
      </c>
      <c r="D119">
        <v>8.8800000000000008</v>
      </c>
      <c r="E119">
        <v>9.25</v>
      </c>
      <c r="F119">
        <v>9.25</v>
      </c>
      <c r="K119" s="26">
        <v>43709</v>
      </c>
      <c r="L119">
        <v>290.82000699999998</v>
      </c>
      <c r="M119">
        <v>301.54998799999998</v>
      </c>
      <c r="N119">
        <v>252.279999</v>
      </c>
      <c r="O119">
        <v>267.61999500000002</v>
      </c>
      <c r="P119">
        <v>267.61999500000002</v>
      </c>
    </row>
    <row r="120" spans="1:17" x14ac:dyDescent="0.25">
      <c r="A120" s="26">
        <v>43739</v>
      </c>
      <c r="B120">
        <v>9.26</v>
      </c>
      <c r="C120">
        <v>9.7100000000000009</v>
      </c>
      <c r="D120">
        <v>7.65</v>
      </c>
      <c r="E120">
        <v>7.99</v>
      </c>
      <c r="F120">
        <v>7.99</v>
      </c>
      <c r="K120" s="26">
        <v>43739</v>
      </c>
      <c r="L120">
        <v>267.35000600000001</v>
      </c>
      <c r="M120">
        <v>308.75</v>
      </c>
      <c r="N120">
        <v>257.01001000000002</v>
      </c>
      <c r="O120">
        <v>287.41000400000001</v>
      </c>
      <c r="P120">
        <v>287.41000400000001</v>
      </c>
    </row>
    <row r="121" spans="1:17" x14ac:dyDescent="0.25">
      <c r="A121" s="26">
        <v>43770</v>
      </c>
      <c r="B121">
        <v>8.0399999999999991</v>
      </c>
      <c r="C121">
        <v>9.92</v>
      </c>
      <c r="D121">
        <v>7.79</v>
      </c>
      <c r="E121">
        <v>9.35</v>
      </c>
      <c r="F121">
        <v>9.35</v>
      </c>
      <c r="K121" s="26">
        <v>43770</v>
      </c>
      <c r="L121">
        <v>288.70001200000002</v>
      </c>
      <c r="M121">
        <v>316.82000699999998</v>
      </c>
      <c r="N121">
        <v>281.14001500000001</v>
      </c>
      <c r="O121">
        <v>314.66000400000001</v>
      </c>
      <c r="P121">
        <v>314.66000400000001</v>
      </c>
    </row>
    <row r="122" spans="1:17" x14ac:dyDescent="0.25">
      <c r="A122" s="26">
        <v>43800</v>
      </c>
      <c r="B122">
        <v>9.32</v>
      </c>
      <c r="C122">
        <v>10.95</v>
      </c>
      <c r="D122">
        <v>9.19</v>
      </c>
      <c r="E122">
        <v>10.66</v>
      </c>
      <c r="F122">
        <v>10.66</v>
      </c>
      <c r="G122" s="15">
        <f>AVERAGE(F111:F122)</f>
        <v>12.52166675</v>
      </c>
      <c r="H122" s="15"/>
      <c r="I122" s="15"/>
      <c r="J122" s="15"/>
      <c r="K122" s="26">
        <v>43800</v>
      </c>
      <c r="L122">
        <v>314.39001500000001</v>
      </c>
      <c r="M122">
        <v>338</v>
      </c>
      <c r="N122">
        <v>292.01998900000001</v>
      </c>
      <c r="O122">
        <v>323.57000699999998</v>
      </c>
      <c r="P122">
        <v>323.57000699999998</v>
      </c>
      <c r="Q122">
        <f>AVERAGE(P111:P122)</f>
        <v>328.77500158333328</v>
      </c>
    </row>
  </sheetData>
  <mergeCells count="2">
    <mergeCell ref="A1:F1"/>
    <mergeCell ref="K1:P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Fin. Stmt. and ProForma Anlysis</vt:lpstr>
      <vt:lpstr>Valuation </vt:lpstr>
      <vt:lpstr>Lions Gate financial</vt:lpstr>
      <vt:lpstr>Netflix Financials</vt:lpstr>
      <vt:lpstr>Historical Stock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Mousa</dc:creator>
  <cp:lastModifiedBy>Mousa</cp:lastModifiedBy>
  <cp:lastPrinted>2020-05-06T21:46:22Z</cp:lastPrinted>
  <dcterms:created xsi:type="dcterms:W3CDTF">2020-04-24T19:43:05Z</dcterms:created>
  <dcterms:modified xsi:type="dcterms:W3CDTF">2020-06-04T07:24:36Z</dcterms:modified>
</cp:coreProperties>
</file>